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6FC119A7-6FE0-4B2D-B37A-F18CD442B1FA}" xr6:coauthVersionLast="47" xr6:coauthVersionMax="47" xr10:uidLastSave="{00000000-0000-0000-0000-000000000000}"/>
  <bookViews>
    <workbookView xWindow="-120" yWindow="-120" windowWidth="51840" windowHeight="21840" activeTab="2" xr2:uid="{00000000-000D-0000-FFFF-FFFF00000000}"/>
  </bookViews>
  <sheets>
    <sheet name="Cover" sheetId="1" r:id="rId1"/>
    <sheet name="Offer Overview" sheetId="60" r:id="rId2"/>
    <sheet name="Ben's Partnership Model" sheetId="66" r:id="rId3"/>
    <sheet name="Condensed P&amp;L" sheetId="67" r:id="rId4"/>
    <sheet name="Offer Comparison" sheetId="64" r:id="rId5"/>
    <sheet name="Partnership Analysis" sheetId="63" r:id="rId6"/>
    <sheet name="Partnership Sensitivity Tables" sheetId="65" r:id="rId7"/>
    <sheet name="100% Buyout Analysis" sheetId="61" r:id="rId8"/>
    <sheet name="P&amp;L Overview" sheetId="8" r:id="rId9"/>
    <sheet name="Software Overview" sheetId="55" r:id="rId10"/>
    <sheet name="Earnings Sensitivity Table" sheetId="56" r:id="rId11"/>
    <sheet name="P&amp;L Overview (Target Version)" sheetId="18" r:id="rId12"/>
    <sheet name="P&amp;L Forecast" sheetId="11" r:id="rId13"/>
    <sheet name="Expense Charts" sheetId="16" r:id="rId14"/>
    <sheet name="Tech Stack" sheetId="19" r:id="rId15"/>
    <sheet name="Revenue Analysis" sheetId="9" r:id="rId16"/>
    <sheet name="Revenue Charts" sheetId="10" r:id="rId17"/>
    <sheet name="Expense Analysis" sheetId="17" r:id="rId18"/>
    <sheet name="Client Overview" sheetId="31" r:id="rId19"/>
    <sheet name="Client Retention" sheetId="33" r:id="rId20"/>
    <sheet name="Customer Retention Charts" sheetId="37" r:id="rId21"/>
    <sheet name="Client Retention $" sheetId="38" r:id="rId22"/>
    <sheet name="Client Retention Charts $" sheetId="39" r:id="rId23"/>
    <sheet name="Client Concentration" sheetId="51" r:id="rId24"/>
    <sheet name="Employee Overview" sheetId="35" r:id="rId25"/>
    <sheet name="Employee Retention" sheetId="46" r:id="rId26"/>
    <sheet name="Adj. Employee Retention" sheetId="59" r:id="rId27"/>
    <sheet name="Steady-State Staffing" sheetId="52" r:id="rId28"/>
    <sheet name="Tenure Charts" sheetId="47" r:id="rId29"/>
    <sheet name="Employee Retention Charts" sheetId="48" r:id="rId30"/>
    <sheet name="Yearly Employee Wins &amp; Losses" sheetId="49" r:id="rId31"/>
    <sheet name="Raw Data" sheetId="57" r:id="rId32"/>
    <sheet name="Employee Data --&gt;" sheetId="41" r:id="rId33"/>
    <sheet name="Combined Employee Worksheet" sheetId="45" r:id="rId34"/>
    <sheet name="Headcount &amp; Compensation" sheetId="34" r:id="rId35"/>
    <sheet name="Inactive Employees" sheetId="42" r:id="rId36"/>
    <sheet name="Employee Mapping" sheetId="44" r:id="rId37"/>
    <sheet name="Employee Summary" sheetId="43" r:id="rId38"/>
    <sheet name="Owner Mapped P&amp;L" sheetId="40" r:id="rId39"/>
    <sheet name="Customer Data --&gt;" sheetId="20" r:id="rId40"/>
    <sheet name="Full Customer List" sheetId="30" r:id="rId41"/>
    <sheet name="Missing End Dates" sheetId="36" r:id="rId42"/>
    <sheet name="Client Departures" sheetId="29" r:id="rId43"/>
    <sheet name="Revenue by Customer" sheetId="23" r:id="rId44"/>
    <sheet name="Customer List w Software" sheetId="27" r:id="rId45"/>
    <sheet name="Customer List Mapping" sheetId="32" r:id="rId46"/>
    <sheet name="README" sheetId="21" r:id="rId47"/>
    <sheet name="Summary" sheetId="22" r:id="rId48"/>
    <sheet name="Monthly Trend" sheetId="24" r:id="rId49"/>
    <sheet name="New &amp; Lost Revenue" sheetId="25" r:id="rId50"/>
    <sheet name="Recurring vs Total" sheetId="26" r:id="rId51"/>
    <sheet name="Definitions" sheetId="28" r:id="rId52"/>
    <sheet name="Financial Data --&gt;" sheetId="6" r:id="rId53"/>
    <sheet name="Combined P&amp;L" sheetId="2" r:id="rId54"/>
    <sheet name="Software" sheetId="12" r:id="rId55"/>
    <sheet name="Raw - 2024 PL" sheetId="3" r:id="rId56"/>
    <sheet name="Raw - 2025 PL" sheetId="4" r:id="rId57"/>
    <sheet name="Raw - 2026 PL" sheetId="5" r:id="rId58"/>
  </sheets>
  <externalReferences>
    <externalReference r:id="rId59"/>
  </externalReferences>
  <definedNames>
    <definedName name="__CF96" localSheetId="3">#REF!</definedName>
    <definedName name="__CF96">#REF!</definedName>
    <definedName name="_apr1" localSheetId="3">#REF!</definedName>
    <definedName name="_apr1">#REF!</definedName>
    <definedName name="_apr2" localSheetId="3">#REF!</definedName>
    <definedName name="_apr2">#REF!</definedName>
    <definedName name="_aug1">#REF!</definedName>
    <definedName name="_AUG3">#REF!</definedName>
    <definedName name="_CF96">#REF!</definedName>
    <definedName name="_feb021">#REF!</definedName>
    <definedName name="_feb023">#REF!</definedName>
    <definedName name="_xlnm._FilterDatabase" localSheetId="34">'Headcount &amp; Compensation'!A1:L91</definedName>
    <definedName name="_xlnm._FilterDatabase" localSheetId="35" hidden="1">'Inactive Employees'!$A$1:$T$57</definedName>
    <definedName name="_xlnm._FilterDatabase" localSheetId="41" hidden="1">'Missing End Dates'!$B$6:$AA$320</definedName>
    <definedName name="_xlnm._FilterDatabase" localSheetId="54">Software!A5:H67</definedName>
    <definedName name="_IS96">#REF!</definedName>
    <definedName name="_jan021">#REF!</definedName>
    <definedName name="_JAN023">#REF!</definedName>
    <definedName name="_JF1">#REF!</definedName>
    <definedName name="_jul1">#REF!</definedName>
    <definedName name="_JUL3">#REF!</definedName>
    <definedName name="_may1">#REF!</definedName>
    <definedName name="_MAY3">#REF!</definedName>
    <definedName name="_NOV2">#REF!</definedName>
    <definedName name="_OCT1">#REF!</definedName>
    <definedName name="_OCT3">#REF!</definedName>
    <definedName name="_QTR32" localSheetId="3">#REF!</definedName>
    <definedName name="_QTR32">#REF!</definedName>
    <definedName name="_yr011" localSheetId="3">#REF!</definedName>
    <definedName name="_yr011">#REF!</definedName>
    <definedName name="_YR012" localSheetId="3">#REF!</definedName>
    <definedName name="_YR012">#REF!</definedName>
    <definedName name="a">#REF!</definedName>
    <definedName name="amparo">#REF!</definedName>
    <definedName name="amparo1">#REF!</definedName>
    <definedName name="amparo2">#REF!</definedName>
    <definedName name="area1">#REF!</definedName>
    <definedName name="area2">#REF!</definedName>
    <definedName name="area3" localSheetId="3">#REF!</definedName>
    <definedName name="area3">#REF!</definedName>
    <definedName name="awqwqw">#REF!</definedName>
    <definedName name="CF">#REF!</definedName>
    <definedName name="CompName">#REF!</definedName>
    <definedName name="FEB01YTD1" localSheetId="3">#REF!</definedName>
    <definedName name="FEB01YTD1">#REF!</definedName>
    <definedName name="JULY2">#REF!</definedName>
    <definedName name="LAST">#REF!</definedName>
    <definedName name="mr" localSheetId="3">#REF!</definedName>
    <definedName name="mr">#REF!</definedName>
    <definedName name="new" localSheetId="3">#REF!</definedName>
    <definedName name="new">#REF!</definedName>
    <definedName name="NINE1">#REF!</definedName>
    <definedName name="NINE2">#REF!</definedName>
    <definedName name="nov1st">#REF!</definedName>
    <definedName name="nov2nd">#REF!</definedName>
    <definedName name="OK">#REF!</definedName>
    <definedName name="old">#REF!</definedName>
    <definedName name="PeriodEnd">#REF!</definedName>
    <definedName name="_xlnm.Print_Area" localSheetId="7">'100% Buyout Analysis'!$B$2:$D$89,'100% Buyout Analysis'!$B$91:$D$162</definedName>
    <definedName name="_xlnm.Print_Area" localSheetId="26">'Adj. Employee Retention'!$B$2:$AB$60,'Adj. Employee Retention'!$B$62:$AB$105</definedName>
    <definedName name="_xlnm.Print_Area" localSheetId="2">'Ben''s Partnership Model'!$B$2:$D$42,'Ben''s Partnership Model'!$B$44:$D$99,'Ben''s Partnership Model'!$B$101:$D$145</definedName>
    <definedName name="_xlnm.Print_Area" localSheetId="23">'Client Concentration'!$B$2:$J$29</definedName>
    <definedName name="_xlnm.Print_Area" localSheetId="18">'Client Overview'!$B$2:$J$46</definedName>
    <definedName name="_xlnm.Print_Area" localSheetId="19">'Client Retention'!$B$2:$AD$48,'Client Retention'!$B$50:$AD$93</definedName>
    <definedName name="_xlnm.Print_Area" localSheetId="21">'Client Retention $'!$B$2:$AD$51,'Client Retention $'!$B$53:$AD$99</definedName>
    <definedName name="_xlnm.Print_Area" localSheetId="22">'Client Retention Charts $'!$B$32:$L$56,'Client Retention Charts $'!$B$2:$L$30,'Client Retention Charts $'!$B$58:$L$83</definedName>
    <definedName name="_xlnm.Print_Area" localSheetId="0">Cover!$B$2:$Q$39</definedName>
    <definedName name="_xlnm.Print_Area" localSheetId="20">'Customer Retention Charts'!$B$32:$L$56,'Customer Retention Charts'!$B$2:$L$30,'Customer Retention Charts'!$B$58:$L$83,'Customer Retention Charts'!$B$85:$L$109</definedName>
    <definedName name="_xlnm.Print_Area" localSheetId="24">'Employee Overview'!$B$2:$T$40</definedName>
    <definedName name="_xlnm.Print_Area" localSheetId="25">'Employee Retention'!$B$2:$AB$60,'Employee Retention'!$B$62:$AB$105</definedName>
    <definedName name="_xlnm.Print_Area" localSheetId="29">'Employee Retention Charts'!$B$32:$L$56,'Employee Retention Charts'!$B$2:$L$30,'Employee Retention Charts'!$B$58:$L$83,'Employee Retention Charts'!$B$85:$L$109</definedName>
    <definedName name="_xlnm.Print_Area" localSheetId="17">'Expense Analysis'!$B$2:$S$40,'Expense Analysis'!$B$42:$S$83</definedName>
    <definedName name="_xlnm.Print_Area" localSheetId="13">'Expense Charts'!$B$2:$L$84</definedName>
    <definedName name="_xlnm.Print_Area" localSheetId="41">'Missing End Dates'!$B$2:$AA$280</definedName>
    <definedName name="_xlnm.Print_Area" localSheetId="4">'Offer Comparison'!$B$2:$E$67,'Offer Comparison'!$B$69:$E$113,'Offer Comparison'!$B$116:$E$152</definedName>
    <definedName name="_xlnm.Print_Area" localSheetId="1">'Offer Overview'!$B$2:$E$94</definedName>
    <definedName name="_xlnm.Print_Area" localSheetId="8">'P&amp;L Overview'!$B$2:$N$73</definedName>
    <definedName name="_xlnm.Print_Area" localSheetId="11">'P&amp;L Overview (Target Version)'!$B$2:$N$48</definedName>
    <definedName name="_xlnm.Print_Area" localSheetId="5">'Partnership Analysis'!$B$2:$D$43,'Partnership Analysis'!$B$45:$D$111,'Partnership Analysis'!$B$113:$D$171</definedName>
    <definedName name="_xlnm.Print_Area" localSheetId="6">'Partnership Sensitivity Tables'!$B$2:$L$82,'Partnership Sensitivity Tables'!$B$85:$L$162,'Partnership Sensitivity Tables'!$B$165:$L$242,'Partnership Sensitivity Tables'!$B$245:$L$322,'Partnership Sensitivity Tables'!$B$325:$L$402</definedName>
    <definedName name="_xlnm.Print_Area" localSheetId="15">'Revenue Analysis'!$B$2:$R$46</definedName>
    <definedName name="_xlnm.Print_Area" localSheetId="16">'Revenue Charts'!$B$2:$L$44</definedName>
    <definedName name="_xlnm.Print_Area" localSheetId="9">'Software Overview'!$B$2:$M$36</definedName>
    <definedName name="_xlnm.Print_Area" localSheetId="27">'Steady-State Staffing'!$B$2:$AB$35</definedName>
    <definedName name="_xlnm.Print_Area" localSheetId="14">'Tech Stack'!$B$2:$H$48</definedName>
    <definedName name="_xlnm.Print_Area" localSheetId="28">'Tenure Charts'!$B$2:$G$42</definedName>
    <definedName name="_xlnm.Print_Area" localSheetId="30">'Yearly Employee Wins &amp; Losses'!$B$2:$G$78</definedName>
    <definedName name="_xlnm.Print_Titles" localSheetId="7">'100% Buyout Analysis'!$1:$4</definedName>
    <definedName name="_xlnm.Print_Titles" localSheetId="26">'Adj. Employee Retention'!$2:$4</definedName>
    <definedName name="_xlnm.Print_Titles" localSheetId="2">'Ben''s Partnership Model'!$1:$4</definedName>
    <definedName name="_xlnm.Print_Titles" localSheetId="19">'Client Retention'!$2:$4</definedName>
    <definedName name="_xlnm.Print_Titles" localSheetId="21">'Client Retention $'!$2:$4</definedName>
    <definedName name="_xlnm.Print_Titles" localSheetId="22">'Client Retention Charts $'!$2:$4</definedName>
    <definedName name="_xlnm.Print_Titles" localSheetId="53">'Combined P&amp;L'!$5:$5</definedName>
    <definedName name="_xlnm.Print_Titles" localSheetId="20">'Customer Retention Charts'!$2:$4</definedName>
    <definedName name="_xlnm.Print_Titles" localSheetId="25">'Employee Retention'!$2:$4</definedName>
    <definedName name="_xlnm.Print_Titles" localSheetId="29">'Employee Retention Charts'!$2:$4</definedName>
    <definedName name="_xlnm.Print_Titles" localSheetId="17">'Expense Analysis'!$2:$6</definedName>
    <definedName name="_xlnm.Print_Titles" localSheetId="13">'Expense Charts'!$2:$4</definedName>
    <definedName name="_xlnm.Print_Titles" localSheetId="4">'Offer Comparison'!$2:$4</definedName>
    <definedName name="_xlnm.Print_Titles" localSheetId="5">'Partnership Analysis'!$1:$4</definedName>
    <definedName name="_xlnm.Print_Titles" localSheetId="6">'Partnership Sensitivity Tables'!$2:$4</definedName>
    <definedName name="Q3ONE" localSheetId="3">#REF!</definedName>
    <definedName name="Q3ONE">#REF!</definedName>
    <definedName name="Q3TWO" localSheetId="3">#REF!</definedName>
    <definedName name="Q3TWO">#REF!</definedName>
    <definedName name="q4one" localSheetId="3">#REF!</definedName>
    <definedName name="q4one">#REF!</definedName>
    <definedName name="Q4TWO">#REF!</definedName>
    <definedName name="QONE3">#REF!</definedName>
    <definedName name="sas">#REF!</definedName>
    <definedName name="SE">#REF!</definedName>
    <definedName name="sept30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6" l="1"/>
  <c r="C12" i="66"/>
  <c r="AS63" i="67"/>
  <c r="AS65" i="67" s="1"/>
  <c r="C16" i="66"/>
  <c r="D113" i="66" s="1"/>
  <c r="C11" i="66"/>
  <c r="C17" i="66" l="1"/>
  <c r="C15" i="66"/>
  <c r="C13" i="66"/>
  <c r="D112" i="66" s="1"/>
  <c r="C18" i="66"/>
  <c r="D110" i="66" l="1"/>
  <c r="C172" i="66"/>
  <c r="C185" i="66"/>
  <c r="C186" i="66" s="1"/>
  <c r="B184" i="66"/>
  <c r="C167" i="66"/>
  <c r="C158" i="66"/>
  <c r="C80" i="66" s="1"/>
  <c r="C150" i="66"/>
  <c r="C46" i="66"/>
  <c r="D147" i="66"/>
  <c r="C141" i="66"/>
  <c r="C140" i="66"/>
  <c r="D115" i="66"/>
  <c r="C101" i="66"/>
  <c r="C93" i="66"/>
  <c r="D89" i="66"/>
  <c r="C89" i="66"/>
  <c r="C75" i="66"/>
  <c r="D72" i="66"/>
  <c r="D70" i="66"/>
  <c r="C70" i="66"/>
  <c r="C62" i="66"/>
  <c r="C55" i="66"/>
  <c r="C54" i="66"/>
  <c r="C57" i="66" s="1"/>
  <c r="D80" i="66" s="1"/>
  <c r="C19" i="66" s="1"/>
  <c r="B37" i="66"/>
  <c r="C35" i="66"/>
  <c r="B35" i="66"/>
  <c r="C26" i="66"/>
  <c r="C189" i="63"/>
  <c r="D21" i="64"/>
  <c r="E21" i="64"/>
  <c r="C54" i="60"/>
  <c r="C60" i="60"/>
  <c r="C61" i="60"/>
  <c r="D67" i="60"/>
  <c r="E67" i="60"/>
  <c r="D72" i="60"/>
  <c r="D77" i="60" s="1"/>
  <c r="E72" i="60"/>
  <c r="E77" i="60" s="1"/>
  <c r="B78" i="60"/>
  <c r="B79" i="60"/>
  <c r="B80" i="60"/>
  <c r="D82" i="60"/>
  <c r="E82" i="60"/>
  <c r="B83" i="60"/>
  <c r="B84" i="60"/>
  <c r="B85" i="60"/>
  <c r="D89" i="60"/>
  <c r="E89" i="60"/>
  <c r="C99" i="60"/>
  <c r="C101" i="60"/>
  <c r="C102" i="60"/>
  <c r="C103" i="60"/>
  <c r="C104" i="60"/>
  <c r="C105" i="60"/>
  <c r="C106" i="60"/>
  <c r="C107" i="60"/>
  <c r="C27" i="60"/>
  <c r="D14" i="60"/>
  <c r="BD355" i="65"/>
  <c r="BJ355" i="65"/>
  <c r="BP355" i="65"/>
  <c r="BV355" i="65"/>
  <c r="CB355" i="65"/>
  <c r="CH355" i="65"/>
  <c r="CN355" i="65"/>
  <c r="CT355" i="65"/>
  <c r="CZ355" i="65"/>
  <c r="BD275" i="65"/>
  <c r="BJ275" i="65"/>
  <c r="BP275" i="65"/>
  <c r="BV275" i="65"/>
  <c r="CB275" i="65"/>
  <c r="CH275" i="65"/>
  <c r="CN275" i="65"/>
  <c r="CT275" i="65"/>
  <c r="CZ275" i="65"/>
  <c r="BD195" i="65"/>
  <c r="BJ195" i="65"/>
  <c r="BP195" i="65"/>
  <c r="BV195" i="65"/>
  <c r="CB195" i="65"/>
  <c r="CH195" i="65"/>
  <c r="CN195" i="65"/>
  <c r="CT195" i="65"/>
  <c r="CZ195" i="65"/>
  <c r="BD115" i="65"/>
  <c r="BJ115" i="65"/>
  <c r="BP115" i="65"/>
  <c r="BV115" i="65"/>
  <c r="CB115" i="65"/>
  <c r="CH115" i="65"/>
  <c r="CN115" i="65"/>
  <c r="CT115" i="65"/>
  <c r="CZ115" i="65"/>
  <c r="BD35" i="65"/>
  <c r="BJ35" i="65"/>
  <c r="BP35" i="65"/>
  <c r="BV35" i="65"/>
  <c r="CB35" i="65"/>
  <c r="CH35" i="65"/>
  <c r="CN35" i="65"/>
  <c r="CT35" i="65"/>
  <c r="CZ35" i="65"/>
  <c r="D13" i="64"/>
  <c r="D14" i="64"/>
  <c r="D15" i="64"/>
  <c r="C96" i="61"/>
  <c r="C39" i="63"/>
  <c r="G459" i="65" s="1"/>
  <c r="C35" i="63"/>
  <c r="C32" i="63"/>
  <c r="C25" i="63"/>
  <c r="C26" i="63" s="1"/>
  <c r="C38" i="63" s="1"/>
  <c r="C16" i="63"/>
  <c r="D139" i="63" s="1"/>
  <c r="C14" i="63"/>
  <c r="C10" i="63"/>
  <c r="C7" i="63"/>
  <c r="C33" i="64"/>
  <c r="D33" i="64"/>
  <c r="D29" i="64"/>
  <c r="E29" i="64" s="1"/>
  <c r="D28" i="64"/>
  <c r="E28" i="64" s="1"/>
  <c r="D27" i="64"/>
  <c r="C31" i="61" s="1"/>
  <c r="E27" i="64"/>
  <c r="D25" i="64"/>
  <c r="E25" i="64" s="1"/>
  <c r="D20" i="64"/>
  <c r="E20" i="64" s="1"/>
  <c r="D19" i="64"/>
  <c r="C13" i="61" s="1"/>
  <c r="E19" i="64"/>
  <c r="D18" i="64"/>
  <c r="E18" i="64" s="1"/>
  <c r="E17" i="64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1" i="12" s="1"/>
  <c r="D6" i="12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05" i="2" s="1"/>
  <c r="E117" i="2"/>
  <c r="E105" i="2" s="1"/>
  <c r="AN113" i="2"/>
  <c r="AB112" i="2"/>
  <c r="AA112" i="2"/>
  <c r="AR111" i="2"/>
  <c r="AQ111" i="2"/>
  <c r="AP111" i="2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N112" i="2" s="1"/>
  <c r="I111" i="2"/>
  <c r="H111" i="2"/>
  <c r="AR110" i="2"/>
  <c r="AR112" i="2" s="1"/>
  <c r="AQ110" i="2"/>
  <c r="AQ112" i="2" s="1"/>
  <c r="AP110" i="2"/>
  <c r="AP112" i="2" s="1"/>
  <c r="AO110" i="2"/>
  <c r="AN110" i="2"/>
  <c r="AN112" i="2" s="1"/>
  <c r="AM110" i="2"/>
  <c r="AM112" i="2" s="1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H110" i="2" s="1"/>
  <c r="Z110" i="2"/>
  <c r="Y110" i="2"/>
  <c r="X110" i="2"/>
  <c r="W110" i="2"/>
  <c r="V110" i="2"/>
  <c r="U110" i="2"/>
  <c r="T110" i="2"/>
  <c r="S110" i="2"/>
  <c r="R110" i="2"/>
  <c r="Q110" i="2"/>
  <c r="P110" i="2"/>
  <c r="O110" i="2"/>
  <c r="E110" i="2" s="1"/>
  <c r="N110" i="2"/>
  <c r="AK109" i="2"/>
  <c r="AJ109" i="2"/>
  <c r="AI109" i="2"/>
  <c r="AH109" i="2"/>
  <c r="AG109" i="2"/>
  <c r="AF109" i="2"/>
  <c r="AE109" i="2"/>
  <c r="AD109" i="2"/>
  <c r="AD112" i="2" s="1"/>
  <c r="AC109" i="2"/>
  <c r="H109" i="2" s="1"/>
  <c r="AB109" i="2"/>
  <c r="AA109" i="2"/>
  <c r="Z109" i="2"/>
  <c r="I109" i="2"/>
  <c r="E109" i="2"/>
  <c r="AK108" i="2"/>
  <c r="AJ108" i="2"/>
  <c r="AJ112" i="2" s="1"/>
  <c r="AI108" i="2"/>
  <c r="AI112" i="2" s="1"/>
  <c r="AH108" i="2"/>
  <c r="AH112" i="2" s="1"/>
  <c r="AG108" i="2"/>
  <c r="AG112" i="2" s="1"/>
  <c r="AF108" i="2"/>
  <c r="AF112" i="2" s="1"/>
  <c r="AE108" i="2"/>
  <c r="AE112" i="2" s="1"/>
  <c r="AD108" i="2"/>
  <c r="AC108" i="2"/>
  <c r="AB108" i="2"/>
  <c r="AA108" i="2"/>
  <c r="H108" i="2" s="1"/>
  <c r="Z108" i="2"/>
  <c r="Z112" i="2" s="1"/>
  <c r="Y108" i="2"/>
  <c r="Y112" i="2" s="1"/>
  <c r="X108" i="2"/>
  <c r="X112" i="2" s="1"/>
  <c r="W108" i="2"/>
  <c r="W112" i="2" s="1"/>
  <c r="V108" i="2"/>
  <c r="V112" i="2" s="1"/>
  <c r="U108" i="2"/>
  <c r="U112" i="2" s="1"/>
  <c r="T108" i="2"/>
  <c r="T112" i="2" s="1"/>
  <c r="S108" i="2"/>
  <c r="S112" i="2" s="1"/>
  <c r="R108" i="2"/>
  <c r="R112" i="2" s="1"/>
  <c r="Q108" i="2"/>
  <c r="Q112" i="2" s="1"/>
  <c r="P108" i="2"/>
  <c r="P112" i="2" s="1"/>
  <c r="O108" i="2"/>
  <c r="E108" i="2" s="1"/>
  <c r="N108" i="2"/>
  <c r="I108" i="2"/>
  <c r="AN106" i="2"/>
  <c r="AM106" i="2"/>
  <c r="AM113" i="2" s="1"/>
  <c r="AL106" i="2"/>
  <c r="I106" i="2" s="1"/>
  <c r="D151" i="2" s="1"/>
  <c r="F151" i="2" s="1"/>
  <c r="AK106" i="2"/>
  <c r="AJ106" i="2"/>
  <c r="Y106" i="2"/>
  <c r="W106" i="2"/>
  <c r="W113" i="2" s="1"/>
  <c r="V106" i="2"/>
  <c r="V113" i="2" s="1"/>
  <c r="U106" i="2"/>
  <c r="T106" i="2"/>
  <c r="AR105" i="2"/>
  <c r="AR106" i="2" s="1"/>
  <c r="AR113" i="2" s="1"/>
  <c r="AQ105" i="2"/>
  <c r="AQ106" i="2" s="1"/>
  <c r="AQ113" i="2" s="1"/>
  <c r="AP105" i="2"/>
  <c r="AP106" i="2" s="1"/>
  <c r="AP113" i="2" s="1"/>
  <c r="AO105" i="2"/>
  <c r="AO106" i="2" s="1"/>
  <c r="AO113" i="2" s="1"/>
  <c r="AN105" i="2"/>
  <c r="AM105" i="2"/>
  <c r="AL105" i="2"/>
  <c r="AK105" i="2"/>
  <c r="AJ105" i="2"/>
  <c r="AI105" i="2"/>
  <c r="AI106" i="2" s="1"/>
  <c r="AI113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B113" i="2" s="1"/>
  <c r="AA105" i="2"/>
  <c r="AA106" i="2" s="1"/>
  <c r="AA113" i="2" s="1"/>
  <c r="Z105" i="2"/>
  <c r="H105" i="2" s="1"/>
  <c r="Y104" i="2"/>
  <c r="X104" i="2"/>
  <c r="X106" i="2" s="1"/>
  <c r="X113" i="2" s="1"/>
  <c r="W104" i="2"/>
  <c r="V104" i="2"/>
  <c r="U104" i="2"/>
  <c r="T104" i="2"/>
  <c r="S104" i="2"/>
  <c r="S106" i="2" s="1"/>
  <c r="S113" i="2" s="1"/>
  <c r="R104" i="2"/>
  <c r="R106" i="2" s="1"/>
  <c r="Q104" i="2"/>
  <c r="Q106" i="2" s="1"/>
  <c r="P104" i="2"/>
  <c r="P106" i="2" s="1"/>
  <c r="O104" i="2"/>
  <c r="O106" i="2" s="1"/>
  <c r="N104" i="2"/>
  <c r="N106" i="2" s="1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E99" i="2" s="1"/>
  <c r="N99" i="2"/>
  <c r="H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E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H97" i="2" s="1"/>
  <c r="AB97" i="2"/>
  <c r="AA97" i="2"/>
  <c r="Z97" i="2"/>
  <c r="E97" i="2"/>
  <c r="AK96" i="2"/>
  <c r="AJ96" i="2"/>
  <c r="AI96" i="2"/>
  <c r="AH96" i="2"/>
  <c r="AG96" i="2"/>
  <c r="AF96" i="2"/>
  <c r="AE96" i="2"/>
  <c r="H96" i="2" s="1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H95" i="2" s="1"/>
  <c r="I95" i="2"/>
  <c r="E95" i="2"/>
  <c r="AR94" i="2"/>
  <c r="AQ94" i="2"/>
  <c r="AP94" i="2"/>
  <c r="I94" i="2" s="1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H94" i="2" s="1"/>
  <c r="E94" i="2"/>
  <c r="AR93" i="2"/>
  <c r="AQ93" i="2"/>
  <c r="AP93" i="2"/>
  <c r="AO93" i="2"/>
  <c r="AN93" i="2"/>
  <c r="AM93" i="2"/>
  <c r="AL93" i="2"/>
  <c r="I93" i="2"/>
  <c r="H93" i="2"/>
  <c r="E93" i="2"/>
  <c r="AR92" i="2"/>
  <c r="AQ92" i="2"/>
  <c r="AP92" i="2"/>
  <c r="AO92" i="2"/>
  <c r="AN92" i="2"/>
  <c r="AM92" i="2"/>
  <c r="AM98" i="2" s="1"/>
  <c r="AL92" i="2"/>
  <c r="AK92" i="2"/>
  <c r="AJ92" i="2"/>
  <c r="AJ98" i="2" s="1"/>
  <c r="AI92" i="2"/>
  <c r="AH92" i="2"/>
  <c r="AG92" i="2"/>
  <c r="AF92" i="2"/>
  <c r="AE92" i="2"/>
  <c r="AD92" i="2"/>
  <c r="AC92" i="2"/>
  <c r="AB92" i="2"/>
  <c r="AA92" i="2"/>
  <c r="Z92" i="2"/>
  <c r="I92" i="2"/>
  <c r="E92" i="2"/>
  <c r="AR91" i="2"/>
  <c r="AR98" i="2" s="1"/>
  <c r="AQ91" i="2"/>
  <c r="AQ98" i="2" s="1"/>
  <c r="AP91" i="2"/>
  <c r="AP98" i="2" s="1"/>
  <c r="AO91" i="2"/>
  <c r="AO98" i="2" s="1"/>
  <c r="AN91" i="2"/>
  <c r="AM91" i="2"/>
  <c r="AL91" i="2"/>
  <c r="AL98" i="2" s="1"/>
  <c r="I98" i="2" s="1"/>
  <c r="AK91" i="2"/>
  <c r="AK98" i="2" s="1"/>
  <c r="AJ91" i="2"/>
  <c r="AI91" i="2"/>
  <c r="AI98" i="2" s="1"/>
  <c r="AH91" i="2"/>
  <c r="AH98" i="2" s="1"/>
  <c r="AG91" i="2"/>
  <c r="AF91" i="2"/>
  <c r="AE91" i="2"/>
  <c r="AD91" i="2"/>
  <c r="AD98" i="2" s="1"/>
  <c r="AC91" i="2"/>
  <c r="AC98" i="2" s="1"/>
  <c r="AB91" i="2"/>
  <c r="AB98" i="2" s="1"/>
  <c r="AA91" i="2"/>
  <c r="AA98" i="2" s="1"/>
  <c r="Z91" i="2"/>
  <c r="H91" i="2" s="1"/>
  <c r="E91" i="2"/>
  <c r="AR89" i="2"/>
  <c r="AQ89" i="2"/>
  <c r="AP89" i="2"/>
  <c r="AO89" i="2"/>
  <c r="I89" i="2" s="1"/>
  <c r="AN89" i="2"/>
  <c r="AM89" i="2"/>
  <c r="AL89" i="2"/>
  <c r="AK89" i="2"/>
  <c r="AJ89" i="2"/>
  <c r="AI89" i="2"/>
  <c r="AH89" i="2"/>
  <c r="AG89" i="2"/>
  <c r="AF89" i="2"/>
  <c r="AE89" i="2"/>
  <c r="H89" i="2" s="1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E89" i="2" s="1"/>
  <c r="N89" i="2"/>
  <c r="AR88" i="2"/>
  <c r="AQ88" i="2"/>
  <c r="AP88" i="2"/>
  <c r="AO88" i="2"/>
  <c r="AN88" i="2"/>
  <c r="AM88" i="2"/>
  <c r="I88" i="2" s="1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E88" i="2" s="1"/>
  <c r="V88" i="2"/>
  <c r="U88" i="2"/>
  <c r="T88" i="2"/>
  <c r="S88" i="2"/>
  <c r="R88" i="2"/>
  <c r="Q88" i="2"/>
  <c r="P88" i="2"/>
  <c r="O88" i="2"/>
  <c r="N88" i="2"/>
  <c r="H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H87" i="2" s="1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E86" i="2" s="1"/>
  <c r="I86" i="2"/>
  <c r="AL85" i="2"/>
  <c r="AJ85" i="2"/>
  <c r="AJ100" i="2" s="1"/>
  <c r="AI85" i="2"/>
  <c r="AI100" i="2" s="1"/>
  <c r="Y85" i="2"/>
  <c r="Y100" i="2" s="1"/>
  <c r="X85" i="2"/>
  <c r="X100" i="2" s="1"/>
  <c r="V85" i="2"/>
  <c r="V100" i="2" s="1"/>
  <c r="U85" i="2"/>
  <c r="U100" i="2" s="1"/>
  <c r="T85" i="2"/>
  <c r="T100" i="2" s="1"/>
  <c r="S85" i="2"/>
  <c r="S100" i="2" s="1"/>
  <c r="P85" i="2"/>
  <c r="P100" i="2" s="1"/>
  <c r="AR84" i="2"/>
  <c r="AQ84" i="2"/>
  <c r="AP84" i="2"/>
  <c r="AO84" i="2"/>
  <c r="AN84" i="2"/>
  <c r="I84" i="2" s="1"/>
  <c r="AM84" i="2"/>
  <c r="AL84" i="2"/>
  <c r="AK84" i="2"/>
  <c r="AK85" i="2" s="1"/>
  <c r="AK100" i="2" s="1"/>
  <c r="AJ84" i="2"/>
  <c r="AI84" i="2"/>
  <c r="AH84" i="2"/>
  <c r="AG84" i="2"/>
  <c r="AF84" i="2"/>
  <c r="AF85" i="2" s="1"/>
  <c r="AE84" i="2"/>
  <c r="AD84" i="2"/>
  <c r="AC84" i="2"/>
  <c r="AB84" i="2"/>
  <c r="AA84" i="2"/>
  <c r="Z84" i="2"/>
  <c r="H84" i="2" s="1"/>
  <c r="K84" i="2"/>
  <c r="E84" i="2"/>
  <c r="AR83" i="2"/>
  <c r="AQ83" i="2"/>
  <c r="AP83" i="2"/>
  <c r="AO83" i="2"/>
  <c r="AO85" i="2" s="1"/>
  <c r="AO100" i="2" s="1"/>
  <c r="AN83" i="2"/>
  <c r="I83" i="2" s="1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H83" i="2" s="1"/>
  <c r="E83" i="2"/>
  <c r="AR82" i="2"/>
  <c r="AR85" i="2" s="1"/>
  <c r="AR100" i="2" s="1"/>
  <c r="AQ82" i="2"/>
  <c r="AQ85" i="2" s="1"/>
  <c r="AQ100" i="2" s="1"/>
  <c r="AP82" i="2"/>
  <c r="AO82" i="2"/>
  <c r="AN82" i="2"/>
  <c r="AM82" i="2"/>
  <c r="AM85" i="2" s="1"/>
  <c r="AL82" i="2"/>
  <c r="AK82" i="2"/>
  <c r="AJ82" i="2"/>
  <c r="AI82" i="2"/>
  <c r="AH82" i="2"/>
  <c r="AH85" i="2" s="1"/>
  <c r="AG82" i="2"/>
  <c r="AG85" i="2" s="1"/>
  <c r="AF82" i="2"/>
  <c r="AE82" i="2"/>
  <c r="AE85" i="2" s="1"/>
  <c r="AD82" i="2"/>
  <c r="AD85" i="2" s="1"/>
  <c r="AD100" i="2" s="1"/>
  <c r="AC82" i="2"/>
  <c r="AC85" i="2" s="1"/>
  <c r="AC100" i="2" s="1"/>
  <c r="AB82" i="2"/>
  <c r="AB85" i="2" s="1"/>
  <c r="AB100" i="2" s="1"/>
  <c r="AA82" i="2"/>
  <c r="AA85" i="2" s="1"/>
  <c r="AA100" i="2" s="1"/>
  <c r="Z82" i="2"/>
  <c r="Z85" i="2" s="1"/>
  <c r="Y82" i="2"/>
  <c r="X82" i="2"/>
  <c r="W82" i="2"/>
  <c r="W85" i="2" s="1"/>
  <c r="W100" i="2" s="1"/>
  <c r="V82" i="2"/>
  <c r="U82" i="2"/>
  <c r="T82" i="2"/>
  <c r="S82" i="2"/>
  <c r="R82" i="2"/>
  <c r="R85" i="2" s="1"/>
  <c r="Q82" i="2"/>
  <c r="Q85" i="2" s="1"/>
  <c r="Q100" i="2" s="1"/>
  <c r="P82" i="2"/>
  <c r="O82" i="2"/>
  <c r="O85" i="2" s="1"/>
  <c r="O100" i="2" s="1"/>
  <c r="N82" i="2"/>
  <c r="E82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H80" i="2" s="1"/>
  <c r="AD80" i="2"/>
  <c r="AC80" i="2"/>
  <c r="AB80" i="2"/>
  <c r="AA80" i="2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H78" i="2" s="1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E78" i="2" s="1"/>
  <c r="AR77" i="2"/>
  <c r="AQ77" i="2"/>
  <c r="AP77" i="2"/>
  <c r="AO77" i="2"/>
  <c r="I77" i="2" s="1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I76" i="2" s="1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H76" i="2"/>
  <c r="AR75" i="2"/>
  <c r="I75" i="2" s="1"/>
  <c r="AQ75" i="2"/>
  <c r="AP75" i="2"/>
  <c r="AO75" i="2"/>
  <c r="AN75" i="2"/>
  <c r="AM75" i="2"/>
  <c r="AL75" i="2"/>
  <c r="K75" i="2"/>
  <c r="H75" i="2"/>
  <c r="E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K74" i="2" s="1"/>
  <c r="X74" i="2"/>
  <c r="W74" i="2"/>
  <c r="V74" i="2"/>
  <c r="U74" i="2"/>
  <c r="T74" i="2"/>
  <c r="S74" i="2"/>
  <c r="R74" i="2"/>
  <c r="Q74" i="2"/>
  <c r="P74" i="2"/>
  <c r="O74" i="2"/>
  <c r="N74" i="2"/>
  <c r="E74" i="2" s="1"/>
  <c r="H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E73" i="2" s="1"/>
  <c r="Y72" i="2"/>
  <c r="X72" i="2"/>
  <c r="W72" i="2"/>
  <c r="V72" i="2"/>
  <c r="U72" i="2"/>
  <c r="T72" i="2"/>
  <c r="S72" i="2"/>
  <c r="R72" i="2"/>
  <c r="Q72" i="2"/>
  <c r="P72" i="2"/>
  <c r="E72" i="2" s="1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E71" i="2" s="1"/>
  <c r="I71" i="2"/>
  <c r="H71" i="2"/>
  <c r="AR70" i="2"/>
  <c r="AQ70" i="2"/>
  <c r="AP70" i="2"/>
  <c r="AO70" i="2"/>
  <c r="AN70" i="2"/>
  <c r="AM70" i="2"/>
  <c r="I70" i="2" s="1"/>
  <c r="AL70" i="2"/>
  <c r="AK70" i="2"/>
  <c r="AJ70" i="2"/>
  <c r="AI70" i="2"/>
  <c r="AH70" i="2"/>
  <c r="AG70" i="2"/>
  <c r="AF70" i="2"/>
  <c r="AE70" i="2"/>
  <c r="H70" i="2" s="1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E70" i="2" s="1"/>
  <c r="N70" i="2"/>
  <c r="AR69" i="2"/>
  <c r="AJ69" i="2"/>
  <c r="AF69" i="2"/>
  <c r="AE69" i="2"/>
  <c r="AC69" i="2"/>
  <c r="AB69" i="2"/>
  <c r="U69" i="2"/>
  <c r="T69" i="2"/>
  <c r="P69" i="2"/>
  <c r="O69" i="2"/>
  <c r="AR68" i="2"/>
  <c r="AQ68" i="2"/>
  <c r="AP68" i="2"/>
  <c r="AO68" i="2"/>
  <c r="AN68" i="2"/>
  <c r="AM68" i="2"/>
  <c r="AL68" i="2"/>
  <c r="I68" i="2" s="1"/>
  <c r="AK68" i="2"/>
  <c r="AK69" i="2" s="1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E68" i="2" s="1"/>
  <c r="P68" i="2"/>
  <c r="O68" i="2"/>
  <c r="N68" i="2"/>
  <c r="H68" i="2"/>
  <c r="AR67" i="2"/>
  <c r="AQ67" i="2"/>
  <c r="AP67" i="2"/>
  <c r="AO67" i="2"/>
  <c r="AO69" i="2" s="1"/>
  <c r="AN67" i="2"/>
  <c r="AM67" i="2"/>
  <c r="AL67" i="2"/>
  <c r="I67" i="2" s="1"/>
  <c r="AK67" i="2"/>
  <c r="AJ67" i="2"/>
  <c r="AI67" i="2"/>
  <c r="AH67" i="2"/>
  <c r="AG67" i="2"/>
  <c r="AF67" i="2"/>
  <c r="AE67" i="2"/>
  <c r="AD67" i="2"/>
  <c r="AC67" i="2"/>
  <c r="H67" i="2" s="1"/>
  <c r="AB67" i="2"/>
  <c r="AA67" i="2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AR66" i="2"/>
  <c r="AQ66" i="2"/>
  <c r="AQ69" i="2" s="1"/>
  <c r="AP66" i="2"/>
  <c r="AP69" i="2" s="1"/>
  <c r="AO66" i="2"/>
  <c r="AN66" i="2"/>
  <c r="AN69" i="2" s="1"/>
  <c r="AM66" i="2"/>
  <c r="AM69" i="2" s="1"/>
  <c r="AL66" i="2"/>
  <c r="AK66" i="2"/>
  <c r="AJ66" i="2"/>
  <c r="AI66" i="2"/>
  <c r="AI69" i="2" s="1"/>
  <c r="AH66" i="2"/>
  <c r="AH69" i="2" s="1"/>
  <c r="AG66" i="2"/>
  <c r="AG69" i="2" s="1"/>
  <c r="AF66" i="2"/>
  <c r="AE66" i="2"/>
  <c r="AD66" i="2"/>
  <c r="AD69" i="2" s="1"/>
  <c r="AC66" i="2"/>
  <c r="AB66" i="2"/>
  <c r="AA66" i="2"/>
  <c r="Z66" i="2"/>
  <c r="Z69" i="2" s="1"/>
  <c r="Y66" i="2"/>
  <c r="X66" i="2"/>
  <c r="X69" i="2" s="1"/>
  <c r="W66" i="2"/>
  <c r="W69" i="2" s="1"/>
  <c r="V66" i="2"/>
  <c r="U66" i="2"/>
  <c r="T66" i="2"/>
  <c r="S66" i="2"/>
  <c r="S69" i="2" s="1"/>
  <c r="R66" i="2"/>
  <c r="R69" i="2" s="1"/>
  <c r="Q66" i="2"/>
  <c r="Q69" i="2" s="1"/>
  <c r="P66" i="2"/>
  <c r="O66" i="2"/>
  <c r="N66" i="2"/>
  <c r="E66" i="2" s="1"/>
  <c r="AR64" i="2"/>
  <c r="AQ64" i="2"/>
  <c r="AP64" i="2"/>
  <c r="AO64" i="2"/>
  <c r="AN64" i="2"/>
  <c r="AM64" i="2"/>
  <c r="AL64" i="2"/>
  <c r="I64" i="2" s="1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E64" i="2" s="1"/>
  <c r="O64" i="2"/>
  <c r="N64" i="2"/>
  <c r="AR63" i="2"/>
  <c r="AQ63" i="2"/>
  <c r="AP63" i="2"/>
  <c r="AO63" i="2"/>
  <c r="AN63" i="2"/>
  <c r="AM63" i="2"/>
  <c r="AL63" i="2"/>
  <c r="I63" i="2" s="1"/>
  <c r="AK63" i="2"/>
  <c r="AJ63" i="2"/>
  <c r="AI63" i="2"/>
  <c r="AH63" i="2"/>
  <c r="AG63" i="2"/>
  <c r="AF63" i="2"/>
  <c r="AE63" i="2"/>
  <c r="AD63" i="2"/>
  <c r="AC63" i="2"/>
  <c r="AB63" i="2"/>
  <c r="H63" i="2" s="1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Q62" i="2"/>
  <c r="AP62" i="2"/>
  <c r="AA62" i="2"/>
  <c r="Z62" i="2"/>
  <c r="R62" i="2"/>
  <c r="AR61" i="2"/>
  <c r="AQ61" i="2"/>
  <c r="AP61" i="2"/>
  <c r="AO61" i="2"/>
  <c r="AN61" i="2"/>
  <c r="AM61" i="2"/>
  <c r="AL61" i="2"/>
  <c r="I61" i="2" s="1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K61" i="2" s="1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I60" i="2" s="1"/>
  <c r="AL60" i="2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K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K59" i="2" s="1"/>
  <c r="X59" i="2"/>
  <c r="W59" i="2"/>
  <c r="V59" i="2"/>
  <c r="V62" i="2" s="1"/>
  <c r="U59" i="2"/>
  <c r="T59" i="2"/>
  <c r="S59" i="2"/>
  <c r="R59" i="2"/>
  <c r="Q59" i="2"/>
  <c r="Q62" i="2" s="1"/>
  <c r="P59" i="2"/>
  <c r="O59" i="2"/>
  <c r="N59" i="2"/>
  <c r="H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AC58" i="2"/>
  <c r="AB58" i="2"/>
  <c r="AA58" i="2"/>
  <c r="Z58" i="2"/>
  <c r="H58" i="2"/>
  <c r="E58" i="2"/>
  <c r="AR57" i="2"/>
  <c r="AQ57" i="2"/>
  <c r="AP57" i="2"/>
  <c r="AO57" i="2"/>
  <c r="AN57" i="2"/>
  <c r="AM57" i="2"/>
  <c r="I57" i="2" s="1"/>
  <c r="AL57" i="2"/>
  <c r="AK57" i="2"/>
  <c r="AJ57" i="2"/>
  <c r="AI57" i="2"/>
  <c r="AH57" i="2"/>
  <c r="AG57" i="2"/>
  <c r="AF57" i="2"/>
  <c r="AE57" i="2"/>
  <c r="H57" i="2" s="1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E57" i="2" s="1"/>
  <c r="N57" i="2"/>
  <c r="AR56" i="2"/>
  <c r="AR62" i="2" s="1"/>
  <c r="AQ56" i="2"/>
  <c r="AP56" i="2"/>
  <c r="AO56" i="2"/>
  <c r="AN56" i="2"/>
  <c r="AM56" i="2"/>
  <c r="AL56" i="2"/>
  <c r="AK56" i="2"/>
  <c r="AJ56" i="2"/>
  <c r="AI56" i="2"/>
  <c r="AI62" i="2" s="1"/>
  <c r="AH56" i="2"/>
  <c r="AG56" i="2"/>
  <c r="AF56" i="2"/>
  <c r="AF62" i="2" s="1"/>
  <c r="AE56" i="2"/>
  <c r="AE62" i="2" s="1"/>
  <c r="AD56" i="2"/>
  <c r="AC56" i="2"/>
  <c r="AC62" i="2" s="1"/>
  <c r="AB56" i="2"/>
  <c r="AA56" i="2"/>
  <c r="Z56" i="2"/>
  <c r="Y56" i="2"/>
  <c r="Y62" i="2" s="1"/>
  <c r="X56" i="2"/>
  <c r="X62" i="2" s="1"/>
  <c r="W56" i="2"/>
  <c r="V56" i="2"/>
  <c r="U56" i="2"/>
  <c r="U62" i="2" s="1"/>
  <c r="T56" i="2"/>
  <c r="T62" i="2" s="1"/>
  <c r="S56" i="2"/>
  <c r="S62" i="2" s="1"/>
  <c r="R56" i="2"/>
  <c r="Q56" i="2"/>
  <c r="P56" i="2"/>
  <c r="P62" i="2" s="1"/>
  <c r="O56" i="2"/>
  <c r="N56" i="2"/>
  <c r="N62" i="2" s="1"/>
  <c r="AR55" i="2"/>
  <c r="AQ55" i="2"/>
  <c r="AP55" i="2"/>
  <c r="AO55" i="2"/>
  <c r="AN55" i="2"/>
  <c r="AN62" i="2" s="1"/>
  <c r="AM55" i="2"/>
  <c r="AL55" i="2"/>
  <c r="AK55" i="2"/>
  <c r="AK62" i="2" s="1"/>
  <c r="AJ55" i="2"/>
  <c r="AI55" i="2"/>
  <c r="AH55" i="2"/>
  <c r="AH62" i="2" s="1"/>
  <c r="AG55" i="2"/>
  <c r="AG62" i="2" s="1"/>
  <c r="AF55" i="2"/>
  <c r="AE55" i="2"/>
  <c r="AD55" i="2"/>
  <c r="AD62" i="2" s="1"/>
  <c r="AC55" i="2"/>
  <c r="AB55" i="2"/>
  <c r="AA55" i="2"/>
  <c r="Z55" i="2"/>
  <c r="K55" i="2" s="1"/>
  <c r="E55" i="2"/>
  <c r="AR53" i="2"/>
  <c r="AQ53" i="2"/>
  <c r="AP53" i="2"/>
  <c r="I53" i="2" s="1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H53" i="2" s="1"/>
  <c r="E53" i="2"/>
  <c r="AR52" i="2"/>
  <c r="AQ52" i="2"/>
  <c r="AQ79" i="2" s="1"/>
  <c r="AQ101" i="2" s="1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N79" i="2" s="1"/>
  <c r="AM51" i="2"/>
  <c r="AL51" i="2"/>
  <c r="AK51" i="2"/>
  <c r="AK79" i="2" s="1"/>
  <c r="AK101" i="2" s="1"/>
  <c r="AJ51" i="2"/>
  <c r="AI51" i="2"/>
  <c r="AI79" i="2" s="1"/>
  <c r="AI101" i="2" s="1"/>
  <c r="AH51" i="2"/>
  <c r="AG51" i="2"/>
  <c r="AG79" i="2" s="1"/>
  <c r="AF51" i="2"/>
  <c r="AF79" i="2" s="1"/>
  <c r="AE51" i="2"/>
  <c r="AD51" i="2"/>
  <c r="AD79" i="2" s="1"/>
  <c r="AD101" i="2" s="1"/>
  <c r="AC51" i="2"/>
  <c r="AB51" i="2"/>
  <c r="AA51" i="2"/>
  <c r="Z51" i="2"/>
  <c r="Y51" i="2"/>
  <c r="Y79" i="2" s="1"/>
  <c r="Y101" i="2" s="1"/>
  <c r="X51" i="2"/>
  <c r="W51" i="2"/>
  <c r="V51" i="2"/>
  <c r="U51" i="2"/>
  <c r="U79" i="2" s="1"/>
  <c r="U101" i="2" s="1"/>
  <c r="T51" i="2"/>
  <c r="T79" i="2" s="1"/>
  <c r="T101" i="2" s="1"/>
  <c r="S51" i="2"/>
  <c r="S79" i="2" s="1"/>
  <c r="S101" i="2" s="1"/>
  <c r="R51" i="2"/>
  <c r="Q51" i="2"/>
  <c r="Q79" i="2" s="1"/>
  <c r="Q101" i="2" s="1"/>
  <c r="P51" i="2"/>
  <c r="P79" i="2" s="1"/>
  <c r="P101" i="2" s="1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I46" i="2"/>
  <c r="E46" i="2"/>
  <c r="AR45" i="2"/>
  <c r="AQ45" i="2"/>
  <c r="AP45" i="2"/>
  <c r="AO45" i="2"/>
  <c r="AN45" i="2"/>
  <c r="I45" i="2" s="1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K45" i="2"/>
  <c r="E45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H44" i="2" s="1"/>
  <c r="Y44" i="2"/>
  <c r="X44" i="2"/>
  <c r="W44" i="2"/>
  <c r="V44" i="2"/>
  <c r="U44" i="2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AO42" i="2"/>
  <c r="I42" i="2" s="1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E42" i="2" s="1"/>
  <c r="N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H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I40" i="2"/>
  <c r="E40" i="2"/>
  <c r="AR39" i="2"/>
  <c r="AA39" i="2"/>
  <c r="W39" i="2"/>
  <c r="T39" i="2"/>
  <c r="R39" i="2"/>
  <c r="P39" i="2"/>
  <c r="AR38" i="2"/>
  <c r="AQ38" i="2"/>
  <c r="AP38" i="2"/>
  <c r="AO38" i="2"/>
  <c r="AN38" i="2"/>
  <c r="AM38" i="2"/>
  <c r="I38" i="2" s="1"/>
  <c r="AL38" i="2"/>
  <c r="K38" i="2"/>
  <c r="H38" i="2"/>
  <c r="E38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H37" i="2" s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AO36" i="2"/>
  <c r="AN36" i="2"/>
  <c r="AM36" i="2"/>
  <c r="AL36" i="2"/>
  <c r="I36" i="2" s="1"/>
  <c r="AK36" i="2"/>
  <c r="AJ36" i="2"/>
  <c r="AJ39" i="2" s="1"/>
  <c r="AI36" i="2"/>
  <c r="AH36" i="2"/>
  <c r="AG36" i="2"/>
  <c r="AF36" i="2"/>
  <c r="AE36" i="2"/>
  <c r="AD36" i="2"/>
  <c r="H36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Q39" i="2" s="1"/>
  <c r="AQ47" i="2" s="1"/>
  <c r="AP35" i="2"/>
  <c r="AO35" i="2"/>
  <c r="AN35" i="2"/>
  <c r="I35" i="2" s="1"/>
  <c r="AM35" i="2"/>
  <c r="AM39" i="2" s="1"/>
  <c r="AL35" i="2"/>
  <c r="AK35" i="2"/>
  <c r="AJ35" i="2"/>
  <c r="AI35" i="2"/>
  <c r="AH35" i="2"/>
  <c r="AG35" i="2"/>
  <c r="AF35" i="2"/>
  <c r="AE35" i="2"/>
  <c r="AD35" i="2"/>
  <c r="AD39" i="2" s="1"/>
  <c r="AC35" i="2"/>
  <c r="AB35" i="2"/>
  <c r="AA35" i="2"/>
  <c r="H35" i="2" s="1"/>
  <c r="Z35" i="2"/>
  <c r="Y35" i="2"/>
  <c r="X35" i="2"/>
  <c r="W35" i="2"/>
  <c r="K35" i="2" s="1"/>
  <c r="V35" i="2"/>
  <c r="U35" i="2"/>
  <c r="T35" i="2"/>
  <c r="S35" i="2"/>
  <c r="R35" i="2"/>
  <c r="Q35" i="2"/>
  <c r="P35" i="2"/>
  <c r="E35" i="2" s="1"/>
  <c r="O35" i="2"/>
  <c r="N35" i="2"/>
  <c r="N39" i="2" s="1"/>
  <c r="AR34" i="2"/>
  <c r="AQ34" i="2"/>
  <c r="AP34" i="2"/>
  <c r="AP39" i="2" s="1"/>
  <c r="AO34" i="2"/>
  <c r="AN34" i="2"/>
  <c r="I34" i="2" s="1"/>
  <c r="AM34" i="2"/>
  <c r="AL34" i="2"/>
  <c r="AK34" i="2"/>
  <c r="AK39" i="2" s="1"/>
  <c r="AJ34" i="2"/>
  <c r="AI34" i="2"/>
  <c r="AI39" i="2" s="1"/>
  <c r="AH34" i="2"/>
  <c r="AH39" i="2" s="1"/>
  <c r="AG34" i="2"/>
  <c r="AF34" i="2"/>
  <c r="AF39" i="2" s="1"/>
  <c r="AE34" i="2"/>
  <c r="AD34" i="2"/>
  <c r="AC34" i="2"/>
  <c r="AC39" i="2" s="1"/>
  <c r="AB34" i="2"/>
  <c r="AA34" i="2"/>
  <c r="Z34" i="2"/>
  <c r="Z39" i="2" s="1"/>
  <c r="Y34" i="2"/>
  <c r="X34" i="2"/>
  <c r="X39" i="2" s="1"/>
  <c r="W34" i="2"/>
  <c r="V34" i="2"/>
  <c r="U34" i="2"/>
  <c r="U39" i="2" s="1"/>
  <c r="T34" i="2"/>
  <c r="S34" i="2"/>
  <c r="S39" i="2" s="1"/>
  <c r="R34" i="2"/>
  <c r="Q34" i="2"/>
  <c r="P34" i="2"/>
  <c r="O34" i="2"/>
  <c r="N34" i="2"/>
  <c r="E34" i="2"/>
  <c r="AR32" i="2"/>
  <c r="AQ32" i="2"/>
  <c r="AP32" i="2"/>
  <c r="AP47" i="2" s="1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C47" i="2" s="1"/>
  <c r="AB32" i="2"/>
  <c r="AA32" i="2"/>
  <c r="Z32" i="2"/>
  <c r="H32" i="2" s="1"/>
  <c r="E32" i="2"/>
  <c r="AR31" i="2"/>
  <c r="AQ31" i="2"/>
  <c r="AP31" i="2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H31" i="2" s="1"/>
  <c r="Z31" i="2"/>
  <c r="Y31" i="2"/>
  <c r="X31" i="2"/>
  <c r="W31" i="2"/>
  <c r="W47" i="2" s="1"/>
  <c r="V31" i="2"/>
  <c r="U31" i="2"/>
  <c r="T31" i="2"/>
  <c r="S31" i="2"/>
  <c r="R31" i="2"/>
  <c r="R47" i="2" s="1"/>
  <c r="Q31" i="2"/>
  <c r="P31" i="2"/>
  <c r="O31" i="2"/>
  <c r="N31" i="2"/>
  <c r="AP28" i="2"/>
  <c r="AM28" i="2"/>
  <c r="AJ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H27" i="2" s="1"/>
  <c r="E27" i="2"/>
  <c r="AR26" i="2"/>
  <c r="AQ26" i="2"/>
  <c r="AP26" i="2"/>
  <c r="AO26" i="2"/>
  <c r="AN26" i="2"/>
  <c r="AM26" i="2"/>
  <c r="AL26" i="2"/>
  <c r="I26" i="2" s="1"/>
  <c r="AK26" i="2"/>
  <c r="AJ26" i="2"/>
  <c r="AI26" i="2"/>
  <c r="AH26" i="2"/>
  <c r="AG26" i="2"/>
  <c r="AF26" i="2"/>
  <c r="AE26" i="2"/>
  <c r="AD26" i="2"/>
  <c r="AC26" i="2"/>
  <c r="AB26" i="2"/>
  <c r="AA26" i="2"/>
  <c r="Z26" i="2"/>
  <c r="H26" i="2" s="1"/>
  <c r="Y26" i="2"/>
  <c r="X26" i="2"/>
  <c r="W26" i="2"/>
  <c r="V26" i="2"/>
  <c r="U26" i="2"/>
  <c r="T26" i="2"/>
  <c r="S26" i="2"/>
  <c r="R26" i="2"/>
  <c r="Q26" i="2"/>
  <c r="P26" i="2"/>
  <c r="O26" i="2"/>
  <c r="N26" i="2"/>
  <c r="E26" i="2" s="1"/>
  <c r="AR25" i="2"/>
  <c r="AQ25" i="2"/>
  <c r="AQ28" i="2" s="1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H25" i="2" s="1"/>
  <c r="Z25" i="2"/>
  <c r="Y25" i="2"/>
  <c r="X25" i="2"/>
  <c r="K25" i="2" s="1"/>
  <c r="W25" i="2"/>
  <c r="W28" i="2" s="1"/>
  <c r="V25" i="2"/>
  <c r="U25" i="2"/>
  <c r="T25" i="2"/>
  <c r="S25" i="2"/>
  <c r="R25" i="2"/>
  <c r="Q25" i="2"/>
  <c r="P25" i="2"/>
  <c r="O25" i="2"/>
  <c r="N25" i="2"/>
  <c r="I25" i="2"/>
  <c r="E25" i="2"/>
  <c r="AR24" i="2"/>
  <c r="AR28" i="2" s="1"/>
  <c r="AQ24" i="2"/>
  <c r="AP24" i="2"/>
  <c r="AO24" i="2"/>
  <c r="AN24" i="2"/>
  <c r="AM24" i="2"/>
  <c r="AL24" i="2"/>
  <c r="AK24" i="2"/>
  <c r="AJ24" i="2"/>
  <c r="AI24" i="2"/>
  <c r="AH24" i="2"/>
  <c r="AG24" i="2"/>
  <c r="AF24" i="2"/>
  <c r="AF28" i="2" s="1"/>
  <c r="AE24" i="2"/>
  <c r="AD24" i="2"/>
  <c r="AC24" i="2"/>
  <c r="AC28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P28" i="2" s="1"/>
  <c r="O24" i="2"/>
  <c r="N24" i="2"/>
  <c r="E24" i="2" s="1"/>
  <c r="AR23" i="2"/>
  <c r="AQ23" i="2"/>
  <c r="AP23" i="2"/>
  <c r="AO23" i="2"/>
  <c r="AO28" i="2" s="1"/>
  <c r="AN23" i="2"/>
  <c r="AN28" i="2" s="1"/>
  <c r="AM23" i="2"/>
  <c r="AL23" i="2"/>
  <c r="I23" i="2" s="1"/>
  <c r="AK23" i="2"/>
  <c r="AK28" i="2" s="1"/>
  <c r="AJ23" i="2"/>
  <c r="AI23" i="2"/>
  <c r="AI28" i="2" s="1"/>
  <c r="AH23" i="2"/>
  <c r="AG23" i="2"/>
  <c r="AG28" i="2" s="1"/>
  <c r="AF23" i="2"/>
  <c r="AE23" i="2"/>
  <c r="AD23" i="2"/>
  <c r="AD28" i="2" s="1"/>
  <c r="AC23" i="2"/>
  <c r="AB23" i="2"/>
  <c r="AA23" i="2"/>
  <c r="Z23" i="2"/>
  <c r="Z28" i="2" s="1"/>
  <c r="Y23" i="2"/>
  <c r="Y28" i="2" s="1"/>
  <c r="X23" i="2"/>
  <c r="X28" i="2" s="1"/>
  <c r="W23" i="2"/>
  <c r="V23" i="2"/>
  <c r="V28" i="2" s="1"/>
  <c r="U23" i="2"/>
  <c r="T23" i="2"/>
  <c r="T28" i="2" s="1"/>
  <c r="S23" i="2"/>
  <c r="S28" i="2" s="1"/>
  <c r="R23" i="2"/>
  <c r="Q23" i="2"/>
  <c r="Q28" i="2" s="1"/>
  <c r="P23" i="2"/>
  <c r="O23" i="2"/>
  <c r="O28" i="2" s="1"/>
  <c r="N23" i="2"/>
  <c r="N28" i="2" s="1"/>
  <c r="AR21" i="2"/>
  <c r="AQ21" i="2"/>
  <c r="AP21" i="2"/>
  <c r="AO21" i="2"/>
  <c r="AN21" i="2"/>
  <c r="AM21" i="2"/>
  <c r="AL21" i="2"/>
  <c r="I21" i="2" s="1"/>
  <c r="AK21" i="2"/>
  <c r="AJ21" i="2"/>
  <c r="AI21" i="2"/>
  <c r="AH21" i="2"/>
  <c r="AG21" i="2"/>
  <c r="AF21" i="2"/>
  <c r="AE21" i="2"/>
  <c r="AD21" i="2"/>
  <c r="AC21" i="2"/>
  <c r="AB21" i="2"/>
  <c r="AA21" i="2"/>
  <c r="H21" i="2" s="1"/>
  <c r="Z21" i="2"/>
  <c r="Y21" i="2"/>
  <c r="X21" i="2"/>
  <c r="W21" i="2"/>
  <c r="V21" i="2"/>
  <c r="K21" i="2" s="1"/>
  <c r="U21" i="2"/>
  <c r="T21" i="2"/>
  <c r="S21" i="2"/>
  <c r="E21" i="2" s="1"/>
  <c r="R21" i="2"/>
  <c r="Q21" i="2"/>
  <c r="P21" i="2"/>
  <c r="O21" i="2"/>
  <c r="N21" i="2"/>
  <c r="AR20" i="2"/>
  <c r="AQ20" i="2"/>
  <c r="AP20" i="2"/>
  <c r="AN20" i="2"/>
  <c r="AA20" i="2"/>
  <c r="X20" i="2"/>
  <c r="Q20" i="2"/>
  <c r="O20" i="2"/>
  <c r="AR19" i="2"/>
  <c r="AQ19" i="2"/>
  <c r="AP19" i="2"/>
  <c r="AO19" i="2"/>
  <c r="AO20" i="2" s="1"/>
  <c r="AN19" i="2"/>
  <c r="AM19" i="2"/>
  <c r="AM20" i="2" s="1"/>
  <c r="AL19" i="2"/>
  <c r="AK19" i="2"/>
  <c r="AJ19" i="2"/>
  <c r="AI19" i="2"/>
  <c r="AH19" i="2"/>
  <c r="AG19" i="2"/>
  <c r="AF19" i="2"/>
  <c r="AE19" i="2"/>
  <c r="AD19" i="2"/>
  <c r="AC19" i="2"/>
  <c r="AC20" i="2" s="1"/>
  <c r="AB19" i="2"/>
  <c r="AB20" i="2" s="1"/>
  <c r="AA19" i="2"/>
  <c r="Z19" i="2"/>
  <c r="Y19" i="2"/>
  <c r="X19" i="2"/>
  <c r="W19" i="2"/>
  <c r="W20" i="2" s="1"/>
  <c r="V19" i="2"/>
  <c r="U19" i="2"/>
  <c r="K19" i="2" s="1"/>
  <c r="T19" i="2"/>
  <c r="T20" i="2" s="1"/>
  <c r="S19" i="2"/>
  <c r="R19" i="2"/>
  <c r="E19" i="2" s="1"/>
  <c r="Q19" i="2"/>
  <c r="P19" i="2"/>
  <c r="O19" i="2"/>
  <c r="N19" i="2"/>
  <c r="AK18" i="2"/>
  <c r="AJ18" i="2"/>
  <c r="AJ20" i="2" s="1"/>
  <c r="AI18" i="2"/>
  <c r="AI20" i="2" s="1"/>
  <c r="AH18" i="2"/>
  <c r="AH20" i="2" s="1"/>
  <c r="AG18" i="2"/>
  <c r="AG20" i="2" s="1"/>
  <c r="AF18" i="2"/>
  <c r="AF20" i="2" s="1"/>
  <c r="AE18" i="2"/>
  <c r="AE20" i="2" s="1"/>
  <c r="AD18" i="2"/>
  <c r="AD20" i="2" s="1"/>
  <c r="AC18" i="2"/>
  <c r="AB18" i="2"/>
  <c r="AA18" i="2"/>
  <c r="Z18" i="2"/>
  <c r="Z20" i="2" s="1"/>
  <c r="Y18" i="2"/>
  <c r="Y20" i="2" s="1"/>
  <c r="X18" i="2"/>
  <c r="W18" i="2"/>
  <c r="V18" i="2"/>
  <c r="V20" i="2" s="1"/>
  <c r="U18" i="2"/>
  <c r="T18" i="2"/>
  <c r="S18" i="2"/>
  <c r="S20" i="2" s="1"/>
  <c r="R18" i="2"/>
  <c r="Q18" i="2"/>
  <c r="P18" i="2"/>
  <c r="P20" i="2" s="1"/>
  <c r="O18" i="2"/>
  <c r="N18" i="2"/>
  <c r="I18" i="2"/>
  <c r="AQ16" i="2"/>
  <c r="Y16" i="2"/>
  <c r="S16" i="2"/>
  <c r="P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H15" i="2" s="1"/>
  <c r="AB15" i="2"/>
  <c r="AA15" i="2"/>
  <c r="Z15" i="2"/>
  <c r="Y15" i="2"/>
  <c r="X15" i="2"/>
  <c r="W15" i="2"/>
  <c r="V15" i="2"/>
  <c r="U15" i="2"/>
  <c r="K15" i="2" s="1"/>
  <c r="T15" i="2"/>
  <c r="S15" i="2"/>
  <c r="R15" i="2"/>
  <c r="Q15" i="2"/>
  <c r="P15" i="2"/>
  <c r="E15" i="2" s="1"/>
  <c r="O15" i="2"/>
  <c r="N15" i="2"/>
  <c r="AK14" i="2"/>
  <c r="AK16" i="2" s="1"/>
  <c r="AJ14" i="2"/>
  <c r="AI14" i="2"/>
  <c r="AH14" i="2"/>
  <c r="AH16" i="2" s="1"/>
  <c r="AG14" i="2"/>
  <c r="AF14" i="2"/>
  <c r="AE14" i="2"/>
  <c r="AD14" i="2"/>
  <c r="AC14" i="2"/>
  <c r="AB14" i="2"/>
  <c r="AA14" i="2"/>
  <c r="H14" i="2" s="1"/>
  <c r="Z14" i="2"/>
  <c r="Y14" i="2"/>
  <c r="X14" i="2"/>
  <c r="W14" i="2"/>
  <c r="V14" i="2"/>
  <c r="V16" i="2" s="1"/>
  <c r="U14" i="2"/>
  <c r="K14" i="2" s="1"/>
  <c r="T14" i="2"/>
  <c r="S14" i="2"/>
  <c r="R14" i="2"/>
  <c r="Q14" i="2"/>
  <c r="P14" i="2"/>
  <c r="E14" i="2" s="1"/>
  <c r="O14" i="2"/>
  <c r="N14" i="2"/>
  <c r="I14" i="2"/>
  <c r="AR13" i="2"/>
  <c r="AQ13" i="2"/>
  <c r="AP13" i="2"/>
  <c r="AO13" i="2"/>
  <c r="AN13" i="2"/>
  <c r="AM13" i="2"/>
  <c r="AM16" i="2" s="1"/>
  <c r="AL13" i="2"/>
  <c r="AL16" i="2" s="1"/>
  <c r="AK13" i="2"/>
  <c r="AJ13" i="2"/>
  <c r="AI13" i="2"/>
  <c r="AI16" i="2" s="1"/>
  <c r="AH13" i="2"/>
  <c r="AG13" i="2"/>
  <c r="AF13" i="2"/>
  <c r="AF16" i="2" s="1"/>
  <c r="AE13" i="2"/>
  <c r="AD13" i="2"/>
  <c r="AC13" i="2"/>
  <c r="AB13" i="2"/>
  <c r="AA13" i="2"/>
  <c r="Z13" i="2"/>
  <c r="Y13" i="2"/>
  <c r="X13" i="2"/>
  <c r="W13" i="2"/>
  <c r="V13" i="2"/>
  <c r="U13" i="2"/>
  <c r="K13" i="2" s="1"/>
  <c r="T13" i="2"/>
  <c r="S13" i="2"/>
  <c r="R13" i="2"/>
  <c r="Q13" i="2"/>
  <c r="P13" i="2"/>
  <c r="O13" i="2"/>
  <c r="E13" i="2" s="1"/>
  <c r="N13" i="2"/>
  <c r="H13" i="2"/>
  <c r="AR12" i="2"/>
  <c r="AR16" i="2" s="1"/>
  <c r="AQ12" i="2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H12" i="2"/>
  <c r="AG12" i="2"/>
  <c r="AG16" i="2" s="1"/>
  <c r="AF12" i="2"/>
  <c r="AE12" i="2"/>
  <c r="AE16" i="2" s="1"/>
  <c r="AD12" i="2"/>
  <c r="AC12" i="2"/>
  <c r="AB12" i="2"/>
  <c r="AB16" i="2" s="1"/>
  <c r="AA12" i="2"/>
  <c r="AA16" i="2" s="1"/>
  <c r="Z12" i="2"/>
  <c r="Z16" i="2" s="1"/>
  <c r="Y12" i="2"/>
  <c r="X12" i="2"/>
  <c r="X16" i="2" s="1"/>
  <c r="X29" i="2" s="1"/>
  <c r="W12" i="2"/>
  <c r="W16" i="2" s="1"/>
  <c r="V12" i="2"/>
  <c r="U12" i="2"/>
  <c r="U16" i="2" s="1"/>
  <c r="T12" i="2"/>
  <c r="T16" i="2" s="1"/>
  <c r="S12" i="2"/>
  <c r="R12" i="2"/>
  <c r="R16" i="2" s="1"/>
  <c r="Q12" i="2"/>
  <c r="Q16" i="2" s="1"/>
  <c r="P12" i="2"/>
  <c r="O12" i="2"/>
  <c r="E12" i="2" s="1"/>
  <c r="N12" i="2"/>
  <c r="K12" i="2"/>
  <c r="AP10" i="2"/>
  <c r="AK10" i="2"/>
  <c r="AJ10" i="2"/>
  <c r="AJ29" i="2" s="1"/>
  <c r="AG10" i="2"/>
  <c r="AG29" i="2" s="1"/>
  <c r="Z10" i="2"/>
  <c r="Y10" i="2"/>
  <c r="X10" i="2"/>
  <c r="W10" i="2"/>
  <c r="V10" i="2"/>
  <c r="U10" i="2"/>
  <c r="T10" i="2"/>
  <c r="S10" i="2"/>
  <c r="R10" i="2"/>
  <c r="Q10" i="2"/>
  <c r="Q29" i="2" s="1"/>
  <c r="P10" i="2"/>
  <c r="O10" i="2"/>
  <c r="N10" i="2"/>
  <c r="E10" i="2" s="1"/>
  <c r="AR9" i="2"/>
  <c r="AR10" i="2" s="1"/>
  <c r="AR29" i="2" s="1"/>
  <c r="AQ9" i="2"/>
  <c r="AP9" i="2"/>
  <c r="AO9" i="2"/>
  <c r="AO10" i="2" s="1"/>
  <c r="AN9" i="2"/>
  <c r="AM9" i="2"/>
  <c r="AL9" i="2"/>
  <c r="AL10" i="2" s="1"/>
  <c r="AK9" i="2"/>
  <c r="AJ9" i="2"/>
  <c r="AI9" i="2"/>
  <c r="AH9" i="2"/>
  <c r="AG9" i="2"/>
  <c r="AF9" i="2"/>
  <c r="AE9" i="2"/>
  <c r="AD9" i="2"/>
  <c r="AC9" i="2"/>
  <c r="AB9" i="2"/>
  <c r="AB10" i="2" s="1"/>
  <c r="AA9" i="2"/>
  <c r="Z9" i="2"/>
  <c r="K9" i="2" s="1"/>
  <c r="H9" i="2"/>
  <c r="E9" i="2"/>
  <c r="AR8" i="2"/>
  <c r="AQ8" i="2"/>
  <c r="AQ10" i="2" s="1"/>
  <c r="AQ29" i="2" s="1"/>
  <c r="AP8" i="2"/>
  <c r="AO8" i="2"/>
  <c r="AN8" i="2"/>
  <c r="I8" i="2" s="1"/>
  <c r="AM8" i="2"/>
  <c r="AM10" i="2" s="1"/>
  <c r="AL8" i="2"/>
  <c r="AK8" i="2"/>
  <c r="AJ8" i="2"/>
  <c r="AI8" i="2"/>
  <c r="AI10" i="2" s="1"/>
  <c r="AI29" i="2" s="1"/>
  <c r="AH8" i="2"/>
  <c r="AH10" i="2" s="1"/>
  <c r="AG8" i="2"/>
  <c r="AF8" i="2"/>
  <c r="AF10" i="2" s="1"/>
  <c r="AF29" i="2" s="1"/>
  <c r="AE8" i="2"/>
  <c r="K8" i="2" s="1"/>
  <c r="AD8" i="2"/>
  <c r="AD10" i="2" s="1"/>
  <c r="AC8" i="2"/>
  <c r="AC10" i="2" s="1"/>
  <c r="AB8" i="2"/>
  <c r="AA8" i="2"/>
  <c r="AA10" i="2" s="1"/>
  <c r="Z8" i="2"/>
  <c r="H8" i="2" s="1"/>
  <c r="E8" i="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H311" i="30"/>
  <c r="G311" i="30"/>
  <c r="F311" i="30"/>
  <c r="D311" i="30"/>
  <c r="C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H299" i="30"/>
  <c r="G299" i="30"/>
  <c r="F299" i="30"/>
  <c r="D299" i="30"/>
  <c r="C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H297" i="30"/>
  <c r="G297" i="30"/>
  <c r="F297" i="30"/>
  <c r="D297" i="30"/>
  <c r="C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H295" i="30"/>
  <c r="G295" i="30"/>
  <c r="F295" i="30"/>
  <c r="D295" i="30"/>
  <c r="C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G291" i="30"/>
  <c r="F291" i="30"/>
  <c r="D291" i="30"/>
  <c r="C291" i="30"/>
  <c r="H291" i="30" s="1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H283" i="30"/>
  <c r="G283" i="30"/>
  <c r="F283" i="30"/>
  <c r="D283" i="30"/>
  <c r="C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G282" i="30"/>
  <c r="F282" i="30"/>
  <c r="D282" i="30"/>
  <c r="C282" i="30"/>
  <c r="H282" i="30" s="1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H281" i="30"/>
  <c r="G281" i="30"/>
  <c r="F281" i="30"/>
  <c r="D281" i="30"/>
  <c r="C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H267" i="30"/>
  <c r="G267" i="30"/>
  <c r="F267" i="30"/>
  <c r="D267" i="30"/>
  <c r="C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H256" i="30"/>
  <c r="G256" i="30"/>
  <c r="F256" i="30"/>
  <c r="D256" i="30"/>
  <c r="C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H252" i="30"/>
  <c r="G252" i="30"/>
  <c r="F252" i="30"/>
  <c r="D252" i="30"/>
  <c r="C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H248" i="30"/>
  <c r="G248" i="30"/>
  <c r="F248" i="30"/>
  <c r="D248" i="30"/>
  <c r="C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H228" i="30"/>
  <c r="G228" i="30"/>
  <c r="F228" i="30"/>
  <c r="D228" i="30"/>
  <c r="C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H226" i="30"/>
  <c r="G226" i="30"/>
  <c r="F226" i="30"/>
  <c r="D226" i="30"/>
  <c r="C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H221" i="30"/>
  <c r="G221" i="30"/>
  <c r="F221" i="30"/>
  <c r="D221" i="30"/>
  <c r="C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G218" i="30"/>
  <c r="F218" i="30"/>
  <c r="D218" i="30"/>
  <c r="C218" i="30"/>
  <c r="H218" i="30" s="1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H212" i="30"/>
  <c r="G212" i="30"/>
  <c r="F212" i="30"/>
  <c r="D212" i="30"/>
  <c r="C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G211" i="30"/>
  <c r="F211" i="30"/>
  <c r="D211" i="30"/>
  <c r="C211" i="30"/>
  <c r="H211" i="30" s="1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H210" i="30"/>
  <c r="G210" i="30"/>
  <c r="F210" i="30"/>
  <c r="D210" i="30"/>
  <c r="C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H208" i="30"/>
  <c r="G208" i="30"/>
  <c r="F208" i="30"/>
  <c r="D208" i="30"/>
  <c r="C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H203" i="30"/>
  <c r="G203" i="30"/>
  <c r="F203" i="30"/>
  <c r="D203" i="30"/>
  <c r="C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H201" i="30"/>
  <c r="G201" i="30"/>
  <c r="F201" i="30"/>
  <c r="D201" i="30"/>
  <c r="C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G184" i="30"/>
  <c r="F184" i="30"/>
  <c r="D184" i="30"/>
  <c r="C184" i="30"/>
  <c r="H184" i="30" s="1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H178" i="30"/>
  <c r="G178" i="30"/>
  <c r="F178" i="30"/>
  <c r="D178" i="30"/>
  <c r="C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G177" i="30"/>
  <c r="F177" i="30"/>
  <c r="D177" i="30"/>
  <c r="C177" i="30"/>
  <c r="H177" i="30" s="1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H176" i="30"/>
  <c r="G176" i="30"/>
  <c r="F176" i="30"/>
  <c r="D176" i="30"/>
  <c r="C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H174" i="30"/>
  <c r="G174" i="30"/>
  <c r="F174" i="30"/>
  <c r="D174" i="30"/>
  <c r="C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G170" i="30"/>
  <c r="F170" i="30"/>
  <c r="D170" i="30"/>
  <c r="C170" i="30"/>
  <c r="H170" i="30" s="1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G165" i="30"/>
  <c r="F165" i="30"/>
  <c r="D165" i="30"/>
  <c r="C165" i="30"/>
  <c r="H165" i="30" s="1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H162" i="30"/>
  <c r="G162" i="30"/>
  <c r="F162" i="30"/>
  <c r="D162" i="30"/>
  <c r="C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H160" i="30"/>
  <c r="G160" i="30"/>
  <c r="F160" i="30"/>
  <c r="D160" i="30"/>
  <c r="C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H158" i="30"/>
  <c r="G158" i="30"/>
  <c r="F158" i="30"/>
  <c r="D158" i="30"/>
  <c r="C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G154" i="30"/>
  <c r="F154" i="30"/>
  <c r="D154" i="30"/>
  <c r="C154" i="30"/>
  <c r="H154" i="30" s="1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G152" i="30"/>
  <c r="F152" i="30"/>
  <c r="D152" i="30"/>
  <c r="C152" i="30"/>
  <c r="H152" i="30" s="1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H146" i="30"/>
  <c r="G146" i="30"/>
  <c r="F146" i="30"/>
  <c r="D146" i="30"/>
  <c r="C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H144" i="30"/>
  <c r="G144" i="30"/>
  <c r="F144" i="30"/>
  <c r="D144" i="30"/>
  <c r="C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H142" i="30"/>
  <c r="G142" i="30"/>
  <c r="F142" i="30"/>
  <c r="D142" i="30"/>
  <c r="C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G136" i="30"/>
  <c r="F136" i="30"/>
  <c r="D136" i="30"/>
  <c r="C136" i="30"/>
  <c r="H136" i="30" s="1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G133" i="30"/>
  <c r="F133" i="30"/>
  <c r="D133" i="30"/>
  <c r="C133" i="30"/>
  <c r="H133" i="30" s="1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H130" i="30"/>
  <c r="G130" i="30"/>
  <c r="F130" i="30"/>
  <c r="D130" i="30"/>
  <c r="C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H126" i="30"/>
  <c r="G126" i="30"/>
  <c r="F126" i="30"/>
  <c r="D126" i="30"/>
  <c r="C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H124" i="30"/>
  <c r="G124" i="30"/>
  <c r="F124" i="30"/>
  <c r="D124" i="30"/>
  <c r="C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G120" i="30"/>
  <c r="F120" i="30"/>
  <c r="D120" i="30"/>
  <c r="C120" i="30"/>
  <c r="H120" i="30" s="1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G118" i="30"/>
  <c r="F118" i="30"/>
  <c r="D118" i="30"/>
  <c r="C118" i="30"/>
  <c r="H118" i="30" s="1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H116" i="30"/>
  <c r="G116" i="30"/>
  <c r="F116" i="30"/>
  <c r="D116" i="30"/>
  <c r="C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G109" i="30"/>
  <c r="F109" i="30"/>
  <c r="D109" i="30"/>
  <c r="C109" i="30"/>
  <c r="H109" i="30" s="1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H105" i="30"/>
  <c r="G105" i="30"/>
  <c r="F105" i="30"/>
  <c r="D105" i="30"/>
  <c r="C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H101" i="30"/>
  <c r="G101" i="30"/>
  <c r="F101" i="30"/>
  <c r="D101" i="30"/>
  <c r="C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H99" i="30"/>
  <c r="G99" i="30"/>
  <c r="F99" i="30"/>
  <c r="D99" i="30"/>
  <c r="C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H89" i="30"/>
  <c r="G89" i="30"/>
  <c r="F89" i="30"/>
  <c r="D89" i="30"/>
  <c r="C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G88" i="30"/>
  <c r="F88" i="30"/>
  <c r="D88" i="30"/>
  <c r="C88" i="30"/>
  <c r="H88" i="30" s="1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G86" i="30"/>
  <c r="F86" i="30"/>
  <c r="D86" i="30"/>
  <c r="C86" i="30"/>
  <c r="H86" i="30" s="1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H85" i="30"/>
  <c r="G85" i="30"/>
  <c r="F85" i="30"/>
  <c r="D85" i="30"/>
  <c r="C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H83" i="30"/>
  <c r="G83" i="30"/>
  <c r="F83" i="30"/>
  <c r="D83" i="30"/>
  <c r="C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H81" i="30"/>
  <c r="G81" i="30"/>
  <c r="F81" i="30"/>
  <c r="D81" i="30"/>
  <c r="C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H72" i="30"/>
  <c r="G72" i="30"/>
  <c r="F72" i="30"/>
  <c r="D72" i="30"/>
  <c r="C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H55" i="30"/>
  <c r="G55" i="30"/>
  <c r="F55" i="30"/>
  <c r="D55" i="30"/>
  <c r="C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G54" i="30"/>
  <c r="F54" i="30"/>
  <c r="D54" i="30"/>
  <c r="C54" i="30"/>
  <c r="H54" i="30" s="1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G52" i="30"/>
  <c r="F52" i="30"/>
  <c r="D52" i="30"/>
  <c r="C52" i="30"/>
  <c r="H52" i="30" s="1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H39" i="30"/>
  <c r="G39" i="30"/>
  <c r="F39" i="30"/>
  <c r="D39" i="30"/>
  <c r="C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H35" i="30"/>
  <c r="G35" i="30"/>
  <c r="F35" i="30"/>
  <c r="D35" i="30"/>
  <c r="C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H24" i="30"/>
  <c r="G24" i="30"/>
  <c r="F24" i="30"/>
  <c r="D24" i="30"/>
  <c r="C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H23" i="30"/>
  <c r="G23" i="30"/>
  <c r="F23" i="30"/>
  <c r="D23" i="30"/>
  <c r="C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G20" i="30"/>
  <c r="F20" i="30"/>
  <c r="D20" i="30"/>
  <c r="C20" i="30"/>
  <c r="H20" i="30" s="1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H19" i="30"/>
  <c r="G19" i="30"/>
  <c r="F19" i="30"/>
  <c r="D19" i="30"/>
  <c r="C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H8" i="30"/>
  <c r="G8" i="30"/>
  <c r="F8" i="30"/>
  <c r="D8" i="30"/>
  <c r="C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L143" i="45" s="1"/>
  <c r="O51" i="42"/>
  <c r="O50" i="42"/>
  <c r="O49" i="42"/>
  <c r="L140" i="45" s="1"/>
  <c r="O48" i="42"/>
  <c r="O47" i="42"/>
  <c r="L138" i="45" s="1"/>
  <c r="O45" i="42"/>
  <c r="L136" i="45" s="1"/>
  <c r="O44" i="42"/>
  <c r="O43" i="42"/>
  <c r="O42" i="42"/>
  <c r="O41" i="42"/>
  <c r="L132" i="45" s="1"/>
  <c r="O40" i="42"/>
  <c r="O39" i="42"/>
  <c r="L130" i="45" s="1"/>
  <c r="O38" i="42"/>
  <c r="O37" i="42"/>
  <c r="L128" i="45" s="1"/>
  <c r="O36" i="42"/>
  <c r="L127" i="45" s="1"/>
  <c r="O35" i="42"/>
  <c r="L126" i="45" s="1"/>
  <c r="O34" i="42"/>
  <c r="O32" i="42"/>
  <c r="O30" i="42"/>
  <c r="L121" i="45" s="1"/>
  <c r="O29" i="42"/>
  <c r="L120" i="45" s="1"/>
  <c r="O28" i="42"/>
  <c r="O27" i="42"/>
  <c r="L118" i="45" s="1"/>
  <c r="O26" i="42"/>
  <c r="O25" i="42"/>
  <c r="O24" i="42"/>
  <c r="O23" i="42"/>
  <c r="L114" i="45" s="1"/>
  <c r="O22" i="42"/>
  <c r="O21" i="42"/>
  <c r="O20" i="42"/>
  <c r="O19" i="42"/>
  <c r="L110" i="45" s="1"/>
  <c r="O18" i="42"/>
  <c r="O17" i="42"/>
  <c r="L108" i="45" s="1"/>
  <c r="O16" i="42"/>
  <c r="O15" i="42"/>
  <c r="L106" i="45" s="1"/>
  <c r="O14" i="42"/>
  <c r="O13" i="42"/>
  <c r="L104" i="45" s="1"/>
  <c r="O12" i="42"/>
  <c r="O11" i="42"/>
  <c r="L102" i="45" s="1"/>
  <c r="O10" i="42"/>
  <c r="O9" i="42"/>
  <c r="O8" i="42"/>
  <c r="O7" i="42"/>
  <c r="L98" i="45" s="1"/>
  <c r="O6" i="42"/>
  <c r="O5" i="42"/>
  <c r="O4" i="42"/>
  <c r="L95" i="45" s="1"/>
  <c r="O3" i="42"/>
  <c r="L94" i="45" s="1"/>
  <c r="O2" i="42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K143" i="45"/>
  <c r="L142" i="45"/>
  <c r="K142" i="45"/>
  <c r="L141" i="45"/>
  <c r="K141" i="45"/>
  <c r="K140" i="45"/>
  <c r="L139" i="45"/>
  <c r="K139" i="45"/>
  <c r="K138" i="45"/>
  <c r="L137" i="45"/>
  <c r="K137" i="45"/>
  <c r="K136" i="45"/>
  <c r="L135" i="45"/>
  <c r="K135" i="45"/>
  <c r="L134" i="45"/>
  <c r="K134" i="45"/>
  <c r="L133" i="45"/>
  <c r="K133" i="45"/>
  <c r="K132" i="45"/>
  <c r="L131" i="45"/>
  <c r="K131" i="45"/>
  <c r="K130" i="45"/>
  <c r="L129" i="45"/>
  <c r="K129" i="45"/>
  <c r="K128" i="45"/>
  <c r="K127" i="45"/>
  <c r="K126" i="45"/>
  <c r="L125" i="45"/>
  <c r="K125" i="45"/>
  <c r="L124" i="45"/>
  <c r="K124" i="45"/>
  <c r="L123" i="45"/>
  <c r="K123" i="45"/>
  <c r="L122" i="45"/>
  <c r="K122" i="45"/>
  <c r="K121" i="45"/>
  <c r="K120" i="45"/>
  <c r="L119" i="45"/>
  <c r="K119" i="45"/>
  <c r="K118" i="45"/>
  <c r="L117" i="45"/>
  <c r="K117" i="45"/>
  <c r="L116" i="45"/>
  <c r="K116" i="45"/>
  <c r="L115" i="45"/>
  <c r="K115" i="45"/>
  <c r="K114" i="45"/>
  <c r="L113" i="45"/>
  <c r="K113" i="45"/>
  <c r="L112" i="45"/>
  <c r="K112" i="45"/>
  <c r="L111" i="45"/>
  <c r="K111" i="45"/>
  <c r="K110" i="45"/>
  <c r="L109" i="45"/>
  <c r="K109" i="45"/>
  <c r="K108" i="45"/>
  <c r="L107" i="45"/>
  <c r="K107" i="45"/>
  <c r="K106" i="45"/>
  <c r="L105" i="45"/>
  <c r="K105" i="45"/>
  <c r="K104" i="45"/>
  <c r="L103" i="45"/>
  <c r="K103" i="45"/>
  <c r="K102" i="45"/>
  <c r="L101" i="45"/>
  <c r="K101" i="45"/>
  <c r="L100" i="45"/>
  <c r="K100" i="45"/>
  <c r="L99" i="45"/>
  <c r="K99" i="45"/>
  <c r="K98" i="45"/>
  <c r="L97" i="45"/>
  <c r="K97" i="45"/>
  <c r="L96" i="45"/>
  <c r="K96" i="45"/>
  <c r="K95" i="45"/>
  <c r="K94" i="45"/>
  <c r="L93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S126" i="48"/>
  <c r="T126" i="48" s="1"/>
  <c r="U126" i="48" s="1"/>
  <c r="V126" i="48" s="1"/>
  <c r="W126" i="48" s="1"/>
  <c r="M126" i="48"/>
  <c r="N126" i="48" s="1"/>
  <c r="O126" i="48" s="1"/>
  <c r="P126" i="48" s="1"/>
  <c r="Q126" i="48" s="1"/>
  <c r="R126" i="48" s="1"/>
  <c r="K126" i="48"/>
  <c r="L126" i="48" s="1"/>
  <c r="G126" i="48"/>
  <c r="H126" i="48" s="1"/>
  <c r="I126" i="48" s="1"/>
  <c r="E126" i="48"/>
  <c r="F126" i="48" s="1"/>
  <c r="D126" i="48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H122" i="48"/>
  <c r="I122" i="48" s="1"/>
  <c r="D122" i="48"/>
  <c r="E122" i="48" s="1"/>
  <c r="F122" i="48" s="1"/>
  <c r="G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E118" i="48"/>
  <c r="F118" i="48" s="1"/>
  <c r="G118" i="48" s="1"/>
  <c r="H118" i="48" s="1"/>
  <c r="I118" i="48" s="1"/>
  <c r="D118" i="48"/>
  <c r="B118" i="48"/>
  <c r="O112" i="48"/>
  <c r="P112" i="48" s="1"/>
  <c r="Q112" i="48" s="1"/>
  <c r="R112" i="48" s="1"/>
  <c r="S112" i="48" s="1"/>
  <c r="T112" i="48" s="1"/>
  <c r="U112" i="48" s="1"/>
  <c r="V112" i="48" s="1"/>
  <c r="W112" i="48" s="1"/>
  <c r="M112" i="48"/>
  <c r="N112" i="48" s="1"/>
  <c r="L112" i="48"/>
  <c r="K112" i="48"/>
  <c r="E112" i="48"/>
  <c r="F112" i="48" s="1"/>
  <c r="G112" i="48" s="1"/>
  <c r="H112" i="48" s="1"/>
  <c r="I112" i="48" s="1"/>
  <c r="D112" i="48"/>
  <c r="C56" i="47"/>
  <c r="C64" i="47" s="1"/>
  <c r="F54" i="47"/>
  <c r="E55" i="47" s="1"/>
  <c r="E54" i="47"/>
  <c r="E53" i="47"/>
  <c r="F52" i="47"/>
  <c r="E52" i="47"/>
  <c r="O5" i="52"/>
  <c r="H5" i="52"/>
  <c r="F5" i="52"/>
  <c r="D5" i="52"/>
  <c r="C5" i="52"/>
  <c r="B2" i="52"/>
  <c r="T122" i="59"/>
  <c r="U122" i="59" s="1"/>
  <c r="V122" i="59" s="1"/>
  <c r="W122" i="59" s="1"/>
  <c r="X122" i="59" s="1"/>
  <c r="Y122" i="59" s="1"/>
  <c r="Z122" i="59" s="1"/>
  <c r="AA122" i="59" s="1"/>
  <c r="AB122" i="59" s="1"/>
  <c r="P122" i="59"/>
  <c r="Q122" i="59" s="1"/>
  <c r="R122" i="59" s="1"/>
  <c r="S122" i="59" s="1"/>
  <c r="I122" i="59"/>
  <c r="J122" i="59" s="1"/>
  <c r="K122" i="59" s="1"/>
  <c r="L122" i="59" s="1"/>
  <c r="M122" i="59" s="1"/>
  <c r="N122" i="59" s="1"/>
  <c r="S107" i="59"/>
  <c r="T107" i="59" s="1"/>
  <c r="U107" i="59" s="1"/>
  <c r="V107" i="59" s="1"/>
  <c r="W107" i="59" s="1"/>
  <c r="X107" i="59" s="1"/>
  <c r="Y107" i="59" s="1"/>
  <c r="Z107" i="59" s="1"/>
  <c r="AA107" i="59" s="1"/>
  <c r="AB107" i="59" s="1"/>
  <c r="R107" i="59"/>
  <c r="Q107" i="59"/>
  <c r="P107" i="59"/>
  <c r="M107" i="59"/>
  <c r="N107" i="59" s="1"/>
  <c r="I107" i="59"/>
  <c r="J107" i="59" s="1"/>
  <c r="K107" i="59" s="1"/>
  <c r="L107" i="59" s="1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J92" i="59"/>
  <c r="K92" i="59" s="1"/>
  <c r="L92" i="59" s="1"/>
  <c r="M92" i="59" s="1"/>
  <c r="N92" i="59" s="1"/>
  <c r="I92" i="59"/>
  <c r="X77" i="59"/>
  <c r="Y77" i="59" s="1"/>
  <c r="Z77" i="59" s="1"/>
  <c r="AA77" i="59" s="1"/>
  <c r="AB77" i="59" s="1"/>
  <c r="W77" i="59"/>
  <c r="V77" i="59"/>
  <c r="P77" i="59"/>
  <c r="Q77" i="59" s="1"/>
  <c r="R77" i="59" s="1"/>
  <c r="S77" i="59" s="1"/>
  <c r="T77" i="59" s="1"/>
  <c r="U77" i="59" s="1"/>
  <c r="L77" i="59"/>
  <c r="M77" i="59" s="1"/>
  <c r="N77" i="59" s="1"/>
  <c r="I77" i="59"/>
  <c r="J77" i="59" s="1"/>
  <c r="K77" i="59" s="1"/>
  <c r="Q62" i="59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P62" i="59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I47" i="59"/>
  <c r="J47" i="59" s="1"/>
  <c r="K47" i="59" s="1"/>
  <c r="L47" i="59" s="1"/>
  <c r="M47" i="59" s="1"/>
  <c r="N47" i="59" s="1"/>
  <c r="Q32" i="59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P32" i="59"/>
  <c r="I32" i="59"/>
  <c r="J32" i="59" s="1"/>
  <c r="K32" i="59" s="1"/>
  <c r="L32" i="59" s="1"/>
  <c r="M32" i="59" s="1"/>
  <c r="N32" i="59" s="1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J17" i="59"/>
  <c r="K17" i="59" s="1"/>
  <c r="L17" i="59" s="1"/>
  <c r="M17" i="59" s="1"/>
  <c r="N17" i="59" s="1"/>
  <c r="I17" i="59"/>
  <c r="AB10" i="59"/>
  <c r="F10" i="59"/>
  <c r="D10" i="59"/>
  <c r="P5" i="59"/>
  <c r="K5" i="59"/>
  <c r="J5" i="59"/>
  <c r="I5" i="59"/>
  <c r="B2" i="59"/>
  <c r="P1" i="59"/>
  <c r="O1" i="59"/>
  <c r="J1" i="59"/>
  <c r="H1" i="59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J122" i="46"/>
  <c r="K122" i="46" s="1"/>
  <c r="L122" i="46" s="1"/>
  <c r="M122" i="46" s="1"/>
  <c r="N122" i="46" s="1"/>
  <c r="I122" i="46"/>
  <c r="T107" i="46"/>
  <c r="U107" i="46" s="1"/>
  <c r="V107" i="46" s="1"/>
  <c r="W107" i="46" s="1"/>
  <c r="X107" i="46" s="1"/>
  <c r="Y107" i="46" s="1"/>
  <c r="Z107" i="46" s="1"/>
  <c r="AA107" i="46" s="1"/>
  <c r="AB107" i="46" s="1"/>
  <c r="S107" i="46"/>
  <c r="P107" i="46"/>
  <c r="Q107" i="46" s="1"/>
  <c r="R107" i="46" s="1"/>
  <c r="K107" i="46"/>
  <c r="L107" i="46" s="1"/>
  <c r="M107" i="46" s="1"/>
  <c r="N107" i="46" s="1"/>
  <c r="J107" i="46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L92" i="46"/>
  <c r="M92" i="46" s="1"/>
  <c r="N92" i="46" s="1"/>
  <c r="J92" i="46"/>
  <c r="K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K77" i="46"/>
  <c r="J77" i="46"/>
  <c r="I77" i="46"/>
  <c r="Q62" i="46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P62" i="46"/>
  <c r="I62" i="46"/>
  <c r="J62" i="46" s="1"/>
  <c r="K62" i="46" s="1"/>
  <c r="L62" i="46" s="1"/>
  <c r="M62" i="46" s="1"/>
  <c r="N62" i="46" s="1"/>
  <c r="S47" i="46"/>
  <c r="T47" i="46" s="1"/>
  <c r="U47" i="46" s="1"/>
  <c r="V47" i="46" s="1"/>
  <c r="W47" i="46" s="1"/>
  <c r="X47" i="46" s="1"/>
  <c r="Y47" i="46" s="1"/>
  <c r="Z47" i="46" s="1"/>
  <c r="AA47" i="46" s="1"/>
  <c r="AB47" i="46" s="1"/>
  <c r="R47" i="46"/>
  <c r="Q47" i="46"/>
  <c r="P47" i="46"/>
  <c r="J47" i="46"/>
  <c r="K47" i="46" s="1"/>
  <c r="L47" i="46" s="1"/>
  <c r="M47" i="46" s="1"/>
  <c r="N47" i="46" s="1"/>
  <c r="I47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T17" i="46"/>
  <c r="U17" i="46" s="1"/>
  <c r="V17" i="46" s="1"/>
  <c r="W17" i="46" s="1"/>
  <c r="X17" i="46" s="1"/>
  <c r="Y17" i="46" s="1"/>
  <c r="Z17" i="46" s="1"/>
  <c r="AA17" i="46" s="1"/>
  <c r="AB17" i="46" s="1"/>
  <c r="S17" i="46"/>
  <c r="R17" i="46"/>
  <c r="Q17" i="46"/>
  <c r="P17" i="46"/>
  <c r="K17" i="46"/>
  <c r="L17" i="46" s="1"/>
  <c r="M17" i="46" s="1"/>
  <c r="N17" i="46" s="1"/>
  <c r="I17" i="46"/>
  <c r="J17" i="46" s="1"/>
  <c r="AB10" i="46"/>
  <c r="D10" i="46"/>
  <c r="P9" i="46"/>
  <c r="P8" i="46"/>
  <c r="R5" i="46"/>
  <c r="Q5" i="46"/>
  <c r="P5" i="46"/>
  <c r="K5" i="46"/>
  <c r="J5" i="46"/>
  <c r="I5" i="46"/>
  <c r="B2" i="46"/>
  <c r="B2" i="47" s="1"/>
  <c r="P1" i="46"/>
  <c r="O1" i="46"/>
  <c r="O9" i="46" s="1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D27" i="35" s="1"/>
  <c r="T27" i="35" s="1"/>
  <c r="C27" i="35"/>
  <c r="Q26" i="35"/>
  <c r="Q28" i="35" s="1"/>
  <c r="K26" i="35"/>
  <c r="C26" i="35"/>
  <c r="Q25" i="35"/>
  <c r="K25" i="35"/>
  <c r="C25" i="35"/>
  <c r="D25" i="35" s="1"/>
  <c r="C21" i="35"/>
  <c r="Q20" i="35"/>
  <c r="K20" i="35"/>
  <c r="C20" i="35"/>
  <c r="C22" i="35" s="1"/>
  <c r="Q19" i="35"/>
  <c r="K19" i="35"/>
  <c r="C19" i="35"/>
  <c r="Q14" i="35"/>
  <c r="K14" i="35"/>
  <c r="D14" i="35" s="1"/>
  <c r="T14" i="35" s="1"/>
  <c r="C14" i="35"/>
  <c r="C15" i="35" s="1"/>
  <c r="Q13" i="35"/>
  <c r="Q15" i="35" s="1"/>
  <c r="K13" i="35"/>
  <c r="D13" i="35"/>
  <c r="T13" i="35" s="1"/>
  <c r="C13" i="35"/>
  <c r="Q9" i="35"/>
  <c r="C9" i="35"/>
  <c r="Q8" i="35"/>
  <c r="K8" i="35"/>
  <c r="D8" i="35" s="1"/>
  <c r="C8" i="35"/>
  <c r="Q7" i="35"/>
  <c r="K7" i="35"/>
  <c r="C7" i="35"/>
  <c r="C34" i="51"/>
  <c r="C33" i="51"/>
  <c r="E29" i="51"/>
  <c r="D29" i="51"/>
  <c r="C29" i="51"/>
  <c r="L26" i="51" a="1"/>
  <c r="L26" i="51" s="1"/>
  <c r="L25" i="51" a="1"/>
  <c r="L25" i="51" s="1"/>
  <c r="L24" i="51" a="1"/>
  <c r="L24" i="51" s="1"/>
  <c r="C24" i="51" s="1"/>
  <c r="D24" i="51" s="1"/>
  <c r="L23" i="51" a="1"/>
  <c r="L23" i="51" s="1"/>
  <c r="L22" i="51" a="1"/>
  <c r="L22" i="51" s="1"/>
  <c r="L21" i="51" a="1"/>
  <c r="L21" i="51" s="1"/>
  <c r="C21" i="51" s="1"/>
  <c r="D21" i="51" s="1"/>
  <c r="L20" i="51" a="1"/>
  <c r="L20" i="51" s="1"/>
  <c r="C20" i="51" s="1"/>
  <c r="D20" i="51" s="1"/>
  <c r="L19" i="51" a="1"/>
  <c r="L19" i="51" s="1"/>
  <c r="C19" i="51" s="1"/>
  <c r="D19" i="51" s="1"/>
  <c r="L18" i="51" a="1"/>
  <c r="L18" i="51" s="1"/>
  <c r="M17" i="51" a="1"/>
  <c r="M17" i="51" s="1"/>
  <c r="L17" i="51" a="1"/>
  <c r="L17" i="51" s="1"/>
  <c r="C17" i="51" s="1"/>
  <c r="D17" i="51" s="1"/>
  <c r="L16" i="51" a="1"/>
  <c r="L16" i="51" s="1"/>
  <c r="M16" i="51" s="1" a="1"/>
  <c r="M16" i="51" s="1"/>
  <c r="C16" i="51"/>
  <c r="D16" i="51" s="1"/>
  <c r="L15" i="51" a="1"/>
  <c r="L15" i="51" s="1"/>
  <c r="L14" i="51" a="1"/>
  <c r="L14" i="51" s="1"/>
  <c r="D14" i="51"/>
  <c r="C14" i="51"/>
  <c r="L13" i="51" a="1"/>
  <c r="L13" i="51" s="1"/>
  <c r="D13" i="51"/>
  <c r="C13" i="51"/>
  <c r="L12" i="51" a="1"/>
  <c r="L12" i="51" s="1"/>
  <c r="M11" i="51" a="1"/>
  <c r="M11" i="51" s="1"/>
  <c r="L11" i="51" a="1"/>
  <c r="L11" i="51" s="1"/>
  <c r="F11" i="51" a="1"/>
  <c r="F11" i="51" s="1"/>
  <c r="G11" i="51" s="1"/>
  <c r="C11" i="51"/>
  <c r="D11" i="51" s="1"/>
  <c r="M10" i="51" a="1"/>
  <c r="M10" i="51" s="1"/>
  <c r="B10" i="51" s="1" a="1"/>
  <c r="B10" i="51" s="1"/>
  <c r="L10" i="51" a="1"/>
  <c r="L10" i="51" s="1"/>
  <c r="I10" i="51"/>
  <c r="F10" i="51" a="1"/>
  <c r="F10" i="51" s="1"/>
  <c r="G10" i="51" s="1"/>
  <c r="E10" i="51" a="1"/>
  <c r="E10" i="51" s="1"/>
  <c r="C10" i="51"/>
  <c r="D10" i="51" s="1"/>
  <c r="M9" i="51" a="1"/>
  <c r="M9" i="51" s="1"/>
  <c r="L9" i="51" a="1"/>
  <c r="L9" i="51" s="1"/>
  <c r="F9" i="51" a="1"/>
  <c r="F9" i="51" s="1"/>
  <c r="C9" i="51"/>
  <c r="D9" i="51" s="1"/>
  <c r="M8" i="51" a="1"/>
  <c r="M8" i="51" s="1"/>
  <c r="L8" i="51" a="1"/>
  <c r="L8" i="51" s="1"/>
  <c r="C8" i="51"/>
  <c r="D8" i="51" s="1"/>
  <c r="M7" i="51"/>
  <c r="M7" i="51" a="1"/>
  <c r="L7" i="51" a="1"/>
  <c r="L7" i="51" s="1"/>
  <c r="E7" i="51" a="1"/>
  <c r="E7" i="51" s="1"/>
  <c r="D7" i="51"/>
  <c r="C7" i="51"/>
  <c r="B2" i="51"/>
  <c r="L99" i="39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K99" i="39"/>
  <c r="E99" i="39"/>
  <c r="F99" i="39" s="1"/>
  <c r="G99" i="39" s="1"/>
  <c r="H99" i="39" s="1"/>
  <c r="I99" i="39" s="1"/>
  <c r="D99" i="39"/>
  <c r="S95" i="39"/>
  <c r="T95" i="39" s="1"/>
  <c r="U95" i="39" s="1"/>
  <c r="V95" i="39" s="1"/>
  <c r="W95" i="39" s="1"/>
  <c r="R95" i="39"/>
  <c r="M95" i="39"/>
  <c r="N95" i="39" s="1"/>
  <c r="O95" i="39" s="1"/>
  <c r="P95" i="39" s="1"/>
  <c r="Q95" i="39" s="1"/>
  <c r="K95" i="39"/>
  <c r="L95" i="39" s="1"/>
  <c r="E95" i="39"/>
  <c r="F95" i="39" s="1"/>
  <c r="G95" i="39" s="1"/>
  <c r="H95" i="39" s="1"/>
  <c r="I95" i="39" s="1"/>
  <c r="D95" i="39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K91" i="39"/>
  <c r="L91" i="39" s="1"/>
  <c r="D91" i="39"/>
  <c r="E91" i="39" s="1"/>
  <c r="F91" i="39" s="1"/>
  <c r="G91" i="39" s="1"/>
  <c r="H91" i="39" s="1"/>
  <c r="I91" i="39" s="1"/>
  <c r="B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H85" i="39"/>
  <c r="I85" i="39" s="1"/>
  <c r="F85" i="39"/>
  <c r="G85" i="39" s="1"/>
  <c r="E85" i="39"/>
  <c r="D85" i="39"/>
  <c r="B85" i="39"/>
  <c r="C156" i="38"/>
  <c r="D155" i="38"/>
  <c r="B102" i="38"/>
  <c r="X101" i="38"/>
  <c r="Y101" i="38" s="1"/>
  <c r="Z101" i="38" s="1"/>
  <c r="AA101" i="38" s="1"/>
  <c r="AB101" i="38" s="1"/>
  <c r="AC101" i="38" s="1"/>
  <c r="AD101" i="38" s="1"/>
  <c r="V101" i="38"/>
  <c r="W101" i="38" s="1"/>
  <c r="S101" i="38"/>
  <c r="T101" i="38" s="1"/>
  <c r="U101" i="38" s="1"/>
  <c r="R101" i="38"/>
  <c r="L101" i="38"/>
  <c r="M101" i="38" s="1"/>
  <c r="N101" i="38" s="1"/>
  <c r="O101" i="38" s="1"/>
  <c r="P101" i="38" s="1"/>
  <c r="K101" i="38"/>
  <c r="B86" i="38"/>
  <c r="R85" i="38"/>
  <c r="S85" i="38" s="1"/>
  <c r="T85" i="38" s="1"/>
  <c r="U85" i="38" s="1"/>
  <c r="V85" i="38" s="1"/>
  <c r="W85" i="38" s="1"/>
  <c r="X85" i="38" s="1"/>
  <c r="Y85" i="38" s="1"/>
  <c r="Z85" i="38" s="1"/>
  <c r="AA85" i="38" s="1"/>
  <c r="AB85" i="38" s="1"/>
  <c r="AC85" i="38" s="1"/>
  <c r="AD85" i="38" s="1"/>
  <c r="N85" i="38"/>
  <c r="O85" i="38" s="1"/>
  <c r="P85" i="38" s="1"/>
  <c r="L85" i="38"/>
  <c r="M85" i="38" s="1"/>
  <c r="K85" i="38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S53" i="38"/>
  <c r="T53" i="38" s="1"/>
  <c r="U53" i="38" s="1"/>
  <c r="V53" i="38" s="1"/>
  <c r="W53" i="38" s="1"/>
  <c r="X53" i="38" s="1"/>
  <c r="Y53" i="38" s="1"/>
  <c r="Z53" i="38" s="1"/>
  <c r="AA53" i="38" s="1"/>
  <c r="AB53" i="38" s="1"/>
  <c r="AC53" i="38" s="1"/>
  <c r="AD53" i="38" s="1"/>
  <c r="R53" i="38"/>
  <c r="N53" i="38"/>
  <c r="O53" i="38" s="1"/>
  <c r="P53" i="38" s="1"/>
  <c r="L53" i="38"/>
  <c r="M53" i="38" s="1"/>
  <c r="K53" i="38"/>
  <c r="B38" i="38"/>
  <c r="B95" i="39" s="1"/>
  <c r="Z37" i="38"/>
  <c r="AA37" i="38" s="1"/>
  <c r="AB37" i="38" s="1"/>
  <c r="AC37" i="38" s="1"/>
  <c r="AD37" i="38" s="1"/>
  <c r="T37" i="38"/>
  <c r="U37" i="38" s="1"/>
  <c r="V37" i="38" s="1"/>
  <c r="W37" i="38" s="1"/>
  <c r="X37" i="38" s="1"/>
  <c r="Y37" i="38" s="1"/>
  <c r="R37" i="38"/>
  <c r="S37" i="38" s="1"/>
  <c r="K37" i="38"/>
  <c r="L37" i="38" s="1"/>
  <c r="M37" i="38" s="1"/>
  <c r="N37" i="38" s="1"/>
  <c r="O37" i="38" s="1"/>
  <c r="P37" i="38" s="1"/>
  <c r="S21" i="38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R21" i="38"/>
  <c r="K21" i="38"/>
  <c r="L21" i="38" s="1"/>
  <c r="M21" i="38" s="1"/>
  <c r="N21" i="38" s="1"/>
  <c r="O21" i="38" s="1"/>
  <c r="P21" i="38" s="1"/>
  <c r="AD13" i="38"/>
  <c r="K12" i="38"/>
  <c r="D12" i="38"/>
  <c r="C12" i="38"/>
  <c r="Q10" i="38"/>
  <c r="Q8" i="38"/>
  <c r="J8" i="38"/>
  <c r="C8" i="38"/>
  <c r="R5" i="38"/>
  <c r="K5" i="38"/>
  <c r="B2" i="38"/>
  <c r="B2" i="39" s="1"/>
  <c r="Q1" i="38"/>
  <c r="K1" i="38"/>
  <c r="J1" i="38"/>
  <c r="L125" i="37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K125" i="37"/>
  <c r="G125" i="37"/>
  <c r="H125" i="37" s="1"/>
  <c r="I125" i="37" s="1"/>
  <c r="D125" i="37"/>
  <c r="E125" i="37" s="1"/>
  <c r="F125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E121" i="37"/>
  <c r="F121" i="37" s="1"/>
  <c r="G121" i="37" s="1"/>
  <c r="H121" i="37" s="1"/>
  <c r="I121" i="37" s="1"/>
  <c r="D121" i="37"/>
  <c r="T117" i="37"/>
  <c r="U117" i="37" s="1"/>
  <c r="V117" i="37" s="1"/>
  <c r="W117" i="37" s="1"/>
  <c r="N117" i="37"/>
  <c r="O117" i="37" s="1"/>
  <c r="P117" i="37" s="1"/>
  <c r="Q117" i="37" s="1"/>
  <c r="R117" i="37" s="1"/>
  <c r="S117" i="37" s="1"/>
  <c r="M117" i="37"/>
  <c r="K117" i="37"/>
  <c r="L117" i="37" s="1"/>
  <c r="D117" i="37"/>
  <c r="E117" i="37" s="1"/>
  <c r="F117" i="37" s="1"/>
  <c r="G117" i="37" s="1"/>
  <c r="H117" i="37" s="1"/>
  <c r="I117" i="37" s="1"/>
  <c r="B117" i="37"/>
  <c r="S111" i="37"/>
  <c r="T111" i="37" s="1"/>
  <c r="U111" i="37" s="1"/>
  <c r="V111" i="37" s="1"/>
  <c r="W111" i="37" s="1"/>
  <c r="P111" i="37"/>
  <c r="Q111" i="37" s="1"/>
  <c r="R111" i="37" s="1"/>
  <c r="N111" i="37"/>
  <c r="O111" i="37" s="1"/>
  <c r="M111" i="37"/>
  <c r="K111" i="37"/>
  <c r="L111" i="37" s="1"/>
  <c r="D111" i="37"/>
  <c r="E111" i="37" s="1"/>
  <c r="F111" i="37" s="1"/>
  <c r="G111" i="37" s="1"/>
  <c r="H111" i="37" s="1"/>
  <c r="I111" i="37" s="1"/>
  <c r="B111" i="37"/>
  <c r="C149" i="33"/>
  <c r="D148" i="33"/>
  <c r="D149" i="33" s="1"/>
  <c r="B96" i="33"/>
  <c r="U95" i="33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S95" i="33" s="1"/>
  <c r="T95" i="33" s="1"/>
  <c r="M95" i="33"/>
  <c r="N95" i="33" s="1"/>
  <c r="O95" i="33" s="1"/>
  <c r="P95" i="33" s="1"/>
  <c r="L95" i="33"/>
  <c r="K95" i="33"/>
  <c r="B81" i="33"/>
  <c r="Y80" i="33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W80" i="33" s="1"/>
  <c r="X80" i="33" s="1"/>
  <c r="L80" i="33"/>
  <c r="M80" i="33" s="1"/>
  <c r="N80" i="33" s="1"/>
  <c r="O80" i="33" s="1"/>
  <c r="P80" i="33" s="1"/>
  <c r="K80" i="33"/>
  <c r="B66" i="33"/>
  <c r="W65" i="33"/>
  <c r="X65" i="33" s="1"/>
  <c r="Y65" i="33" s="1"/>
  <c r="Z65" i="33" s="1"/>
  <c r="AA65" i="33" s="1"/>
  <c r="AB65" i="33" s="1"/>
  <c r="AC65" i="33" s="1"/>
  <c r="AD65" i="33" s="1"/>
  <c r="R65" i="33"/>
  <c r="S65" i="33" s="1"/>
  <c r="T65" i="33" s="1"/>
  <c r="U65" i="33" s="1"/>
  <c r="V65" i="33" s="1"/>
  <c r="K65" i="33"/>
  <c r="L65" i="33" s="1"/>
  <c r="M65" i="33" s="1"/>
  <c r="N65" i="33" s="1"/>
  <c r="O65" i="33" s="1"/>
  <c r="P65" i="33" s="1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T35" i="33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R35" i="33"/>
  <c r="K35" i="33"/>
  <c r="L35" i="33" s="1"/>
  <c r="M35" i="33" s="1"/>
  <c r="N35" i="33" s="1"/>
  <c r="O35" i="33" s="1"/>
  <c r="P35" i="33" s="1"/>
  <c r="R20" i="33"/>
  <c r="S20" i="33" s="1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K20" i="33"/>
  <c r="L20" i="33" s="1"/>
  <c r="M20" i="33" s="1"/>
  <c r="N20" i="33" s="1"/>
  <c r="O20" i="33" s="1"/>
  <c r="P20" i="33" s="1"/>
  <c r="AD13" i="33"/>
  <c r="H13" i="33" s="1"/>
  <c r="D12" i="33"/>
  <c r="C12" i="33"/>
  <c r="Q8" i="33"/>
  <c r="K8" i="33"/>
  <c r="J8" i="33"/>
  <c r="C8" i="33"/>
  <c r="R5" i="33"/>
  <c r="R8" i="33" s="1"/>
  <c r="L5" i="33"/>
  <c r="K5" i="33"/>
  <c r="B2" i="33"/>
  <c r="R1" i="33"/>
  <c r="Q1" i="33"/>
  <c r="Q11" i="33" s="1"/>
  <c r="K1" i="33"/>
  <c r="J1" i="33"/>
  <c r="C43" i="31"/>
  <c r="C42" i="31"/>
  <c r="C41" i="31"/>
  <c r="C36" i="31"/>
  <c r="C20" i="31" s="1"/>
  <c r="O30" i="31"/>
  <c r="E30" i="31" s="1"/>
  <c r="H30" i="31" s="1"/>
  <c r="G30" i="31"/>
  <c r="C30" i="31"/>
  <c r="G29" i="31"/>
  <c r="E29" i="31"/>
  <c r="H29" i="31" s="1"/>
  <c r="C29" i="31"/>
  <c r="G28" i="31"/>
  <c r="E28" i="31"/>
  <c r="H28" i="31" s="1"/>
  <c r="C28" i="31"/>
  <c r="G27" i="31"/>
  <c r="E27" i="31"/>
  <c r="C27" i="31"/>
  <c r="G26" i="31"/>
  <c r="E26" i="31"/>
  <c r="C26" i="31"/>
  <c r="H25" i="31"/>
  <c r="G25" i="31"/>
  <c r="E25" i="31"/>
  <c r="C25" i="31"/>
  <c r="G24" i="31"/>
  <c r="G31" i="31" s="1"/>
  <c r="E24" i="31"/>
  <c r="H24" i="31" s="1"/>
  <c r="C24" i="31"/>
  <c r="C16" i="31" a="1"/>
  <c r="C16" i="31" s="1"/>
  <c r="B2" i="31"/>
  <c r="B83" i="17"/>
  <c r="B71" i="17"/>
  <c r="C60" i="17"/>
  <c r="B53" i="17"/>
  <c r="B46" i="17"/>
  <c r="B59" i="17" s="1"/>
  <c r="B45" i="17"/>
  <c r="B44" i="17"/>
  <c r="B51" i="17" s="1"/>
  <c r="B43" i="17"/>
  <c r="C40" i="17"/>
  <c r="B39" i="17"/>
  <c r="B37" i="17"/>
  <c r="B34" i="17"/>
  <c r="B31" i="17"/>
  <c r="B26" i="17"/>
  <c r="B23" i="17"/>
  <c r="B22" i="17"/>
  <c r="B21" i="17"/>
  <c r="B20" i="17"/>
  <c r="B16" i="17"/>
  <c r="B28" i="17" s="1"/>
  <c r="B15" i="17"/>
  <c r="B27" i="17" s="1"/>
  <c r="B14" i="17"/>
  <c r="B13" i="17"/>
  <c r="B12" i="17"/>
  <c r="B11" i="17"/>
  <c r="B10" i="17"/>
  <c r="B33" i="17" s="1"/>
  <c r="B9" i="17"/>
  <c r="B32" i="17" s="1"/>
  <c r="B8" i="17"/>
  <c r="B2" i="17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I52" i="10" s="1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C57" i="10" s="1"/>
  <c r="H50" i="10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G50" i="10"/>
  <c r="E50" i="10"/>
  <c r="F50" i="10" s="1"/>
  <c r="D50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E47" i="10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D47" i="10"/>
  <c r="B2" i="10"/>
  <c r="C53" i="9"/>
  <c r="D52" i="9"/>
  <c r="D53" i="9" s="1"/>
  <c r="C46" i="9"/>
  <c r="B43" i="9"/>
  <c r="B42" i="9"/>
  <c r="B38" i="9"/>
  <c r="B35" i="9"/>
  <c r="B34" i="9"/>
  <c r="B33" i="9"/>
  <c r="B32" i="9"/>
  <c r="B31" i="9"/>
  <c r="B30" i="9"/>
  <c r="B29" i="9"/>
  <c r="B28" i="9"/>
  <c r="B22" i="9"/>
  <c r="B21" i="9"/>
  <c r="B20" i="9"/>
  <c r="B19" i="9"/>
  <c r="B18" i="9"/>
  <c r="B15" i="9"/>
  <c r="B45" i="9" s="1"/>
  <c r="B14" i="9"/>
  <c r="B44" i="9" s="1"/>
  <c r="B13" i="9"/>
  <c r="B12" i="9"/>
  <c r="B11" i="9"/>
  <c r="B41" i="9" s="1"/>
  <c r="B10" i="9"/>
  <c r="B40" i="9" s="1"/>
  <c r="B9" i="9"/>
  <c r="B39" i="9" s="1"/>
  <c r="B8" i="9"/>
  <c r="B2" i="9"/>
  <c r="B2" i="35" s="1"/>
  <c r="K27" i="19"/>
  <c r="D27" i="19" s="1"/>
  <c r="K24" i="19"/>
  <c r="C24" i="19" s="1"/>
  <c r="B24" i="19"/>
  <c r="K23" i="19"/>
  <c r="C23" i="19"/>
  <c r="B23" i="19"/>
  <c r="K22" i="19"/>
  <c r="C22" i="19" s="1"/>
  <c r="B22" i="19"/>
  <c r="C21" i="19"/>
  <c r="B21" i="19"/>
  <c r="K20" i="19"/>
  <c r="C20" i="19"/>
  <c r="B20" i="19"/>
  <c r="C19" i="19"/>
  <c r="B19" i="19"/>
  <c r="B9" i="19" s="1"/>
  <c r="K18" i="19"/>
  <c r="C18" i="19" s="1"/>
  <c r="B18" i="19"/>
  <c r="K17" i="19"/>
  <c r="C17" i="19"/>
  <c r="B17" i="19"/>
  <c r="C16" i="19"/>
  <c r="B16" i="19"/>
  <c r="B8" i="19" s="1"/>
  <c r="K15" i="19"/>
  <c r="B15" i="19"/>
  <c r="C10" i="19"/>
  <c r="B10" i="19"/>
  <c r="D9" i="19"/>
  <c r="F9" i="19" s="1"/>
  <c r="C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G200" i="11"/>
  <c r="D200" i="11"/>
  <c r="C200" i="11"/>
  <c r="D199" i="11" s="1"/>
  <c r="J199" i="11"/>
  <c r="J200" i="11" s="1"/>
  <c r="C179" i="11"/>
  <c r="K103" i="11" s="1"/>
  <c r="C168" i="11"/>
  <c r="AG88" i="11" s="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C134" i="11"/>
  <c r="C130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J104" i="11"/>
  <c r="I104" i="11"/>
  <c r="G104" i="11"/>
  <c r="F104" i="11"/>
  <c r="D104" i="11"/>
  <c r="C104" i="11"/>
  <c r="AE77" i="11"/>
  <c r="B74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P77" i="11" s="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K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R64" i="17" s="1"/>
  <c r="AR49" i="11"/>
  <c r="Q64" i="17" s="1"/>
  <c r="AQ49" i="11"/>
  <c r="P64" i="17" s="1"/>
  <c r="AP49" i="11"/>
  <c r="O64" i="17" s="1"/>
  <c r="AO49" i="11"/>
  <c r="N64" i="17" s="1"/>
  <c r="AN49" i="11"/>
  <c r="M64" i="17" s="1"/>
  <c r="AM49" i="11"/>
  <c r="L64" i="17" s="1"/>
  <c r="AL49" i="11"/>
  <c r="K64" i="17" s="1"/>
  <c r="AK49" i="11"/>
  <c r="J64" i="17" s="1"/>
  <c r="AJ49" i="11"/>
  <c r="I64" i="17" s="1"/>
  <c r="AI49" i="11"/>
  <c r="H64" i="17" s="1"/>
  <c r="AH49" i="11"/>
  <c r="G64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3" i="17" s="1"/>
  <c r="AS48" i="11"/>
  <c r="R63" i="17" s="1"/>
  <c r="AR48" i="11"/>
  <c r="AQ48" i="11"/>
  <c r="AP48" i="11"/>
  <c r="AO48" i="11"/>
  <c r="N63" i="17" s="1"/>
  <c r="AN48" i="11"/>
  <c r="M63" i="17" s="1"/>
  <c r="AM48" i="11"/>
  <c r="L63" i="17" s="1"/>
  <c r="AL48" i="11"/>
  <c r="K63" i="17" s="1"/>
  <c r="AK48" i="11"/>
  <c r="J63" i="17" s="1"/>
  <c r="AJ48" i="11"/>
  <c r="I63" i="17" s="1"/>
  <c r="AI48" i="11"/>
  <c r="H63" i="17" s="1"/>
  <c r="AH48" i="11"/>
  <c r="G63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S66" i="11" s="1"/>
  <c r="R48" i="11"/>
  <c r="R66" i="11" s="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M59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S45" i="17" s="1"/>
  <c r="AS44" i="11"/>
  <c r="R45" i="17" s="1"/>
  <c r="AR44" i="11"/>
  <c r="Q45" i="17" s="1"/>
  <c r="AQ44" i="11"/>
  <c r="P45" i="17" s="1"/>
  <c r="P58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M57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P43" i="17" s="1"/>
  <c r="AP42" i="11"/>
  <c r="O43" i="17" s="1"/>
  <c r="AO42" i="11"/>
  <c r="AN42" i="11"/>
  <c r="AM42" i="11"/>
  <c r="AL42" i="11"/>
  <c r="AK42" i="11"/>
  <c r="J43" i="17" s="1"/>
  <c r="J47" i="17" s="1"/>
  <c r="AJ42" i="11"/>
  <c r="AI42" i="11"/>
  <c r="AH42" i="11"/>
  <c r="AG42" i="11"/>
  <c r="AF42" i="11"/>
  <c r="S107" i="16" s="1"/>
  <c r="AE42" i="11"/>
  <c r="R107" i="16" s="1"/>
  <c r="AD42" i="11"/>
  <c r="Q107" i="16" s="1"/>
  <c r="AC42" i="11"/>
  <c r="P107" i="16" s="1"/>
  <c r="AB42" i="11"/>
  <c r="AA42" i="11"/>
  <c r="AA46" i="11" s="1"/>
  <c r="Z42" i="11"/>
  <c r="Z46" i="11" s="1"/>
  <c r="Y42" i="11"/>
  <c r="L107" i="16" s="1"/>
  <c r="X42" i="11"/>
  <c r="W42" i="11"/>
  <c r="V42" i="11"/>
  <c r="U42" i="11"/>
  <c r="U46" i="11" s="1"/>
  <c r="T42" i="11"/>
  <c r="G107" i="16" s="1"/>
  <c r="S42" i="11"/>
  <c r="F107" i="16" s="1"/>
  <c r="R42" i="11"/>
  <c r="Q42" i="11"/>
  <c r="P42" i="11"/>
  <c r="C107" i="16" s="1"/>
  <c r="AT39" i="11"/>
  <c r="AS39" i="11"/>
  <c r="R16" i="17" s="1"/>
  <c r="AR39" i="11"/>
  <c r="Q16" i="17" s="1"/>
  <c r="Q39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S15" i="17" s="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K37" i="11"/>
  <c r="E14" i="17" s="1"/>
  <c r="AT36" i="11"/>
  <c r="AS36" i="11"/>
  <c r="AR36" i="11"/>
  <c r="AQ36" i="11"/>
  <c r="AP36" i="11"/>
  <c r="O13" i="17" s="1"/>
  <c r="AO36" i="11"/>
  <c r="N13" i="17" s="1"/>
  <c r="AN36" i="11"/>
  <c r="M13" i="17" s="1"/>
  <c r="AM36" i="11"/>
  <c r="L13" i="17" s="1"/>
  <c r="AL36" i="11"/>
  <c r="AK36" i="11"/>
  <c r="J13" i="17" s="1"/>
  <c r="AJ36" i="11"/>
  <c r="AI36" i="11"/>
  <c r="AH36" i="1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AS35" i="11"/>
  <c r="R12" i="17" s="1"/>
  <c r="AR35" i="11"/>
  <c r="Q12" i="17" s="1"/>
  <c r="AQ35" i="11"/>
  <c r="P12" i="17" s="1"/>
  <c r="P35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C88" i="11" s="1"/>
  <c r="AB35" i="11"/>
  <c r="AA35" i="11"/>
  <c r="Z35" i="11"/>
  <c r="Y35" i="11"/>
  <c r="X35" i="11"/>
  <c r="W35" i="11"/>
  <c r="V35" i="11"/>
  <c r="U35" i="11"/>
  <c r="T35" i="11"/>
  <c r="S35" i="11"/>
  <c r="S88" i="11" s="1"/>
  <c r="R35" i="11"/>
  <c r="R88" i="11" s="1"/>
  <c r="Q35" i="11"/>
  <c r="P35" i="11"/>
  <c r="AT34" i="11"/>
  <c r="AS34" i="11"/>
  <c r="AR34" i="11"/>
  <c r="AQ34" i="11"/>
  <c r="AP34" i="11"/>
  <c r="AO34" i="11"/>
  <c r="N11" i="17" s="1"/>
  <c r="AN34" i="11"/>
  <c r="M11" i="17" s="1"/>
  <c r="AM34" i="11"/>
  <c r="AL34" i="11"/>
  <c r="AK34" i="11"/>
  <c r="AJ34" i="11"/>
  <c r="I11" i="17" s="1"/>
  <c r="AI34" i="11"/>
  <c r="H11" i="17" s="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AT33" i="1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AQ32" i="1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R40" i="11" s="1"/>
  <c r="Q32" i="11"/>
  <c r="P32" i="11"/>
  <c r="K32" i="11"/>
  <c r="AT31" i="11"/>
  <c r="AS31" i="11"/>
  <c r="AR31" i="11"/>
  <c r="Q8" i="17" s="1"/>
  <c r="AQ31" i="11"/>
  <c r="P8" i="17" s="1"/>
  <c r="AP31" i="11"/>
  <c r="AO31" i="11"/>
  <c r="AN31" i="11"/>
  <c r="M8" i="17" s="1"/>
  <c r="AM31" i="11"/>
  <c r="L8" i="17" s="1"/>
  <c r="AL31" i="11"/>
  <c r="AK31" i="11"/>
  <c r="AJ31" i="11"/>
  <c r="AI31" i="11"/>
  <c r="AH31" i="11"/>
  <c r="G8" i="17" s="1"/>
  <c r="AG31" i="11"/>
  <c r="AF31" i="11"/>
  <c r="AF40" i="11" s="1"/>
  <c r="AE31" i="11"/>
  <c r="AE40" i="11" s="1"/>
  <c r="AD31" i="11"/>
  <c r="AC31" i="11"/>
  <c r="AB31" i="11"/>
  <c r="AA31" i="11"/>
  <c r="Z31" i="11"/>
  <c r="Z40" i="11" s="1"/>
  <c r="Y31" i="11"/>
  <c r="Y40" i="11" s="1"/>
  <c r="X31" i="11"/>
  <c r="X40" i="11" s="1"/>
  <c r="W31" i="11"/>
  <c r="W40" i="11" s="1"/>
  <c r="V31" i="11"/>
  <c r="V40" i="11" s="1"/>
  <c r="U31" i="11"/>
  <c r="T31" i="11"/>
  <c r="S31" i="11"/>
  <c r="R31" i="11"/>
  <c r="Q31" i="11"/>
  <c r="P31" i="11"/>
  <c r="P40" i="11" s="1"/>
  <c r="AT28" i="11"/>
  <c r="AS28" i="11"/>
  <c r="AR28" i="11"/>
  <c r="AQ28" i="11"/>
  <c r="AP28" i="11"/>
  <c r="AK28" i="11"/>
  <c r="AH28" i="11"/>
  <c r="AG28" i="11"/>
  <c r="AD28" i="11"/>
  <c r="AA28" i="11"/>
  <c r="Z28" i="11"/>
  <c r="U28" i="11"/>
  <c r="R28" i="11"/>
  <c r="Q28" i="11"/>
  <c r="AJ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G22" i="11" s="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AN19" i="11"/>
  <c r="AM19" i="11"/>
  <c r="AL19" i="11"/>
  <c r="J20" i="9" s="1"/>
  <c r="AK19" i="11"/>
  <c r="I20" i="9" s="1"/>
  <c r="AJ19" i="11"/>
  <c r="H20" i="9" s="1"/>
  <c r="AI19" i="11"/>
  <c r="AI28" i="11" s="1"/>
  <c r="AH19" i="11"/>
  <c r="AG19" i="11"/>
  <c r="AF19" i="11"/>
  <c r="AF28" i="11" s="1"/>
  <c r="AE19" i="11"/>
  <c r="AE28" i="11" s="1"/>
  <c r="AD19" i="11"/>
  <c r="AC19" i="11"/>
  <c r="AC28" i="11" s="1"/>
  <c r="AB19" i="11"/>
  <c r="AB28" i="11" s="1"/>
  <c r="AA19" i="11"/>
  <c r="Z19" i="11"/>
  <c r="Y19" i="11"/>
  <c r="Y28" i="11" s="1"/>
  <c r="X19" i="11"/>
  <c r="X28" i="11" s="1"/>
  <c r="W19" i="11"/>
  <c r="W28" i="11" s="1"/>
  <c r="V19" i="11"/>
  <c r="V28" i="11" s="1"/>
  <c r="U19" i="11"/>
  <c r="T19" i="11"/>
  <c r="T28" i="11" s="1"/>
  <c r="S19" i="11"/>
  <c r="S28" i="11" s="1"/>
  <c r="R19" i="11"/>
  <c r="Q19" i="11"/>
  <c r="P19" i="11"/>
  <c r="P28" i="11" s="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I19" i="9" s="1"/>
  <c r="AJ18" i="11"/>
  <c r="H19" i="9" s="1"/>
  <c r="AI18" i="11"/>
  <c r="G19" i="9" s="1"/>
  <c r="AH18" i="11"/>
  <c r="AG18" i="11"/>
  <c r="AF18" i="11"/>
  <c r="AE18" i="11"/>
  <c r="AE22" i="11" s="1"/>
  <c r="AD18" i="11"/>
  <c r="AD22" i="11" s="1"/>
  <c r="AC18" i="11"/>
  <c r="AB18" i="11"/>
  <c r="AA18" i="11"/>
  <c r="Z18" i="11"/>
  <c r="Y18" i="11"/>
  <c r="Y22" i="11" s="1"/>
  <c r="Y24" i="11" s="1"/>
  <c r="X18" i="11"/>
  <c r="W18" i="11"/>
  <c r="V18" i="11"/>
  <c r="U18" i="11"/>
  <c r="U22" i="11" s="1"/>
  <c r="T18" i="11"/>
  <c r="T22" i="11" s="1"/>
  <c r="S18" i="11"/>
  <c r="R18" i="11"/>
  <c r="Q18" i="11"/>
  <c r="P18" i="11"/>
  <c r="AT17" i="11"/>
  <c r="R18" i="9" s="1"/>
  <c r="AS17" i="11"/>
  <c r="AR17" i="11"/>
  <c r="AQ17" i="11"/>
  <c r="O18" i="9" s="1"/>
  <c r="AP17" i="11"/>
  <c r="N18" i="9" s="1"/>
  <c r="N23" i="9" s="1"/>
  <c r="AO17" i="11"/>
  <c r="M18" i="9" s="1"/>
  <c r="AN17" i="11"/>
  <c r="L18" i="9" s="1"/>
  <c r="AM17" i="11"/>
  <c r="AL17" i="11"/>
  <c r="AK17" i="11"/>
  <c r="I18" i="9" s="1"/>
  <c r="AJ17" i="11"/>
  <c r="H18" i="9" s="1"/>
  <c r="AI17" i="11"/>
  <c r="AI22" i="11" s="1"/>
  <c r="AH17" i="11"/>
  <c r="AH22" i="11" s="1"/>
  <c r="AG17" i="11"/>
  <c r="AF17" i="11"/>
  <c r="AF22" i="11" s="1"/>
  <c r="AE17" i="11"/>
  <c r="AD17" i="11"/>
  <c r="AC17" i="11"/>
  <c r="AB17" i="11"/>
  <c r="AB22" i="11" s="1"/>
  <c r="AB24" i="11" s="1"/>
  <c r="AA17" i="11"/>
  <c r="AA22" i="11" s="1"/>
  <c r="Z17" i="11"/>
  <c r="Z22" i="11" s="1"/>
  <c r="Y17" i="11"/>
  <c r="X17" i="11"/>
  <c r="X22" i="11" s="1"/>
  <c r="X24" i="11" s="1"/>
  <c r="W17" i="11"/>
  <c r="W22" i="11" s="1"/>
  <c r="V17" i="11"/>
  <c r="V22" i="11" s="1"/>
  <c r="U17" i="11"/>
  <c r="T17" i="11"/>
  <c r="S17" i="11"/>
  <c r="S22" i="11" s="1"/>
  <c r="R17" i="11"/>
  <c r="R22" i="11" s="1"/>
  <c r="Q17" i="11"/>
  <c r="Q22" i="11" s="1"/>
  <c r="P17" i="11"/>
  <c r="P22" i="11" s="1"/>
  <c r="AT14" i="11"/>
  <c r="AS14" i="11"/>
  <c r="Q15" i="9" s="1"/>
  <c r="AR14" i="11"/>
  <c r="P15" i="9" s="1"/>
  <c r="AQ14" i="11"/>
  <c r="O15" i="9" s="1"/>
  <c r="O4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G15" i="9" s="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O11" i="9" s="1"/>
  <c r="AP10" i="11"/>
  <c r="N11" i="9" s="1"/>
  <c r="AO10" i="11"/>
  <c r="AN10" i="11"/>
  <c r="AM10" i="11"/>
  <c r="AL10" i="11"/>
  <c r="AK10" i="11"/>
  <c r="AJ10" i="11"/>
  <c r="AI10" i="11"/>
  <c r="AH10" i="11"/>
  <c r="AH99" i="11" s="1"/>
  <c r="AG10" i="11"/>
  <c r="AG99" i="11" s="1"/>
  <c r="AG104" i="11" s="1"/>
  <c r="AF10" i="11"/>
  <c r="AF99" i="11" s="1"/>
  <c r="AF104" i="11" s="1"/>
  <c r="AE10" i="11"/>
  <c r="AE99" i="11" s="1"/>
  <c r="AE104" i="11" s="1"/>
  <c r="AD10" i="11"/>
  <c r="AD99" i="11" s="1"/>
  <c r="AD104" i="11" s="1"/>
  <c r="AC10" i="11"/>
  <c r="AC99" i="11" s="1"/>
  <c r="AC104" i="11" s="1"/>
  <c r="AB10" i="11"/>
  <c r="AB99" i="11" s="1"/>
  <c r="AB104" i="11" s="1"/>
  <c r="AA10" i="11"/>
  <c r="AA99" i="11" s="1"/>
  <c r="AA104" i="11" s="1"/>
  <c r="Z10" i="11"/>
  <c r="Z99" i="11" s="1"/>
  <c r="Z104" i="11" s="1"/>
  <c r="Y10" i="11"/>
  <c r="Y99" i="11" s="1"/>
  <c r="Y104" i="11" s="1"/>
  <c r="X10" i="11"/>
  <c r="X99" i="11" s="1"/>
  <c r="X104" i="11" s="1"/>
  <c r="W10" i="11"/>
  <c r="W99" i="11" s="1"/>
  <c r="W104" i="11" s="1"/>
  <c r="V10" i="11"/>
  <c r="V99" i="11" s="1"/>
  <c r="V104" i="11" s="1"/>
  <c r="U10" i="11"/>
  <c r="U99" i="11" s="1"/>
  <c r="U104" i="11" s="1"/>
  <c r="T10" i="11"/>
  <c r="T99" i="11" s="1"/>
  <c r="T104" i="11" s="1"/>
  <c r="S10" i="11"/>
  <c r="S99" i="11" s="1"/>
  <c r="S104" i="11" s="1"/>
  <c r="R10" i="11"/>
  <c r="R99" i="11" s="1"/>
  <c r="R104" i="11" s="1"/>
  <c r="Q10" i="11"/>
  <c r="Q99" i="11" s="1"/>
  <c r="Q104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P15" i="11" s="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T15" i="11" s="1"/>
  <c r="AS7" i="11"/>
  <c r="AR7" i="11"/>
  <c r="AQ7" i="11"/>
  <c r="AP7" i="11"/>
  <c r="AO7" i="11"/>
  <c r="M8" i="9" s="1"/>
  <c r="AN7" i="11"/>
  <c r="L8" i="9" s="1"/>
  <c r="AM7" i="11"/>
  <c r="AL7" i="11"/>
  <c r="AK7" i="11"/>
  <c r="I8" i="9" s="1"/>
  <c r="AJ7" i="11"/>
  <c r="H8" i="9" s="1"/>
  <c r="AI7" i="11"/>
  <c r="AH7" i="11"/>
  <c r="AH15" i="11" s="1"/>
  <c r="G85" i="17" s="1"/>
  <c r="AG7" i="11"/>
  <c r="AG15" i="11" s="1"/>
  <c r="AF7" i="11"/>
  <c r="AF15" i="11" s="1"/>
  <c r="AE7" i="11"/>
  <c r="AE15" i="11" s="1"/>
  <c r="R100" i="16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X15" i="11" s="1"/>
  <c r="K104" i="16" s="1"/>
  <c r="W7" i="11"/>
  <c r="V7" i="11"/>
  <c r="U7" i="11"/>
  <c r="U15" i="11" s="1"/>
  <c r="T7" i="11"/>
  <c r="T15" i="11" s="1"/>
  <c r="S7" i="11"/>
  <c r="R7" i="11"/>
  <c r="R15" i="11" s="1"/>
  <c r="Q7" i="11"/>
  <c r="Q15" i="11" s="1"/>
  <c r="P7" i="11"/>
  <c r="T5" i="1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S5" i="11"/>
  <c r="R5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K20" i="18"/>
  <c r="B20" i="18"/>
  <c r="B19" i="18"/>
  <c r="B14" i="18"/>
  <c r="B13" i="18"/>
  <c r="B12" i="18"/>
  <c r="B11" i="18"/>
  <c r="B10" i="18"/>
  <c r="B9" i="18"/>
  <c r="B8" i="18"/>
  <c r="B2" i="18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L36" i="55" s="1"/>
  <c r="G36" i="55"/>
  <c r="E36" i="55"/>
  <c r="D36" i="55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K34" i="55"/>
  <c r="M34" i="55" s="1"/>
  <c r="I34" i="55"/>
  <c r="H34" i="55"/>
  <c r="L34" i="55" s="1"/>
  <c r="G34" i="55"/>
  <c r="E34" i="55"/>
  <c r="D34" i="55"/>
  <c r="C34" i="55"/>
  <c r="I33" i="55"/>
  <c r="H33" i="55"/>
  <c r="G33" i="55"/>
  <c r="E33" i="55"/>
  <c r="D33" i="55"/>
  <c r="L33" i="55" s="1"/>
  <c r="C33" i="55"/>
  <c r="K33" i="55" s="1"/>
  <c r="M33" i="55" s="1"/>
  <c r="L32" i="55"/>
  <c r="K32" i="55"/>
  <c r="M32" i="55" s="1"/>
  <c r="I32" i="55"/>
  <c r="H32" i="55"/>
  <c r="G32" i="55"/>
  <c r="E32" i="55"/>
  <c r="D32" i="55"/>
  <c r="C32" i="55"/>
  <c r="K29" i="55"/>
  <c r="M29" i="55" s="1"/>
  <c r="I29" i="55"/>
  <c r="H29" i="55"/>
  <c r="G29" i="55"/>
  <c r="E29" i="55"/>
  <c r="D29" i="55"/>
  <c r="L29" i="55" s="1"/>
  <c r="C29" i="55"/>
  <c r="I28" i="55"/>
  <c r="H28" i="55"/>
  <c r="L28" i="55" s="1"/>
  <c r="G28" i="55"/>
  <c r="K28" i="55" s="1"/>
  <c r="M28" i="55" s="1"/>
  <c r="E28" i="55"/>
  <c r="D28" i="55"/>
  <c r="C28" i="55"/>
  <c r="L27" i="55"/>
  <c r="I27" i="55"/>
  <c r="H27" i="55"/>
  <c r="G27" i="55"/>
  <c r="E27" i="55"/>
  <c r="D27" i="55"/>
  <c r="C27" i="55"/>
  <c r="K27" i="55" s="1"/>
  <c r="M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K25" i="55" s="1"/>
  <c r="M25" i="55" s="1"/>
  <c r="E25" i="55"/>
  <c r="D25" i="55"/>
  <c r="L25" i="55" s="1"/>
  <c r="C25" i="55"/>
  <c r="I24" i="55"/>
  <c r="H24" i="55"/>
  <c r="G24" i="55"/>
  <c r="K24" i="55" s="1"/>
  <c r="M24" i="55" s="1"/>
  <c r="E24" i="55"/>
  <c r="D24" i="55"/>
  <c r="L24" i="55" s="1"/>
  <c r="C24" i="55"/>
  <c r="K23" i="55"/>
  <c r="M23" i="55" s="1"/>
  <c r="I23" i="55"/>
  <c r="H23" i="55"/>
  <c r="L23" i="55" s="1"/>
  <c r="G23" i="55"/>
  <c r="E23" i="55"/>
  <c r="D23" i="55"/>
  <c r="C23" i="55"/>
  <c r="I22" i="55"/>
  <c r="H22" i="55"/>
  <c r="G22" i="55"/>
  <c r="E22" i="55"/>
  <c r="D22" i="55"/>
  <c r="L22" i="55" s="1"/>
  <c r="C22" i="55"/>
  <c r="K22" i="55" s="1"/>
  <c r="M22" i="55" s="1"/>
  <c r="M21" i="55"/>
  <c r="L21" i="55"/>
  <c r="K21" i="55"/>
  <c r="I21" i="55"/>
  <c r="H21" i="55"/>
  <c r="G21" i="55"/>
  <c r="E21" i="55"/>
  <c r="D21" i="55"/>
  <c r="C21" i="55"/>
  <c r="K18" i="55"/>
  <c r="M18" i="55" s="1"/>
  <c r="I18" i="55"/>
  <c r="H18" i="55"/>
  <c r="G18" i="55"/>
  <c r="E18" i="55"/>
  <c r="D18" i="55"/>
  <c r="L18" i="55" s="1"/>
  <c r="C18" i="55"/>
  <c r="I17" i="55"/>
  <c r="H17" i="55"/>
  <c r="L17" i="55" s="1"/>
  <c r="G17" i="55"/>
  <c r="E17" i="55"/>
  <c r="D17" i="55"/>
  <c r="C17" i="55"/>
  <c r="K17" i="55" s="1"/>
  <c r="M17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M15" i="55" s="1"/>
  <c r="I14" i="55"/>
  <c r="H14" i="55"/>
  <c r="L14" i="55" s="1"/>
  <c r="G14" i="55"/>
  <c r="K14" i="55" s="1"/>
  <c r="M14" i="55" s="1"/>
  <c r="E14" i="55"/>
  <c r="D14" i="55"/>
  <c r="C14" i="55"/>
  <c r="I13" i="55"/>
  <c r="H13" i="55"/>
  <c r="L13" i="55" s="1"/>
  <c r="G13" i="55"/>
  <c r="E13" i="55"/>
  <c r="D13" i="55"/>
  <c r="C13" i="55"/>
  <c r="K13" i="55" s="1"/>
  <c r="M13" i="55" s="1"/>
  <c r="L10" i="55"/>
  <c r="K10" i="55"/>
  <c r="M10" i="55" s="1"/>
  <c r="I10" i="55"/>
  <c r="H10" i="55"/>
  <c r="G10" i="55"/>
  <c r="E10" i="55"/>
  <c r="C45" i="55" s="1"/>
  <c r="D10" i="55"/>
  <c r="C10" i="55"/>
  <c r="C51" i="55" s="1"/>
  <c r="I9" i="55"/>
  <c r="H9" i="55"/>
  <c r="G9" i="55"/>
  <c r="E9" i="55"/>
  <c r="D9" i="55"/>
  <c r="L9" i="55" s="1"/>
  <c r="C9" i="55"/>
  <c r="K9" i="55" s="1"/>
  <c r="M9" i="55" s="1"/>
  <c r="L8" i="55"/>
  <c r="I8" i="55"/>
  <c r="H8" i="55"/>
  <c r="G8" i="55"/>
  <c r="K8" i="55" s="1"/>
  <c r="M8" i="55" s="1"/>
  <c r="E8" i="55"/>
  <c r="D8" i="55"/>
  <c r="C8" i="55"/>
  <c r="I7" i="55"/>
  <c r="H7" i="55"/>
  <c r="G7" i="55"/>
  <c r="E7" i="55"/>
  <c r="D7" i="55"/>
  <c r="L7" i="55" s="1"/>
  <c r="C7" i="55"/>
  <c r="K7" i="55" s="1"/>
  <c r="M7" i="55" s="1"/>
  <c r="B2" i="55"/>
  <c r="B72" i="8"/>
  <c r="J69" i="8"/>
  <c r="I69" i="8"/>
  <c r="G69" i="8"/>
  <c r="F69" i="8"/>
  <c r="D69" i="8"/>
  <c r="C69" i="8"/>
  <c r="K68" i="8"/>
  <c r="N68" i="8" s="1"/>
  <c r="J68" i="8"/>
  <c r="I68" i="8"/>
  <c r="G68" i="8"/>
  <c r="F68" i="8"/>
  <c r="D68" i="8"/>
  <c r="C68" i="8"/>
  <c r="J67" i="8"/>
  <c r="I67" i="8"/>
  <c r="G67" i="8"/>
  <c r="F67" i="8"/>
  <c r="D67" i="8"/>
  <c r="C67" i="8"/>
  <c r="J66" i="8"/>
  <c r="I66" i="8"/>
  <c r="I70" i="8" s="1"/>
  <c r="G66" i="8"/>
  <c r="G70" i="8" s="1"/>
  <c r="F66" i="8"/>
  <c r="F70" i="8" s="1"/>
  <c r="D66" i="8"/>
  <c r="C66" i="8"/>
  <c r="J65" i="8"/>
  <c r="J70" i="8" s="1"/>
  <c r="I65" i="8"/>
  <c r="G65" i="8"/>
  <c r="F65" i="8"/>
  <c r="D65" i="8"/>
  <c r="D70" i="8" s="1"/>
  <c r="C65" i="8"/>
  <c r="C70" i="8" s="1"/>
  <c r="B62" i="8"/>
  <c r="I58" i="8"/>
  <c r="G58" i="8"/>
  <c r="F58" i="8"/>
  <c r="D58" i="8"/>
  <c r="C58" i="8"/>
  <c r="I53" i="8"/>
  <c r="G53" i="8"/>
  <c r="F53" i="8"/>
  <c r="D53" i="8"/>
  <c r="C53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K27" i="8"/>
  <c r="B27" i="8"/>
  <c r="B26" i="8"/>
  <c r="B25" i="8"/>
  <c r="B24" i="8"/>
  <c r="B23" i="8"/>
  <c r="K22" i="8"/>
  <c r="B22" i="8"/>
  <c r="B21" i="8"/>
  <c r="J17" i="8"/>
  <c r="I17" i="8"/>
  <c r="G17" i="8"/>
  <c r="F17" i="8"/>
  <c r="D17" i="8"/>
  <c r="C17" i="8"/>
  <c r="B14" i="8"/>
  <c r="B13" i="8"/>
  <c r="B12" i="8"/>
  <c r="B11" i="8"/>
  <c r="B10" i="8"/>
  <c r="B9" i="8"/>
  <c r="B8" i="8"/>
  <c r="B2" i="8"/>
  <c r="C228" i="63"/>
  <c r="C229" i="63" s="1"/>
  <c r="B228" i="63"/>
  <c r="B227" i="63"/>
  <c r="C220" i="63"/>
  <c r="C221" i="63" s="1"/>
  <c r="B219" i="63"/>
  <c r="C191" i="63"/>
  <c r="G432" i="65" s="1"/>
  <c r="G433" i="65"/>
  <c r="C186" i="63"/>
  <c r="C187" i="63" s="1"/>
  <c r="C166" i="63"/>
  <c r="C94" i="63"/>
  <c r="C76" i="63"/>
  <c r="D73" i="63"/>
  <c r="C71" i="63"/>
  <c r="C63" i="63"/>
  <c r="C56" i="63"/>
  <c r="C55" i="63"/>
  <c r="C58" i="63" s="1"/>
  <c r="B38" i="63"/>
  <c r="B34" i="63"/>
  <c r="C31" i="63"/>
  <c r="G455" i="65" s="1"/>
  <c r="G465" i="65" s="1"/>
  <c r="C23" i="63"/>
  <c r="G461" i="65" s="1"/>
  <c r="C22" i="63"/>
  <c r="C11" i="63"/>
  <c r="C15" i="63" s="1"/>
  <c r="C9" i="63"/>
  <c r="D183" i="63" s="1"/>
  <c r="C8" i="63"/>
  <c r="B2" i="63"/>
  <c r="C200" i="61"/>
  <c r="C201" i="61" s="1"/>
  <c r="B199" i="61"/>
  <c r="C192" i="61"/>
  <c r="C193" i="61" s="1"/>
  <c r="B191" i="61"/>
  <c r="C158" i="61"/>
  <c r="C157" i="61"/>
  <c r="C124" i="61"/>
  <c r="C92" i="61"/>
  <c r="C83" i="61"/>
  <c r="D79" i="61"/>
  <c r="C79" i="61"/>
  <c r="C74" i="61"/>
  <c r="D71" i="61"/>
  <c r="C69" i="61"/>
  <c r="C63" i="61"/>
  <c r="C62" i="61"/>
  <c r="C57" i="61"/>
  <c r="D158" i="61" s="1"/>
  <c r="C55" i="61"/>
  <c r="C54" i="61"/>
  <c r="B37" i="61"/>
  <c r="B33" i="61"/>
  <c r="B2" i="61"/>
  <c r="G444" i="65"/>
  <c r="G436" i="65"/>
  <c r="T9" i="65"/>
  <c r="B2" i="65"/>
  <c r="E125" i="64"/>
  <c r="E117" i="64"/>
  <c r="D86" i="64"/>
  <c r="L54" i="64"/>
  <c r="D36" i="64"/>
  <c r="D52" i="64" s="1"/>
  <c r="D34" i="64"/>
  <c r="D71" i="64" s="1"/>
  <c r="E33" i="64"/>
  <c r="E15" i="64"/>
  <c r="C30" i="61"/>
  <c r="C22" i="61"/>
  <c r="D9" i="64"/>
  <c r="C176" i="61" s="1"/>
  <c r="D8" i="64"/>
  <c r="C8" i="61" s="1"/>
  <c r="D136" i="61" s="1"/>
  <c r="D7" i="64"/>
  <c r="C7" i="61" s="1"/>
  <c r="B2" i="64"/>
  <c r="B26" i="1"/>
  <c r="D77" i="66" l="1"/>
  <c r="C62" i="60"/>
  <c r="C67" i="66"/>
  <c r="D90" i="66"/>
  <c r="C105" i="66" s="1"/>
  <c r="C60" i="66"/>
  <c r="C27" i="66"/>
  <c r="C28" i="66" s="1"/>
  <c r="C37" i="66"/>
  <c r="C39" i="66" s="1"/>
  <c r="C40" i="66" s="1"/>
  <c r="C41" i="66" s="1"/>
  <c r="C175" i="66"/>
  <c r="C187" i="66"/>
  <c r="D186" i="66"/>
  <c r="B186" i="66"/>
  <c r="B185" i="66"/>
  <c r="C71" i="66"/>
  <c r="D185" i="66"/>
  <c r="C63" i="66"/>
  <c r="C151" i="66"/>
  <c r="C168" i="66"/>
  <c r="D140" i="66"/>
  <c r="D93" i="66"/>
  <c r="B75" i="66"/>
  <c r="D141" i="66"/>
  <c r="D75" i="66"/>
  <c r="C143" i="66"/>
  <c r="B119" i="66"/>
  <c r="D130" i="66"/>
  <c r="C77" i="66"/>
  <c r="C34" i="61"/>
  <c r="C38" i="61"/>
  <c r="C40" i="63"/>
  <c r="G456" i="65" s="1"/>
  <c r="E87" i="60"/>
  <c r="D87" i="60"/>
  <c r="C108" i="60"/>
  <c r="G462" i="65"/>
  <c r="C15" i="61"/>
  <c r="D135" i="61" s="1"/>
  <c r="C24" i="61"/>
  <c r="C25" i="61" s="1"/>
  <c r="C37" i="61" s="1"/>
  <c r="C39" i="61" s="1"/>
  <c r="C127" i="63"/>
  <c r="E7" i="64"/>
  <c r="B221" i="63"/>
  <c r="C222" i="63"/>
  <c r="G6" i="17"/>
  <c r="AI5" i="11"/>
  <c r="C230" i="63"/>
  <c r="B229" i="63"/>
  <c r="B193" i="61"/>
  <c r="C194" i="61"/>
  <c r="AD24" i="11"/>
  <c r="AE24" i="11"/>
  <c r="G435" i="65"/>
  <c r="C38" i="64"/>
  <c r="C68" i="63"/>
  <c r="D91" i="63"/>
  <c r="C112" i="64" s="1"/>
  <c r="C85" i="64" s="1"/>
  <c r="C105" i="63"/>
  <c r="C61" i="63"/>
  <c r="P24" i="11"/>
  <c r="AF24" i="11"/>
  <c r="AG24" i="11"/>
  <c r="Q24" i="11"/>
  <c r="T24" i="11"/>
  <c r="B201" i="61"/>
  <c r="C202" i="61"/>
  <c r="U24" i="11"/>
  <c r="B192" i="61"/>
  <c r="C90" i="63"/>
  <c r="V15" i="11"/>
  <c r="V24" i="11" s="1"/>
  <c r="V68" i="11" s="1"/>
  <c r="J8" i="9"/>
  <c r="AL15" i="11"/>
  <c r="L40" i="9"/>
  <c r="I43" i="9"/>
  <c r="H23" i="9"/>
  <c r="R108" i="16"/>
  <c r="W15" i="11"/>
  <c r="J104" i="16" s="1"/>
  <c r="K8" i="9"/>
  <c r="AM15" i="11"/>
  <c r="Z104" i="16" s="1"/>
  <c r="M40" i="9"/>
  <c r="O42" i="9"/>
  <c r="J43" i="9"/>
  <c r="P45" i="9"/>
  <c r="S40" i="11"/>
  <c r="H8" i="17"/>
  <c r="AI40" i="11"/>
  <c r="R33" i="17"/>
  <c r="K13" i="17"/>
  <c r="AL103" i="11"/>
  <c r="H37" i="17"/>
  <c r="C108" i="16"/>
  <c r="S108" i="16"/>
  <c r="L100" i="16"/>
  <c r="L38" i="9"/>
  <c r="G11" i="9"/>
  <c r="AI99" i="11"/>
  <c r="G41" i="9"/>
  <c r="P42" i="9"/>
  <c r="K43" i="9"/>
  <c r="Q45" i="9"/>
  <c r="AJ15" i="11"/>
  <c r="J18" i="9"/>
  <c r="J23" i="9" s="1"/>
  <c r="AL22" i="11"/>
  <c r="AL24" i="11" s="1"/>
  <c r="E20" i="9"/>
  <c r="T40" i="11"/>
  <c r="I8" i="17"/>
  <c r="AJ40" i="11"/>
  <c r="Q40" i="11"/>
  <c r="AG40" i="11"/>
  <c r="P8" i="35"/>
  <c r="S8" i="35" s="1"/>
  <c r="T8" i="35" s="1"/>
  <c r="C132" i="11"/>
  <c r="K33" i="11" s="1"/>
  <c r="S10" i="17"/>
  <c r="P11" i="17"/>
  <c r="AQ100" i="11"/>
  <c r="I37" i="17"/>
  <c r="H58" i="17"/>
  <c r="O18" i="65"/>
  <c r="O90" i="65"/>
  <c r="O91" i="65"/>
  <c r="O92" i="65"/>
  <c r="O93" i="65"/>
  <c r="O94" i="65"/>
  <c r="O95" i="65"/>
  <c r="O96" i="65"/>
  <c r="O10" i="65"/>
  <c r="O11" i="65"/>
  <c r="O12" i="65"/>
  <c r="O13" i="65"/>
  <c r="O14" i="65"/>
  <c r="O15" i="65"/>
  <c r="O16" i="65"/>
  <c r="C194" i="63"/>
  <c r="C81" i="63" s="1"/>
  <c r="M38" i="9"/>
  <c r="O40" i="9"/>
  <c r="H11" i="9"/>
  <c r="AJ99" i="11"/>
  <c r="Q42" i="9"/>
  <c r="L43" i="9"/>
  <c r="AK15" i="11"/>
  <c r="K18" i="9"/>
  <c r="AM22" i="11"/>
  <c r="U40" i="11"/>
  <c r="J8" i="17"/>
  <c r="AK40" i="11"/>
  <c r="G9" i="17"/>
  <c r="AH40" i="11"/>
  <c r="Q11" i="17"/>
  <c r="AR100" i="11"/>
  <c r="N35" i="17"/>
  <c r="C103" i="63"/>
  <c r="N8" i="9"/>
  <c r="AP15" i="11"/>
  <c r="G9" i="9"/>
  <c r="G39" i="9"/>
  <c r="P40" i="9"/>
  <c r="I11" i="9"/>
  <c r="AK99" i="11"/>
  <c r="R12" i="9"/>
  <c r="C116" i="11"/>
  <c r="K11" i="11" s="1"/>
  <c r="M43" i="9"/>
  <c r="AN15" i="11"/>
  <c r="AA104" i="16" s="1"/>
  <c r="AL28" i="11"/>
  <c r="K8" i="17"/>
  <c r="AL40" i="11"/>
  <c r="R11" i="17"/>
  <c r="AS100" i="11"/>
  <c r="O35" i="17"/>
  <c r="C94" i="61"/>
  <c r="AA15" i="11"/>
  <c r="AA24" i="11" s="1"/>
  <c r="AA68" i="11" s="1"/>
  <c r="O8" i="9"/>
  <c r="AQ15" i="11"/>
  <c r="H39" i="9"/>
  <c r="Q40" i="9"/>
  <c r="J11" i="9"/>
  <c r="AL99" i="11"/>
  <c r="AO15" i="11"/>
  <c r="AB100" i="16" s="1"/>
  <c r="P15" i="35"/>
  <c r="S11" i="17"/>
  <c r="AT100" i="11"/>
  <c r="C136" i="11"/>
  <c r="K34" i="11" s="1"/>
  <c r="K38" i="17"/>
  <c r="O104" i="16"/>
  <c r="D80" i="61"/>
  <c r="C120" i="61" s="1"/>
  <c r="D112" i="64" s="1"/>
  <c r="D85" i="64" s="1"/>
  <c r="P8" i="9"/>
  <c r="AR15" i="11"/>
  <c r="AE104" i="16" s="1"/>
  <c r="I39" i="9"/>
  <c r="R40" i="9"/>
  <c r="AM99" i="11"/>
  <c r="C114" i="11"/>
  <c r="K10" i="11" s="1"/>
  <c r="K11" i="9"/>
  <c r="I44" i="9"/>
  <c r="Z24" i="11"/>
  <c r="J32" i="17"/>
  <c r="P13" i="17"/>
  <c r="AQ103" i="11"/>
  <c r="Q8" i="9"/>
  <c r="AS15" i="11"/>
  <c r="J39" i="9"/>
  <c r="AN99" i="11"/>
  <c r="L11" i="9"/>
  <c r="L16" i="9" s="1"/>
  <c r="P43" i="9"/>
  <c r="N8" i="17"/>
  <c r="AO40" i="11"/>
  <c r="K32" i="17"/>
  <c r="H33" i="17"/>
  <c r="R35" i="17"/>
  <c r="Q13" i="17"/>
  <c r="AR103" i="11"/>
  <c r="N37" i="17"/>
  <c r="D90" i="63"/>
  <c r="C36" i="64"/>
  <c r="R8" i="9"/>
  <c r="C111" i="11"/>
  <c r="K39" i="9"/>
  <c r="M11" i="9"/>
  <c r="M16" i="9" s="1"/>
  <c r="AO99" i="11"/>
  <c r="Q43" i="9"/>
  <c r="K44" i="9"/>
  <c r="P18" i="9"/>
  <c r="P23" i="9" s="1"/>
  <c r="AR22" i="11"/>
  <c r="AR24" i="11" s="1"/>
  <c r="AJ24" i="11"/>
  <c r="O8" i="17"/>
  <c r="AP40" i="11"/>
  <c r="L32" i="17"/>
  <c r="I33" i="17"/>
  <c r="AT88" i="11"/>
  <c r="S12" i="17"/>
  <c r="O37" i="17"/>
  <c r="N38" i="17"/>
  <c r="C100" i="16"/>
  <c r="S100" i="16"/>
  <c r="C66" i="61"/>
  <c r="C15" i="56"/>
  <c r="C24" i="56" s="1"/>
  <c r="L39" i="9"/>
  <c r="L44" i="9"/>
  <c r="AC22" i="11"/>
  <c r="AC24" i="11" s="1"/>
  <c r="Q18" i="9"/>
  <c r="Q23" i="9" s="1"/>
  <c r="AS22" i="11"/>
  <c r="AS24" i="11" s="1"/>
  <c r="AK22" i="11"/>
  <c r="AK24" i="11" s="1"/>
  <c r="J33" i="17"/>
  <c r="AH100" i="11"/>
  <c r="AH104" i="11" s="1"/>
  <c r="G11" i="17"/>
  <c r="C169" i="61"/>
  <c r="M68" i="8"/>
  <c r="D156" i="63"/>
  <c r="D45" i="55"/>
  <c r="D15" i="56"/>
  <c r="D24" i="56" s="1"/>
  <c r="M39" i="9"/>
  <c r="O41" i="9"/>
  <c r="M44" i="9"/>
  <c r="R23" i="9"/>
  <c r="K20" i="9"/>
  <c r="AM28" i="11"/>
  <c r="E22" i="9"/>
  <c r="AN22" i="11"/>
  <c r="AN24" i="11" s="1"/>
  <c r="K33" i="17"/>
  <c r="P38" i="17"/>
  <c r="C60" i="61"/>
  <c r="D136" i="63"/>
  <c r="U9" i="65"/>
  <c r="CI355" i="65"/>
  <c r="BW275" i="65"/>
  <c r="BK195" i="65"/>
  <c r="CC35" i="65"/>
  <c r="BE115" i="65"/>
  <c r="DA115" i="65"/>
  <c r="BE355" i="65"/>
  <c r="DA355" i="65"/>
  <c r="CO275" i="65"/>
  <c r="CC195" i="65"/>
  <c r="CU35" i="65"/>
  <c r="BW115" i="65"/>
  <c r="BW355" i="65"/>
  <c r="BK275" i="65"/>
  <c r="CU195" i="65"/>
  <c r="BQ35" i="65"/>
  <c r="CO115" i="65"/>
  <c r="CO355" i="65"/>
  <c r="CC275" i="65"/>
  <c r="BQ195" i="65"/>
  <c r="CI35" i="65"/>
  <c r="BK115" i="65"/>
  <c r="BK355" i="65"/>
  <c r="CU275" i="65"/>
  <c r="CI195" i="65"/>
  <c r="BE35" i="65"/>
  <c r="DA35" i="65"/>
  <c r="CC115" i="65"/>
  <c r="CC355" i="65"/>
  <c r="BQ275" i="65"/>
  <c r="BE195" i="65"/>
  <c r="DA195" i="65"/>
  <c r="BW35" i="65"/>
  <c r="CU115" i="65"/>
  <c r="BE275" i="65"/>
  <c r="DA275" i="65"/>
  <c r="BW195" i="65"/>
  <c r="BQ115" i="65"/>
  <c r="BQ355" i="65"/>
  <c r="CO195" i="65"/>
  <c r="CI275" i="65"/>
  <c r="CO35" i="65"/>
  <c r="CI115" i="65"/>
  <c r="CU355" i="65"/>
  <c r="BK35" i="65"/>
  <c r="B200" i="61"/>
  <c r="B220" i="63"/>
  <c r="E15" i="56"/>
  <c r="E24" i="56" s="1"/>
  <c r="G10" i="9"/>
  <c r="G40" i="9"/>
  <c r="AR99" i="11"/>
  <c r="AR104" i="11" s="1"/>
  <c r="P11" i="9"/>
  <c r="I42" i="9"/>
  <c r="J45" i="9"/>
  <c r="AN28" i="11"/>
  <c r="L20" i="9"/>
  <c r="L23" i="9" s="1"/>
  <c r="AO22" i="11"/>
  <c r="AO24" i="11" s="1"/>
  <c r="AC40" i="11"/>
  <c r="R8" i="17"/>
  <c r="AS40" i="11"/>
  <c r="O39" i="17"/>
  <c r="E104" i="16"/>
  <c r="U104" i="16"/>
  <c r="C64" i="63"/>
  <c r="N18" i="65"/>
  <c r="B350" i="65"/>
  <c r="B337" i="65"/>
  <c r="Z328" i="65"/>
  <c r="B325" i="65"/>
  <c r="G438" i="65"/>
  <c r="B285" i="65"/>
  <c r="B270" i="65"/>
  <c r="B257" i="65"/>
  <c r="Z248" i="65"/>
  <c r="B245" i="65"/>
  <c r="B205" i="65"/>
  <c r="B418" i="65"/>
  <c r="B365" i="65"/>
  <c r="B190" i="65"/>
  <c r="B177" i="65"/>
  <c r="Z168" i="65"/>
  <c r="B165" i="65"/>
  <c r="B76" i="63"/>
  <c r="F15" i="56"/>
  <c r="F24" i="56" s="1"/>
  <c r="O39" i="9"/>
  <c r="H40" i="9"/>
  <c r="AS99" i="11"/>
  <c r="Q11" i="9"/>
  <c r="J42" i="9"/>
  <c r="O44" i="9"/>
  <c r="K45" i="9"/>
  <c r="AO28" i="11"/>
  <c r="M20" i="9"/>
  <c r="M23" i="9" s="1"/>
  <c r="AT22" i="11"/>
  <c r="AT24" i="11" s="1"/>
  <c r="AD40" i="11"/>
  <c r="P28" i="35"/>
  <c r="S8" i="17"/>
  <c r="AT40" i="11"/>
  <c r="AA40" i="11"/>
  <c r="P9" i="17"/>
  <c r="AQ40" i="11"/>
  <c r="AK100" i="11"/>
  <c r="J11" i="17"/>
  <c r="P19" i="35"/>
  <c r="S14" i="17"/>
  <c r="R58" i="17"/>
  <c r="G100" i="16"/>
  <c r="W100" i="16"/>
  <c r="C119" i="61"/>
  <c r="D111" i="64" s="1"/>
  <c r="D84" i="64" s="1"/>
  <c r="AJ330" i="65"/>
  <c r="G457" i="65"/>
  <c r="C167" i="63"/>
  <c r="G15" i="56"/>
  <c r="G24" i="56" s="1"/>
  <c r="S15" i="11"/>
  <c r="F104" i="16" s="1"/>
  <c r="G8" i="9"/>
  <c r="G38" i="9"/>
  <c r="AI15" i="11"/>
  <c r="G46" i="9" s="1"/>
  <c r="P39" i="9"/>
  <c r="I40" i="9"/>
  <c r="AT99" i="11"/>
  <c r="R11" i="9"/>
  <c r="K42" i="9"/>
  <c r="P44" i="9"/>
  <c r="L45" i="9"/>
  <c r="AB40" i="11"/>
  <c r="AB68" i="11" s="1"/>
  <c r="Q9" i="17"/>
  <c r="AR40" i="11"/>
  <c r="N33" i="17"/>
  <c r="AL100" i="11"/>
  <c r="K11" i="17"/>
  <c r="H35" i="17"/>
  <c r="AH103" i="11"/>
  <c r="G13" i="17"/>
  <c r="H100" i="16"/>
  <c r="X100" i="16"/>
  <c r="D38" i="64"/>
  <c r="D54" i="64" s="1"/>
  <c r="B283" i="65"/>
  <c r="B203" i="65"/>
  <c r="B363" i="65"/>
  <c r="H302" i="65"/>
  <c r="G302" i="65" s="1"/>
  <c r="F302" i="65" s="1"/>
  <c r="E302" i="65" s="1"/>
  <c r="D302" i="65" s="1"/>
  <c r="H289" i="65"/>
  <c r="G289" i="65" s="1"/>
  <c r="F289" i="65" s="1"/>
  <c r="E289" i="65" s="1"/>
  <c r="D289" i="65" s="1"/>
  <c r="H275" i="65"/>
  <c r="H395" i="65"/>
  <c r="H262" i="65"/>
  <c r="G262" i="65" s="1"/>
  <c r="F262" i="65" s="1"/>
  <c r="E262" i="65" s="1"/>
  <c r="D262" i="65" s="1"/>
  <c r="H249" i="65"/>
  <c r="H382" i="65"/>
  <c r="G382" i="65" s="1"/>
  <c r="F382" i="65" s="1"/>
  <c r="E382" i="65" s="1"/>
  <c r="D382" i="65" s="1"/>
  <c r="H369" i="65"/>
  <c r="H355" i="65"/>
  <c r="G355" i="65" s="1"/>
  <c r="F355" i="65" s="1"/>
  <c r="E355" i="65" s="1"/>
  <c r="D355" i="65" s="1"/>
  <c r="H342" i="65"/>
  <c r="G342" i="65" s="1"/>
  <c r="F342" i="65" s="1"/>
  <c r="E342" i="65" s="1"/>
  <c r="D342" i="65" s="1"/>
  <c r="H329" i="65"/>
  <c r="H315" i="65"/>
  <c r="I315" i="65" s="1"/>
  <c r="J315" i="65" s="1"/>
  <c r="K315" i="65" s="1"/>
  <c r="L315" i="65" s="1"/>
  <c r="D167" i="63"/>
  <c r="E8" i="64"/>
  <c r="G445" i="65"/>
  <c r="C142" i="61"/>
  <c r="H15" i="56"/>
  <c r="H24" i="56" s="1"/>
  <c r="H16" i="9"/>
  <c r="H28" i="9" s="1"/>
  <c r="H38" i="9"/>
  <c r="Q39" i="9"/>
  <c r="J40" i="9"/>
  <c r="L42" i="9"/>
  <c r="G43" i="9"/>
  <c r="G13" i="9"/>
  <c r="Q44" i="9"/>
  <c r="M45" i="9"/>
  <c r="R24" i="11"/>
  <c r="AH24" i="11"/>
  <c r="R32" i="17"/>
  <c r="O33" i="17"/>
  <c r="I35" i="17"/>
  <c r="D78" i="63"/>
  <c r="I16" i="9"/>
  <c r="I29" i="9" s="1"/>
  <c r="I38" i="9"/>
  <c r="I28" i="9"/>
  <c r="R9" i="9"/>
  <c r="C113" i="11"/>
  <c r="K8" i="11" s="1"/>
  <c r="K40" i="9"/>
  <c r="P104" i="11"/>
  <c r="M42" i="9"/>
  <c r="H43" i="9"/>
  <c r="C117" i="11"/>
  <c r="K13" i="11" s="1"/>
  <c r="R14" i="9"/>
  <c r="AI24" i="11"/>
  <c r="E9" i="17"/>
  <c r="P7" i="35"/>
  <c r="P9" i="35" s="1"/>
  <c r="S9" i="17"/>
  <c r="P33" i="17"/>
  <c r="J35" i="17"/>
  <c r="S16" i="17"/>
  <c r="C137" i="11"/>
  <c r="K39" i="11" s="1"/>
  <c r="AJ28" i="11"/>
  <c r="Q17" i="17"/>
  <c r="Q31" i="17"/>
  <c r="I32" i="17"/>
  <c r="Q33" i="17"/>
  <c r="I34" i="17"/>
  <c r="Q35" i="17"/>
  <c r="AJ103" i="11"/>
  <c r="I13" i="17"/>
  <c r="I38" i="17"/>
  <c r="O107" i="16"/>
  <c r="O108" i="16" s="1"/>
  <c r="Q43" i="17"/>
  <c r="AE107" i="16"/>
  <c r="AE108" i="16" s="1"/>
  <c r="I57" i="17"/>
  <c r="Q58" i="17"/>
  <c r="I59" i="17"/>
  <c r="AB46" i="11"/>
  <c r="AR46" i="11"/>
  <c r="T66" i="11"/>
  <c r="AJ66" i="11"/>
  <c r="I72" i="17" s="1"/>
  <c r="I71" i="17" s="1"/>
  <c r="X88" i="11"/>
  <c r="AN100" i="11"/>
  <c r="C135" i="11"/>
  <c r="K38" i="11" s="1"/>
  <c r="E100" i="16"/>
  <c r="U100" i="16"/>
  <c r="R104" i="16"/>
  <c r="R37" i="17"/>
  <c r="J38" i="17"/>
  <c r="R39" i="17"/>
  <c r="P108" i="16"/>
  <c r="R43" i="17"/>
  <c r="AF107" i="16"/>
  <c r="AF108" i="16" s="1"/>
  <c r="J57" i="17"/>
  <c r="J59" i="17"/>
  <c r="AC46" i="11"/>
  <c r="AS46" i="11"/>
  <c r="U66" i="11"/>
  <c r="AK66" i="11"/>
  <c r="J72" i="17" s="1"/>
  <c r="J71" i="17" s="1"/>
  <c r="Y88" i="11"/>
  <c r="P100" i="11"/>
  <c r="AO100" i="11"/>
  <c r="F100" i="16"/>
  <c r="V100" i="16"/>
  <c r="C104" i="16"/>
  <c r="S104" i="16"/>
  <c r="Q108" i="16"/>
  <c r="AG107" i="16"/>
  <c r="AG108" i="16" s="1"/>
  <c r="C141" i="11"/>
  <c r="K57" i="17"/>
  <c r="S58" i="17"/>
  <c r="K59" i="17"/>
  <c r="AD46" i="11"/>
  <c r="AT46" i="11"/>
  <c r="V66" i="11"/>
  <c r="AL66" i="11"/>
  <c r="K72" i="17" s="1"/>
  <c r="K71" i="17" s="1"/>
  <c r="D104" i="16"/>
  <c r="T104" i="16"/>
  <c r="G20" i="9"/>
  <c r="G45" i="9"/>
  <c r="N40" i="9"/>
  <c r="N44" i="9"/>
  <c r="AP22" i="11"/>
  <c r="AP24" i="11" s="1"/>
  <c r="L11" i="17"/>
  <c r="AM100" i="11"/>
  <c r="L36" i="17"/>
  <c r="L38" i="17"/>
  <c r="AM40" i="11"/>
  <c r="L57" i="17"/>
  <c r="L59" i="17"/>
  <c r="AE46" i="11"/>
  <c r="W66" i="11"/>
  <c r="AM66" i="11"/>
  <c r="L72" i="17" s="1"/>
  <c r="L71" i="17" s="1"/>
  <c r="AD88" i="11"/>
  <c r="AQ22" i="11"/>
  <c r="AQ24" i="11" s="1"/>
  <c r="M32" i="17"/>
  <c r="M36" i="17"/>
  <c r="M38" i="17"/>
  <c r="AN40" i="11"/>
  <c r="P46" i="11"/>
  <c r="AF46" i="11"/>
  <c r="X66" i="11"/>
  <c r="AN66" i="11"/>
  <c r="M72" i="17" s="1"/>
  <c r="M71" i="17" s="1"/>
  <c r="AE88" i="11"/>
  <c r="I100" i="16"/>
  <c r="Y100" i="16"/>
  <c r="H107" i="16"/>
  <c r="H108" i="16" s="1"/>
  <c r="Q37" i="17"/>
  <c r="H45" i="9"/>
  <c r="H35" i="9"/>
  <c r="N32" i="17"/>
  <c r="N34" i="17"/>
  <c r="N36" i="17"/>
  <c r="D107" i="16"/>
  <c r="D108" i="16" s="1"/>
  <c r="T107" i="16"/>
  <c r="T108" i="16" s="1"/>
  <c r="N57" i="17"/>
  <c r="N59" i="17"/>
  <c r="Q46" i="11"/>
  <c r="AG46" i="11"/>
  <c r="Y66" i="11"/>
  <c r="AO66" i="11"/>
  <c r="N72" i="17" s="1"/>
  <c r="N71" i="17" s="1"/>
  <c r="AF88" i="11"/>
  <c r="J100" i="16"/>
  <c r="Z100" i="16"/>
  <c r="G104" i="16"/>
  <c r="W104" i="16"/>
  <c r="M107" i="16"/>
  <c r="M108" i="16" s="1"/>
  <c r="C172" i="11"/>
  <c r="D8" i="19"/>
  <c r="F8" i="19" s="1"/>
  <c r="I45" i="9"/>
  <c r="I23" i="9"/>
  <c r="I25" i="9" s="1"/>
  <c r="J86" i="17" s="1"/>
  <c r="J27" i="17" s="1"/>
  <c r="G17" i="17"/>
  <c r="O32" i="17"/>
  <c r="AP100" i="11"/>
  <c r="O11" i="17"/>
  <c r="O36" i="17"/>
  <c r="O38" i="17"/>
  <c r="E107" i="16"/>
  <c r="E108" i="16" s="1"/>
  <c r="G43" i="17"/>
  <c r="U107" i="16"/>
  <c r="U108" i="16" s="1"/>
  <c r="O57" i="17"/>
  <c r="O59" i="17"/>
  <c r="R46" i="11"/>
  <c r="AH46" i="11"/>
  <c r="O63" i="17"/>
  <c r="Z66" i="11"/>
  <c r="AP66" i="11"/>
  <c r="O72" i="17" s="1"/>
  <c r="O71" i="17" s="1"/>
  <c r="AK103" i="11"/>
  <c r="K100" i="16"/>
  <c r="AA100" i="16"/>
  <c r="H104" i="16"/>
  <c r="X104" i="16"/>
  <c r="N107" i="16"/>
  <c r="N108" i="16" s="1"/>
  <c r="E9" i="19"/>
  <c r="H39" i="17"/>
  <c r="F108" i="16"/>
  <c r="H43" i="17"/>
  <c r="V107" i="16"/>
  <c r="V108" i="16" s="1"/>
  <c r="P57" i="17"/>
  <c r="P59" i="17"/>
  <c r="S46" i="11"/>
  <c r="AI46" i="11"/>
  <c r="P63" i="17"/>
  <c r="AA66" i="11"/>
  <c r="AQ66" i="11"/>
  <c r="P72" i="17" s="1"/>
  <c r="P71" i="17" s="1"/>
  <c r="AH88" i="11"/>
  <c r="AR88" i="11"/>
  <c r="AB88" i="11"/>
  <c r="AQ88" i="11"/>
  <c r="AA88" i="11"/>
  <c r="AP88" i="11"/>
  <c r="Z88" i="11"/>
  <c r="AM88" i="11"/>
  <c r="W88" i="11"/>
  <c r="AL88" i="11"/>
  <c r="V88" i="11"/>
  <c r="AK88" i="11"/>
  <c r="U88" i="11"/>
  <c r="I104" i="16"/>
  <c r="Y104" i="16"/>
  <c r="B2" i="44"/>
  <c r="B2" i="45"/>
  <c r="Q38" i="17"/>
  <c r="I39" i="17"/>
  <c r="G108" i="16"/>
  <c r="I43" i="17"/>
  <c r="W107" i="16"/>
  <c r="W108" i="16" s="1"/>
  <c r="Q57" i="17"/>
  <c r="I58" i="17"/>
  <c r="Q59" i="17"/>
  <c r="T46" i="11"/>
  <c r="AJ46" i="11"/>
  <c r="Q63" i="17"/>
  <c r="AB66" i="11"/>
  <c r="AR66" i="11"/>
  <c r="Q72" i="17" s="1"/>
  <c r="AI88" i="11"/>
  <c r="AM103" i="11"/>
  <c r="M100" i="16"/>
  <c r="AC100" i="16"/>
  <c r="X107" i="16"/>
  <c r="X108" i="16" s="1"/>
  <c r="G18" i="9"/>
  <c r="G23" i="9" s="1"/>
  <c r="N42" i="9"/>
  <c r="R13" i="17"/>
  <c r="AS103" i="11"/>
  <c r="J37" i="17"/>
  <c r="R38" i="17"/>
  <c r="J39" i="17"/>
  <c r="R57" i="17"/>
  <c r="J58" i="17"/>
  <c r="J52" i="17"/>
  <c r="R59" i="17"/>
  <c r="AK46" i="11"/>
  <c r="J78" i="17"/>
  <c r="AC66" i="11"/>
  <c r="AS66" i="11"/>
  <c r="R72" i="17" s="1"/>
  <c r="R71" i="17" s="1"/>
  <c r="AJ88" i="11"/>
  <c r="AN103" i="11"/>
  <c r="C123" i="11"/>
  <c r="K17" i="11" s="1"/>
  <c r="C143" i="11"/>
  <c r="K44" i="11" s="1"/>
  <c r="N100" i="16"/>
  <c r="AD100" i="16"/>
  <c r="AC107" i="16"/>
  <c r="AC108" i="16" s="1"/>
  <c r="D10" i="19"/>
  <c r="F10" i="19" s="1"/>
  <c r="K35" i="17"/>
  <c r="C133" i="11"/>
  <c r="K36" i="11" s="1"/>
  <c r="S13" i="17"/>
  <c r="AT103" i="11"/>
  <c r="K37" i="17"/>
  <c r="S38" i="17"/>
  <c r="K39" i="17"/>
  <c r="I107" i="16"/>
  <c r="I108" i="16" s="1"/>
  <c r="K43" i="17"/>
  <c r="Y107" i="16"/>
  <c r="Y108" i="16" s="1"/>
  <c r="C142" i="11"/>
  <c r="K43" i="11" s="1"/>
  <c r="S44" i="17"/>
  <c r="K58" i="17"/>
  <c r="S46" i="17"/>
  <c r="C144" i="11"/>
  <c r="K45" i="11" s="1"/>
  <c r="V46" i="11"/>
  <c r="AL46" i="11"/>
  <c r="AD66" i="11"/>
  <c r="AT66" i="11"/>
  <c r="S72" i="17" s="1"/>
  <c r="S71" i="17" s="1"/>
  <c r="AN88" i="11"/>
  <c r="AO103" i="11"/>
  <c r="N103" i="11"/>
  <c r="M103" i="11"/>
  <c r="O100" i="16"/>
  <c r="AE100" i="16"/>
  <c r="L104" i="16"/>
  <c r="AB104" i="16"/>
  <c r="AD107" i="16"/>
  <c r="AD108" i="16" s="1"/>
  <c r="K25" i="18"/>
  <c r="N39" i="9"/>
  <c r="N41" i="9"/>
  <c r="N43" i="9"/>
  <c r="N45" i="9"/>
  <c r="L33" i="17"/>
  <c r="L35" i="17"/>
  <c r="L37" i="17"/>
  <c r="L39" i="17"/>
  <c r="J107" i="16"/>
  <c r="J108" i="16" s="1"/>
  <c r="L43" i="17"/>
  <c r="Z107" i="16"/>
  <c r="Z108" i="16" s="1"/>
  <c r="L58" i="17"/>
  <c r="W46" i="11"/>
  <c r="AM46" i="11"/>
  <c r="AE66" i="11"/>
  <c r="P88" i="11"/>
  <c r="AO88" i="11"/>
  <c r="AP103" i="11"/>
  <c r="P100" i="16"/>
  <c r="AF100" i="16"/>
  <c r="M104" i="16"/>
  <c r="AC104" i="16"/>
  <c r="S43" i="17"/>
  <c r="G42" i="9"/>
  <c r="G12" i="9"/>
  <c r="H42" i="9" s="1"/>
  <c r="G44" i="9"/>
  <c r="G14" i="9"/>
  <c r="O23" i="9"/>
  <c r="M31" i="17"/>
  <c r="M33" i="17"/>
  <c r="M35" i="17"/>
  <c r="M37" i="17"/>
  <c r="M39" i="17"/>
  <c r="K107" i="16"/>
  <c r="K108" i="16" s="1"/>
  <c r="M43" i="17"/>
  <c r="AA107" i="16"/>
  <c r="AA108" i="16" s="1"/>
  <c r="M58" i="17"/>
  <c r="X46" i="11"/>
  <c r="X68" i="11" s="1"/>
  <c r="AN46" i="11"/>
  <c r="P66" i="11"/>
  <c r="AF66" i="11"/>
  <c r="Q88" i="11"/>
  <c r="AS88" i="11"/>
  <c r="AP99" i="11"/>
  <c r="Q100" i="16"/>
  <c r="AG100" i="16"/>
  <c r="N104" i="16"/>
  <c r="AD104" i="16"/>
  <c r="K25" i="19"/>
  <c r="C15" i="19"/>
  <c r="O43" i="9"/>
  <c r="M17" i="17"/>
  <c r="N39" i="17"/>
  <c r="L108" i="16"/>
  <c r="N43" i="17"/>
  <c r="AB107" i="16"/>
  <c r="AB108" i="16" s="1"/>
  <c r="N58" i="17"/>
  <c r="Y46" i="11"/>
  <c r="Y68" i="11" s="1"/>
  <c r="AO46" i="11"/>
  <c r="Q66" i="11"/>
  <c r="AG66" i="11"/>
  <c r="AQ99" i="11"/>
  <c r="AQ104" i="11" s="1"/>
  <c r="L31" i="17"/>
  <c r="O47" i="17"/>
  <c r="O58" i="17"/>
  <c r="AP46" i="11"/>
  <c r="AH66" i="11"/>
  <c r="G72" i="17" s="1"/>
  <c r="G71" i="17" s="1"/>
  <c r="AI100" i="11"/>
  <c r="P104" i="16"/>
  <c r="AF104" i="16"/>
  <c r="C115" i="11"/>
  <c r="K12" i="11" s="1"/>
  <c r="R13" i="9"/>
  <c r="C118" i="11"/>
  <c r="K14" i="11" s="1"/>
  <c r="R15" i="9"/>
  <c r="P31" i="17"/>
  <c r="P17" i="17"/>
  <c r="H32" i="17"/>
  <c r="H34" i="17"/>
  <c r="AI103" i="11"/>
  <c r="H13" i="17"/>
  <c r="P37" i="17"/>
  <c r="H38" i="17"/>
  <c r="P39" i="17"/>
  <c r="P56" i="17"/>
  <c r="P47" i="17"/>
  <c r="P60" i="17" s="1"/>
  <c r="H57" i="17"/>
  <c r="H59" i="17"/>
  <c r="AQ46" i="11"/>
  <c r="AI66" i="11"/>
  <c r="H72" i="17" s="1"/>
  <c r="H71" i="17" s="1"/>
  <c r="T88" i="11"/>
  <c r="AJ100" i="11"/>
  <c r="D100" i="16"/>
  <c r="T100" i="16"/>
  <c r="Q104" i="16"/>
  <c r="AG104" i="16"/>
  <c r="J44" i="9"/>
  <c r="B25" i="17"/>
  <c r="B36" i="17"/>
  <c r="K26" i="19"/>
  <c r="C26" i="19" s="1"/>
  <c r="C27" i="19"/>
  <c r="D17" i="19" s="1"/>
  <c r="B38" i="17"/>
  <c r="AG57" i="10"/>
  <c r="AH56" i="10" s="1"/>
  <c r="B57" i="17"/>
  <c r="D26" i="31"/>
  <c r="E148" i="33"/>
  <c r="E149" i="33" s="1"/>
  <c r="D8" i="33"/>
  <c r="H26" i="31"/>
  <c r="B35" i="17"/>
  <c r="B24" i="17"/>
  <c r="B56" i="17"/>
  <c r="B50" i="17"/>
  <c r="B58" i="17"/>
  <c r="B52" i="17"/>
  <c r="D24" i="31"/>
  <c r="B2" i="32"/>
  <c r="B2" i="36"/>
  <c r="B2" i="30"/>
  <c r="D30" i="31"/>
  <c r="R10" i="33"/>
  <c r="L1" i="33"/>
  <c r="L8" i="33"/>
  <c r="H27" i="31"/>
  <c r="B2" i="48"/>
  <c r="B2" i="49" s="1"/>
  <c r="B2" i="37"/>
  <c r="J9" i="33"/>
  <c r="C31" i="31"/>
  <c r="D28" i="31" s="1"/>
  <c r="K9" i="33"/>
  <c r="M5" i="33"/>
  <c r="R11" i="33"/>
  <c r="J12" i="33"/>
  <c r="E31" i="31"/>
  <c r="K12" i="33"/>
  <c r="H13" i="38"/>
  <c r="F13" i="38"/>
  <c r="S5" i="33"/>
  <c r="J10" i="33"/>
  <c r="F13" i="33"/>
  <c r="Q9" i="33"/>
  <c r="K10" i="33"/>
  <c r="Q12" i="33"/>
  <c r="R9" i="33"/>
  <c r="R12" i="33"/>
  <c r="F29" i="31"/>
  <c r="J11" i="33"/>
  <c r="Q10" i="33"/>
  <c r="K11" i="33"/>
  <c r="C18" i="51"/>
  <c r="D18" i="51" s="1"/>
  <c r="M18" i="51" a="1"/>
  <c r="M18" i="51" s="1"/>
  <c r="J12" i="38"/>
  <c r="J9" i="38"/>
  <c r="J11" i="38"/>
  <c r="J10" i="38"/>
  <c r="F8" i="51" a="1"/>
  <c r="F8" i="51" s="1"/>
  <c r="G8" i="51" s="1"/>
  <c r="E8" i="51" a="1"/>
  <c r="E8" i="51" s="1"/>
  <c r="B8" i="51" a="1"/>
  <c r="B8" i="51" s="1"/>
  <c r="B17" i="51" a="1"/>
  <c r="B17" i="51" s="1"/>
  <c r="E17" i="51" a="1"/>
  <c r="E17" i="51" s="1"/>
  <c r="F17" i="51" a="1"/>
  <c r="F17" i="51" s="1"/>
  <c r="G17" i="51" s="1"/>
  <c r="K9" i="38"/>
  <c r="L5" i="38"/>
  <c r="Q12" i="38"/>
  <c r="D27" i="51"/>
  <c r="D28" i="51" s="1"/>
  <c r="E9" i="51" a="1"/>
  <c r="E9" i="51" s="1"/>
  <c r="B9" i="51" a="1"/>
  <c r="B9" i="51" s="1"/>
  <c r="Q11" i="38"/>
  <c r="R1" i="38"/>
  <c r="S5" i="38"/>
  <c r="K8" i="38"/>
  <c r="F7" i="51" a="1"/>
  <c r="F7" i="51" s="1"/>
  <c r="G7" i="51" s="1"/>
  <c r="B7" i="51" a="1"/>
  <c r="B7" i="51" s="1"/>
  <c r="H10" i="51"/>
  <c r="J10" i="51"/>
  <c r="K10" i="38"/>
  <c r="K11" i="38"/>
  <c r="B16" i="51" a="1"/>
  <c r="B16" i="51" s="1"/>
  <c r="F16" i="51" a="1"/>
  <c r="F16" i="51" s="1"/>
  <c r="G16" i="51" s="1"/>
  <c r="E16" i="51" a="1"/>
  <c r="E16" i="51" s="1"/>
  <c r="R8" i="38"/>
  <c r="Q9" i="38"/>
  <c r="B11" i="51" a="1"/>
  <c r="B11" i="51" s="1"/>
  <c r="E11" i="51" a="1"/>
  <c r="E11" i="51" s="1"/>
  <c r="M23" i="51" a="1"/>
  <c r="M23" i="51" s="1"/>
  <c r="M15" i="51" a="1"/>
  <c r="M15" i="51" s="1"/>
  <c r="C15" i="51"/>
  <c r="D15" i="51" s="1"/>
  <c r="M21" i="51" a="1"/>
  <c r="M21" i="51" s="1"/>
  <c r="M13" i="51" a="1"/>
  <c r="M13" i="51" s="1"/>
  <c r="C25" i="51"/>
  <c r="D25" i="51" s="1"/>
  <c r="M25" i="51" a="1"/>
  <c r="M25" i="51" s="1"/>
  <c r="S9" i="35"/>
  <c r="M26" i="51" a="1"/>
  <c r="M26" i="51" s="1"/>
  <c r="D156" i="38"/>
  <c r="E155" i="38" s="1"/>
  <c r="E156" i="38" s="1"/>
  <c r="Q16" i="35"/>
  <c r="M12" i="51" a="1"/>
  <c r="M12" i="51" s="1"/>
  <c r="C12" i="51"/>
  <c r="D12" i="51" s="1"/>
  <c r="M22" i="51" a="1"/>
  <c r="M22" i="51" s="1"/>
  <c r="C22" i="51"/>
  <c r="D22" i="51" s="1"/>
  <c r="M14" i="51" a="1"/>
  <c r="M14" i="51" s="1"/>
  <c r="K34" i="35"/>
  <c r="T25" i="35"/>
  <c r="S7" i="35"/>
  <c r="T7" i="35" s="1"/>
  <c r="D20" i="35"/>
  <c r="C26" i="51"/>
  <c r="D26" i="51" s="1"/>
  <c r="D26" i="35"/>
  <c r="T26" i="35" s="1"/>
  <c r="K28" i="35"/>
  <c r="C23" i="51"/>
  <c r="D23" i="51" s="1"/>
  <c r="G29" i="51"/>
  <c r="G9" i="51"/>
  <c r="M24" i="51" a="1"/>
  <c r="M24" i="51" s="1"/>
  <c r="M20" i="51" a="1"/>
  <c r="M20" i="51" s="1"/>
  <c r="D7" i="35"/>
  <c r="C184" i="11" s="1"/>
  <c r="C10" i="56" s="1"/>
  <c r="D19" i="35"/>
  <c r="S28" i="35"/>
  <c r="K9" i="35"/>
  <c r="M19" i="51" a="1"/>
  <c r="M19" i="51" s="1"/>
  <c r="S19" i="35"/>
  <c r="K119" i="48"/>
  <c r="J120" i="48"/>
  <c r="C28" i="35"/>
  <c r="C30" i="35" s="1"/>
  <c r="C39" i="35" s="1"/>
  <c r="K15" i="35"/>
  <c r="K126" i="46"/>
  <c r="K5" i="52"/>
  <c r="K83" i="46"/>
  <c r="K98" i="46"/>
  <c r="K53" i="46"/>
  <c r="K1" i="46"/>
  <c r="K8" i="46" s="1"/>
  <c r="L5" i="46"/>
  <c r="K38" i="46"/>
  <c r="O8" i="46"/>
  <c r="K120" i="48"/>
  <c r="P68" i="46"/>
  <c r="Q5" i="52"/>
  <c r="Q83" i="46"/>
  <c r="Q53" i="46"/>
  <c r="Q38" i="46"/>
  <c r="Q98" i="46"/>
  <c r="Q68" i="46"/>
  <c r="R5" i="52"/>
  <c r="R1" i="46"/>
  <c r="Q1" i="46"/>
  <c r="S5" i="46"/>
  <c r="P23" i="46"/>
  <c r="Q23" i="46"/>
  <c r="P23" i="59"/>
  <c r="P98" i="59"/>
  <c r="K68" i="46"/>
  <c r="H9" i="46"/>
  <c r="F10" i="46"/>
  <c r="I5" i="52"/>
  <c r="I1" i="46"/>
  <c r="H8" i="46"/>
  <c r="Q126" i="46"/>
  <c r="J5" i="52"/>
  <c r="J1" i="46"/>
  <c r="J9" i="46"/>
  <c r="P126" i="46"/>
  <c r="P5" i="52"/>
  <c r="P113" i="46"/>
  <c r="K126" i="59"/>
  <c r="K68" i="59"/>
  <c r="K1" i="59"/>
  <c r="L5" i="59"/>
  <c r="P98" i="46"/>
  <c r="P38" i="46"/>
  <c r="P53" i="46"/>
  <c r="P83" i="46"/>
  <c r="P38" i="59"/>
  <c r="I1" i="59"/>
  <c r="P113" i="59"/>
  <c r="P68" i="59"/>
  <c r="P83" i="59"/>
  <c r="P9" i="59"/>
  <c r="P53" i="59"/>
  <c r="Q5" i="59"/>
  <c r="P126" i="59"/>
  <c r="C140" i="59"/>
  <c r="E8" i="30"/>
  <c r="E21" i="30"/>
  <c r="F11" i="49"/>
  <c r="F25" i="49"/>
  <c r="E17" i="30"/>
  <c r="E28" i="30"/>
  <c r="E11" i="30"/>
  <c r="F6" i="49"/>
  <c r="E16" i="30"/>
  <c r="E44" i="30"/>
  <c r="J9" i="59"/>
  <c r="F24" i="49"/>
  <c r="F17" i="49"/>
  <c r="E12" i="30"/>
  <c r="F19" i="49"/>
  <c r="F18" i="49"/>
  <c r="E49" i="30"/>
  <c r="E53" i="30"/>
  <c r="E77" i="30"/>
  <c r="E107" i="30"/>
  <c r="E122" i="30"/>
  <c r="E180" i="30"/>
  <c r="E193" i="30"/>
  <c r="E240" i="30"/>
  <c r="E249" i="30"/>
  <c r="E251" i="30"/>
  <c r="AO29" i="2"/>
  <c r="E28" i="2"/>
  <c r="E120" i="30"/>
  <c r="E135" i="30"/>
  <c r="E204" i="30"/>
  <c r="E223" i="30"/>
  <c r="E238" i="30"/>
  <c r="E305" i="30"/>
  <c r="AG48" i="2"/>
  <c r="E43" i="30"/>
  <c r="E45" i="30"/>
  <c r="E148" i="30"/>
  <c r="E163" i="30"/>
  <c r="E176" i="30"/>
  <c r="E245" i="30"/>
  <c r="E262" i="30"/>
  <c r="E275" i="30"/>
  <c r="E288" i="30"/>
  <c r="AF48" i="2"/>
  <c r="AJ48" i="2"/>
  <c r="H16" i="2"/>
  <c r="E13" i="30"/>
  <c r="E73" i="30"/>
  <c r="E103" i="30"/>
  <c r="E159" i="30"/>
  <c r="E200" i="30"/>
  <c r="E202" i="30"/>
  <c r="E236" i="30"/>
  <c r="E260" i="30"/>
  <c r="AR48" i="2"/>
  <c r="E29" i="30"/>
  <c r="E33" i="30"/>
  <c r="E37" i="30"/>
  <c r="E41" i="30"/>
  <c r="E60" i="30"/>
  <c r="E86" i="30"/>
  <c r="E131" i="30"/>
  <c r="E144" i="30"/>
  <c r="E172" i="30"/>
  <c r="E217" i="30"/>
  <c r="E243" i="30"/>
  <c r="E286" i="30"/>
  <c r="E301" i="30"/>
  <c r="E312" i="30"/>
  <c r="F10" i="49"/>
  <c r="F27" i="49"/>
  <c r="F9" i="49"/>
  <c r="F7" i="49"/>
  <c r="E25" i="30"/>
  <c r="E69" i="30"/>
  <c r="E82" i="30"/>
  <c r="E99" i="30"/>
  <c r="E155" i="30"/>
  <c r="E170" i="30"/>
  <c r="E232" i="30"/>
  <c r="E258" i="30"/>
  <c r="E284" i="30"/>
  <c r="E297" i="30"/>
  <c r="F23" i="49"/>
  <c r="E95" i="30"/>
  <c r="E183" i="30"/>
  <c r="E213" i="30"/>
  <c r="E228" i="30"/>
  <c r="E241" i="30"/>
  <c r="E269" i="30"/>
  <c r="E280" i="30"/>
  <c r="E282" i="30"/>
  <c r="E308" i="30"/>
  <c r="P29" i="2"/>
  <c r="P48" i="2" s="1"/>
  <c r="P102" i="2" s="1"/>
  <c r="P114" i="2" s="1"/>
  <c r="F14" i="49"/>
  <c r="F16" i="49"/>
  <c r="E78" i="30"/>
  <c r="E93" i="30"/>
  <c r="E125" i="30"/>
  <c r="E138" i="30"/>
  <c r="E168" i="30"/>
  <c r="E209" i="30"/>
  <c r="E211" i="30"/>
  <c r="E254" i="30"/>
  <c r="E265" i="30"/>
  <c r="F12" i="49"/>
  <c r="F28" i="49"/>
  <c r="F20" i="49"/>
  <c r="E48" i="30"/>
  <c r="E108" i="30"/>
  <c r="E151" i="30"/>
  <c r="E192" i="30"/>
  <c r="E250" i="30"/>
  <c r="E291" i="30"/>
  <c r="E39" i="2"/>
  <c r="E52" i="30"/>
  <c r="E164" i="30"/>
  <c r="E179" i="30"/>
  <c r="E220" i="30"/>
  <c r="E222" i="30"/>
  <c r="E304" i="30"/>
  <c r="AM29" i="2"/>
  <c r="F29" i="49"/>
  <c r="E175" i="30"/>
  <c r="E263" i="30"/>
  <c r="E289" i="30"/>
  <c r="T29" i="2"/>
  <c r="T48" i="2" s="1"/>
  <c r="T102" i="2" s="1"/>
  <c r="AN101" i="2"/>
  <c r="F13" i="49"/>
  <c r="F8" i="49"/>
  <c r="F15" i="49"/>
  <c r="E10" i="30"/>
  <c r="E87" i="30"/>
  <c r="E132" i="30"/>
  <c r="E147" i="30"/>
  <c r="E160" i="30"/>
  <c r="E188" i="30"/>
  <c r="E201" i="30"/>
  <c r="E235" i="30"/>
  <c r="E259" i="30"/>
  <c r="E302" i="30"/>
  <c r="E313" i="30"/>
  <c r="K10" i="2"/>
  <c r="F21" i="49"/>
  <c r="E61" i="30"/>
  <c r="E102" i="30"/>
  <c r="E143" i="30"/>
  <c r="E186" i="30"/>
  <c r="E218" i="30"/>
  <c r="E272" i="30"/>
  <c r="E300" i="30"/>
  <c r="V29" i="2"/>
  <c r="F26" i="49"/>
  <c r="E20" i="30"/>
  <c r="E36" i="30"/>
  <c r="E59" i="30"/>
  <c r="E70" i="30"/>
  <c r="E83" i="30"/>
  <c r="E98" i="30"/>
  <c r="E113" i="30"/>
  <c r="E156" i="30"/>
  <c r="E197" i="30"/>
  <c r="E231" i="30"/>
  <c r="E242" i="30"/>
  <c r="E257" i="30"/>
  <c r="E285" i="30"/>
  <c r="E298" i="30"/>
  <c r="H10" i="2"/>
  <c r="AQ48" i="2"/>
  <c r="AQ102" i="2" s="1"/>
  <c r="AQ114" i="2" s="1"/>
  <c r="I10" i="2"/>
  <c r="AL29" i="2"/>
  <c r="W29" i="2"/>
  <c r="W48" i="2" s="1"/>
  <c r="K16" i="2"/>
  <c r="F31" i="49"/>
  <c r="E68" i="30"/>
  <c r="E94" i="30"/>
  <c r="E154" i="30"/>
  <c r="E184" i="30"/>
  <c r="E195" i="30"/>
  <c r="E214" i="30"/>
  <c r="E227" i="30"/>
  <c r="E229" i="30"/>
  <c r="E255" i="30"/>
  <c r="E268" i="30"/>
  <c r="E281" i="30"/>
  <c r="E296" i="30"/>
  <c r="I16" i="2"/>
  <c r="S29" i="2"/>
  <c r="F22" i="49"/>
  <c r="E79" i="30"/>
  <c r="E111" i="30"/>
  <c r="E126" i="30"/>
  <c r="E167" i="30"/>
  <c r="E210" i="30"/>
  <c r="E253" i="30"/>
  <c r="E266" i="30"/>
  <c r="E279" i="30"/>
  <c r="E292" i="30"/>
  <c r="E307" i="30"/>
  <c r="AC29" i="2"/>
  <c r="AC48" i="2" s="1"/>
  <c r="AC102" i="2" s="1"/>
  <c r="AC114" i="2" s="1"/>
  <c r="AE10" i="2"/>
  <c r="H12" i="2"/>
  <c r="E18" i="2"/>
  <c r="AA28" i="2"/>
  <c r="AA29" i="2" s="1"/>
  <c r="Q47" i="2"/>
  <c r="Q48" i="2" s="1"/>
  <c r="Q102" i="2" s="1"/>
  <c r="Q114" i="2" s="1"/>
  <c r="AG47" i="2"/>
  <c r="K32" i="2"/>
  <c r="E36" i="2"/>
  <c r="AN39" i="2"/>
  <c r="Z47" i="2"/>
  <c r="AE79" i="2"/>
  <c r="I12" i="2"/>
  <c r="O16" i="2"/>
  <c r="O29" i="2" s="1"/>
  <c r="O48" i="2" s="1"/>
  <c r="O102" i="2" s="1"/>
  <c r="AE28" i="2"/>
  <c r="K24" i="2"/>
  <c r="H24" i="2"/>
  <c r="AB28" i="2"/>
  <c r="AB29" i="2" s="1"/>
  <c r="V39" i="2"/>
  <c r="K39" i="2" s="1"/>
  <c r="AL39" i="2"/>
  <c r="I39" i="2" s="1"/>
  <c r="E44" i="2"/>
  <c r="AA47" i="2"/>
  <c r="H85" i="2"/>
  <c r="AP85" i="2"/>
  <c r="AP100" i="2" s="1"/>
  <c r="I82" i="2"/>
  <c r="H112" i="2"/>
  <c r="K26" i="2"/>
  <c r="S47" i="2"/>
  <c r="AI47" i="2"/>
  <c r="AI48" i="2" s="1"/>
  <c r="AI102" i="2" s="1"/>
  <c r="AI114" i="2" s="1"/>
  <c r="I9" i="2"/>
  <c r="AC16" i="2"/>
  <c r="R20" i="2"/>
  <c r="T47" i="2"/>
  <c r="AJ47" i="2"/>
  <c r="H43" i="2"/>
  <c r="AG101" i="2"/>
  <c r="K56" i="2"/>
  <c r="H56" i="2"/>
  <c r="AB62" i="2"/>
  <c r="H62" i="2" s="1"/>
  <c r="N16" i="2"/>
  <c r="AD16" i="2"/>
  <c r="AD29" i="2" s="1"/>
  <c r="AD48" i="2" s="1"/>
  <c r="AD102" i="2" s="1"/>
  <c r="AD114" i="2" s="1"/>
  <c r="AL20" i="2"/>
  <c r="I20" i="2" s="1"/>
  <c r="I19" i="2"/>
  <c r="R28" i="2"/>
  <c r="R29" i="2" s="1"/>
  <c r="R48" i="2" s="1"/>
  <c r="R102" i="2" s="1"/>
  <c r="R114" i="2" s="1"/>
  <c r="AH28" i="2"/>
  <c r="AH29" i="2" s="1"/>
  <c r="AH48" i="2" s="1"/>
  <c r="U47" i="2"/>
  <c r="AK47" i="2"/>
  <c r="Y39" i="2"/>
  <c r="AO39" i="2"/>
  <c r="AO47" i="2" s="1"/>
  <c r="H45" i="2"/>
  <c r="R79" i="2"/>
  <c r="R101" i="2" s="1"/>
  <c r="AH79" i="2"/>
  <c r="H82" i="2"/>
  <c r="V47" i="2"/>
  <c r="E62" i="2"/>
  <c r="I13" i="2"/>
  <c r="AM47" i="2"/>
  <c r="E56" i="2"/>
  <c r="O62" i="2"/>
  <c r="O79" i="2" s="1"/>
  <c r="O101" i="2" s="1"/>
  <c r="K63" i="2"/>
  <c r="E63" i="2"/>
  <c r="V69" i="2"/>
  <c r="K69" i="2" s="1"/>
  <c r="AL69" i="2"/>
  <c r="I69" i="2" s="1"/>
  <c r="AE100" i="2"/>
  <c r="AL100" i="2"/>
  <c r="I100" i="2" s="1"/>
  <c r="K18" i="2"/>
  <c r="U20" i="2"/>
  <c r="K20" i="2" s="1"/>
  <c r="AK20" i="2"/>
  <c r="AK29" i="2" s="1"/>
  <c r="AK48" i="2" s="1"/>
  <c r="AK102" i="2" s="1"/>
  <c r="AK114" i="2" s="1"/>
  <c r="K23" i="2"/>
  <c r="AL28" i="2"/>
  <c r="I28" i="2" s="1"/>
  <c r="U29" i="2"/>
  <c r="X47" i="2"/>
  <c r="X48" i="2" s="1"/>
  <c r="X102" i="2" s="1"/>
  <c r="X114" i="2" s="1"/>
  <c r="AN47" i="2"/>
  <c r="K34" i="2"/>
  <c r="H34" i="2"/>
  <c r="K36" i="2"/>
  <c r="K40" i="2"/>
  <c r="H40" i="2"/>
  <c r="K42" i="2"/>
  <c r="I112" i="2"/>
  <c r="D152" i="2" s="1"/>
  <c r="F152" i="2" s="1"/>
  <c r="Y47" i="2"/>
  <c r="V79" i="2"/>
  <c r="AN10" i="2"/>
  <c r="AN29" i="2" s="1"/>
  <c r="AN48" i="2" s="1"/>
  <c r="AB39" i="2"/>
  <c r="AB47" i="2" s="1"/>
  <c r="I44" i="2"/>
  <c r="W79" i="2"/>
  <c r="W101" i="2" s="1"/>
  <c r="AM79" i="2"/>
  <c r="AM101" i="2" s="1"/>
  <c r="R100" i="2"/>
  <c r="AH100" i="2"/>
  <c r="Y29" i="2"/>
  <c r="H19" i="2"/>
  <c r="I27" i="2"/>
  <c r="U28" i="2"/>
  <c r="I31" i="2"/>
  <c r="O39" i="2"/>
  <c r="O47" i="2" s="1"/>
  <c r="AE39" i="2"/>
  <c r="I37" i="2"/>
  <c r="K51" i="2"/>
  <c r="AJ62" i="2"/>
  <c r="AJ79" i="2" s="1"/>
  <c r="AJ101" i="2" s="1"/>
  <c r="H69" i="2"/>
  <c r="AC113" i="2"/>
  <c r="T113" i="2"/>
  <c r="Z29" i="2"/>
  <c r="AP29" i="2"/>
  <c r="AP48" i="2" s="1"/>
  <c r="K31" i="2"/>
  <c r="AR47" i="2"/>
  <c r="K46" i="2"/>
  <c r="H46" i="2"/>
  <c r="AO79" i="2"/>
  <c r="AO101" i="2" s="1"/>
  <c r="E59" i="2"/>
  <c r="E61" i="2"/>
  <c r="AA69" i="2"/>
  <c r="H66" i="2"/>
  <c r="K66" i="2"/>
  <c r="AF98" i="2"/>
  <c r="AF100" i="2" s="1"/>
  <c r="AF101" i="2" s="1"/>
  <c r="N113" i="2"/>
  <c r="E106" i="2"/>
  <c r="D127" i="2" s="1"/>
  <c r="F127" i="2" s="1"/>
  <c r="AD113" i="2"/>
  <c r="U113" i="2"/>
  <c r="H20" i="2"/>
  <c r="E23" i="2"/>
  <c r="Q39" i="2"/>
  <c r="AG39" i="2"/>
  <c r="Z79" i="2"/>
  <c r="AP79" i="2"/>
  <c r="AP101" i="2" s="1"/>
  <c r="AA79" i="2"/>
  <c r="AA101" i="2" s="1"/>
  <c r="AL62" i="2"/>
  <c r="AL79" i="2" s="1"/>
  <c r="H64" i="2"/>
  <c r="AG98" i="2"/>
  <c r="AG100" i="2" s="1"/>
  <c r="H92" i="2"/>
  <c r="AE113" i="2"/>
  <c r="H18" i="2"/>
  <c r="I24" i="2"/>
  <c r="E31" i="2"/>
  <c r="N47" i="2"/>
  <c r="AD47" i="2"/>
  <c r="E41" i="2"/>
  <c r="H42" i="2"/>
  <c r="AM62" i="2"/>
  <c r="I56" i="2"/>
  <c r="I66" i="2"/>
  <c r="E67" i="2"/>
  <c r="E77" i="2"/>
  <c r="X79" i="2"/>
  <c r="X101" i="2" s="1"/>
  <c r="AE98" i="2"/>
  <c r="P113" i="2"/>
  <c r="AF113" i="2"/>
  <c r="H23" i="2"/>
  <c r="K27" i="2"/>
  <c r="AE47" i="2"/>
  <c r="H51" i="2"/>
  <c r="AR79" i="2"/>
  <c r="AR101" i="2" s="1"/>
  <c r="W62" i="2"/>
  <c r="K57" i="2"/>
  <c r="E60" i="2"/>
  <c r="E76" i="2"/>
  <c r="AM100" i="2"/>
  <c r="Q113" i="2"/>
  <c r="AG113" i="2"/>
  <c r="Y113" i="2"/>
  <c r="N20" i="2"/>
  <c r="P47" i="2"/>
  <c r="AF47" i="2"/>
  <c r="E51" i="2"/>
  <c r="AC79" i="2"/>
  <c r="AC101" i="2" s="1"/>
  <c r="AO62" i="2"/>
  <c r="H73" i="2"/>
  <c r="I87" i="2"/>
  <c r="R113" i="2"/>
  <c r="AH113" i="2"/>
  <c r="AJ113" i="2"/>
  <c r="L116" i="2"/>
  <c r="K111" i="2"/>
  <c r="K93" i="2"/>
  <c r="AL113" i="2"/>
  <c r="I113" i="2" s="1"/>
  <c r="D153" i="2" s="1"/>
  <c r="F153" i="2" s="1"/>
  <c r="K62" i="2"/>
  <c r="N69" i="2"/>
  <c r="K82" i="2"/>
  <c r="Z98" i="2"/>
  <c r="Z100" i="2" s="1"/>
  <c r="AC112" i="2"/>
  <c r="AB79" i="2"/>
  <c r="AB101" i="2" s="1"/>
  <c r="K98" i="2"/>
  <c r="K112" i="2"/>
  <c r="H55" i="2"/>
  <c r="K70" i="2"/>
  <c r="K76" i="2"/>
  <c r="AN85" i="2"/>
  <c r="AN100" i="2" s="1"/>
  <c r="K88" i="2"/>
  <c r="I55" i="2"/>
  <c r="K67" i="2"/>
  <c r="Z106" i="2"/>
  <c r="AK112" i="2"/>
  <c r="AK113" i="2" s="1"/>
  <c r="K83" i="2"/>
  <c r="K95" i="2"/>
  <c r="O112" i="2"/>
  <c r="E112" i="2" s="1"/>
  <c r="D128" i="2" s="1"/>
  <c r="F128" i="2" s="1"/>
  <c r="K92" i="2"/>
  <c r="K106" i="2"/>
  <c r="K80" i="2"/>
  <c r="K85" i="2"/>
  <c r="K96" i="2"/>
  <c r="K99" i="2"/>
  <c r="E104" i="2"/>
  <c r="K58" i="2"/>
  <c r="K71" i="2"/>
  <c r="K77" i="2"/>
  <c r="K89" i="2"/>
  <c r="K44" i="2"/>
  <c r="I51" i="2"/>
  <c r="K68" i="2"/>
  <c r="N85" i="2"/>
  <c r="K97" i="2"/>
  <c r="K109" i="2"/>
  <c r="K64" i="2"/>
  <c r="K72" i="2"/>
  <c r="K87" i="2"/>
  <c r="I110" i="2"/>
  <c r="K104" i="2"/>
  <c r="K108" i="2"/>
  <c r="K110" i="2"/>
  <c r="F116" i="2"/>
  <c r="K53" i="2"/>
  <c r="K73" i="2"/>
  <c r="K86" i="2"/>
  <c r="I91" i="2"/>
  <c r="K94" i="2"/>
  <c r="E111" i="2"/>
  <c r="K37" i="2"/>
  <c r="K41" i="2"/>
  <c r="K78" i="2"/>
  <c r="K91" i="2"/>
  <c r="K105" i="2"/>
  <c r="C9" i="61"/>
  <c r="C10" i="61" s="1"/>
  <c r="I355" i="65"/>
  <c r="J355" i="65" s="1"/>
  <c r="K355" i="65" s="1"/>
  <c r="L355" i="65" s="1"/>
  <c r="G315" i="65"/>
  <c r="F315" i="65" s="1"/>
  <c r="E315" i="65" s="1"/>
  <c r="D315" i="65" s="1"/>
  <c r="I382" i="65"/>
  <c r="J382" i="65" s="1"/>
  <c r="K382" i="65" s="1"/>
  <c r="L382" i="65" s="1"/>
  <c r="I342" i="65"/>
  <c r="J342" i="65" s="1"/>
  <c r="K342" i="65" s="1"/>
  <c r="L342" i="65" s="1"/>
  <c r="I262" i="65"/>
  <c r="J262" i="65" s="1"/>
  <c r="K262" i="65" s="1"/>
  <c r="L262" i="65" s="1"/>
  <c r="AJ336" i="65"/>
  <c r="AJ335" i="65"/>
  <c r="AJ334" i="65"/>
  <c r="AJ333" i="65"/>
  <c r="AJ332" i="65"/>
  <c r="AJ331" i="65"/>
  <c r="AD369" i="65"/>
  <c r="AD249" i="65"/>
  <c r="P8" i="59"/>
  <c r="C12" i="63"/>
  <c r="C13" i="63" s="1"/>
  <c r="D138" i="63" s="1"/>
  <c r="C34" i="64"/>
  <c r="C107" i="63"/>
  <c r="C78" i="63"/>
  <c r="C169" i="63"/>
  <c r="E85" i="64"/>
  <c r="C179" i="61"/>
  <c r="C75" i="61" s="1"/>
  <c r="E9" i="64"/>
  <c r="C21" i="61"/>
  <c r="E13" i="64"/>
  <c r="E14" i="64"/>
  <c r="C54" i="64"/>
  <c r="E54" i="64" s="1"/>
  <c r="E112" i="64"/>
  <c r="D171" i="61"/>
  <c r="C116" i="61"/>
  <c r="D202" i="61"/>
  <c r="D194" i="61"/>
  <c r="D150" i="61"/>
  <c r="D201" i="61"/>
  <c r="D192" i="61"/>
  <c r="D200" i="61"/>
  <c r="D69" i="61"/>
  <c r="B139" i="61"/>
  <c r="C40" i="61"/>
  <c r="C26" i="61"/>
  <c r="D193" i="61"/>
  <c r="C16" i="61"/>
  <c r="B18" i="61"/>
  <c r="D221" i="63"/>
  <c r="C41" i="63"/>
  <c r="D222" i="63"/>
  <c r="D71" i="63"/>
  <c r="C27" i="63"/>
  <c r="D230" i="63"/>
  <c r="C17" i="63"/>
  <c r="C18" i="63" s="1"/>
  <c r="D220" i="63"/>
  <c r="D228" i="63"/>
  <c r="B145" i="63"/>
  <c r="D229" i="63"/>
  <c r="B19" i="63"/>
  <c r="G434" i="65"/>
  <c r="D141" i="63"/>
  <c r="H8" i="59"/>
  <c r="J8" i="59"/>
  <c r="K8" i="59"/>
  <c r="O9" i="59"/>
  <c r="O8" i="59"/>
  <c r="C55" i="47"/>
  <c r="C63" i="47" s="1"/>
  <c r="F30" i="49"/>
  <c r="F32" i="49"/>
  <c r="H9" i="59"/>
  <c r="C51" i="47"/>
  <c r="C59" i="47" s="1"/>
  <c r="C52" i="47"/>
  <c r="C60" i="47" s="1"/>
  <c r="C53" i="47"/>
  <c r="C61" i="47" s="1"/>
  <c r="C54" i="47"/>
  <c r="C62" i="47" s="1"/>
  <c r="D99" i="66" l="1"/>
  <c r="D114" i="66" s="1"/>
  <c r="D71" i="66"/>
  <c r="D73" i="66" s="1"/>
  <c r="D76" i="66"/>
  <c r="C42" i="66"/>
  <c r="C30" i="60" s="1"/>
  <c r="C177" i="66"/>
  <c r="C178" i="66" s="1"/>
  <c r="C73" i="66"/>
  <c r="C149" i="66"/>
  <c r="C188" i="66"/>
  <c r="D187" i="66"/>
  <c r="B187" i="66"/>
  <c r="C176" i="66"/>
  <c r="C47" i="66"/>
  <c r="C49" i="66" s="1"/>
  <c r="E36" i="64"/>
  <c r="C20" i="60"/>
  <c r="D81" i="63"/>
  <c r="D137" i="63" s="1"/>
  <c r="I302" i="65"/>
  <c r="J302" i="65" s="1"/>
  <c r="K302" i="65" s="1"/>
  <c r="L302" i="65" s="1"/>
  <c r="AC289" i="65"/>
  <c r="I289" i="65"/>
  <c r="J289" i="65" s="1"/>
  <c r="K289" i="65" s="1"/>
  <c r="AL101" i="2"/>
  <c r="I101" i="2" s="1"/>
  <c r="D149" i="2" s="1"/>
  <c r="F149" i="2" s="1"/>
  <c r="I79" i="2"/>
  <c r="AM48" i="2"/>
  <c r="AM102" i="2" s="1"/>
  <c r="AM114" i="2" s="1"/>
  <c r="K43" i="38"/>
  <c r="K44" i="38"/>
  <c r="K41" i="33"/>
  <c r="K73" i="38"/>
  <c r="K54" i="33"/>
  <c r="K87" i="33"/>
  <c r="K101" i="33"/>
  <c r="K100" i="33"/>
  <c r="K57" i="33"/>
  <c r="K60" i="38"/>
  <c r="K58" i="38"/>
  <c r="K76" i="38"/>
  <c r="K86" i="33"/>
  <c r="K39" i="33"/>
  <c r="K55" i="33"/>
  <c r="K71" i="33"/>
  <c r="K56" i="33"/>
  <c r="K107" i="38"/>
  <c r="K42" i="38"/>
  <c r="K26" i="38" s="1"/>
  <c r="D88" i="39" s="1"/>
  <c r="K69" i="33"/>
  <c r="K70" i="33"/>
  <c r="K108" i="38"/>
  <c r="K105" i="38"/>
  <c r="K74" i="38"/>
  <c r="K42" i="33"/>
  <c r="K40" i="33"/>
  <c r="K91" i="38"/>
  <c r="K102" i="33"/>
  <c r="K92" i="38"/>
  <c r="K59" i="38"/>
  <c r="K57" i="38"/>
  <c r="K85" i="33"/>
  <c r="K72" i="33"/>
  <c r="K41" i="38"/>
  <c r="K84" i="33"/>
  <c r="K99" i="33"/>
  <c r="K89" i="38"/>
  <c r="K90" i="38"/>
  <c r="K106" i="38"/>
  <c r="K75" i="38"/>
  <c r="E47" i="2"/>
  <c r="D123" i="2" s="1"/>
  <c r="F123" i="2" s="1"/>
  <c r="H29" i="2"/>
  <c r="Z48" i="2"/>
  <c r="AG102" i="2"/>
  <c r="AG114" i="2" s="1"/>
  <c r="E85" i="2"/>
  <c r="N100" i="2"/>
  <c r="E100" i="2" s="1"/>
  <c r="C14" i="61"/>
  <c r="C17" i="61" s="1"/>
  <c r="C11" i="61"/>
  <c r="AH101" i="2"/>
  <c r="AH102" i="2" s="1"/>
  <c r="AH114" i="2" s="1"/>
  <c r="AA48" i="2"/>
  <c r="AA102" i="2" s="1"/>
  <c r="AA114" i="2" s="1"/>
  <c r="S48" i="2"/>
  <c r="S102" i="2" s="1"/>
  <c r="S114" i="2" s="1"/>
  <c r="I8" i="59"/>
  <c r="I9" i="59"/>
  <c r="H100" i="2"/>
  <c r="K100" i="2"/>
  <c r="E69" i="2"/>
  <c r="N79" i="2"/>
  <c r="E20" i="2"/>
  <c r="N29" i="2"/>
  <c r="AB48" i="2"/>
  <c r="AB102" i="2" s="1"/>
  <c r="AB114" i="2" s="1"/>
  <c r="I29" i="2"/>
  <c r="D146" i="2" s="1"/>
  <c r="F146" i="2" s="1"/>
  <c r="AL48" i="2"/>
  <c r="M5" i="59"/>
  <c r="L1" i="59"/>
  <c r="L22" i="59" s="1"/>
  <c r="J8" i="46"/>
  <c r="F24" i="51" a="1"/>
  <c r="F24" i="51" s="1"/>
  <c r="G24" i="51" s="1"/>
  <c r="B24" i="51" a="1"/>
  <c r="B24" i="51" s="1"/>
  <c r="E24" i="51" a="1"/>
  <c r="E24" i="51" s="1"/>
  <c r="R76" i="38"/>
  <c r="R11" i="38"/>
  <c r="R12" i="38"/>
  <c r="R10" i="38"/>
  <c r="R9" i="38"/>
  <c r="O113" i="2"/>
  <c r="E113" i="2" s="1"/>
  <c r="D129" i="2" s="1"/>
  <c r="F129" i="2" s="1"/>
  <c r="U48" i="2"/>
  <c r="K29" i="2"/>
  <c r="AJ102" i="2"/>
  <c r="AJ114" i="2" s="1"/>
  <c r="AN102" i="2"/>
  <c r="AN114" i="2" s="1"/>
  <c r="AE101" i="2"/>
  <c r="T114" i="2"/>
  <c r="AF102" i="2"/>
  <c r="AF114" i="2" s="1"/>
  <c r="K23" i="59"/>
  <c r="K38" i="59"/>
  <c r="K113" i="59"/>
  <c r="R8" i="46"/>
  <c r="J119" i="48"/>
  <c r="AA69" i="11"/>
  <c r="AA74" i="11"/>
  <c r="AA78" i="11" s="1"/>
  <c r="AL47" i="2"/>
  <c r="I47" i="2" s="1"/>
  <c r="D147" i="2" s="1"/>
  <c r="F147" i="2" s="1"/>
  <c r="H47" i="2"/>
  <c r="K53" i="59"/>
  <c r="L5" i="52"/>
  <c r="M5" i="46"/>
  <c r="L1" i="46"/>
  <c r="L83" i="46" s="1"/>
  <c r="M85" i="17"/>
  <c r="L33" i="9"/>
  <c r="L29" i="9"/>
  <c r="L30" i="9"/>
  <c r="L34" i="9"/>
  <c r="L35" i="9"/>
  <c r="L28" i="9"/>
  <c r="L32" i="9"/>
  <c r="Z113" i="2"/>
  <c r="H106" i="2"/>
  <c r="L100" i="2"/>
  <c r="L108" i="2"/>
  <c r="L29" i="2"/>
  <c r="L87" i="2"/>
  <c r="L72" i="2"/>
  <c r="L68" i="2"/>
  <c r="L26" i="2"/>
  <c r="L85" i="2"/>
  <c r="L80" i="2"/>
  <c r="L46" i="2"/>
  <c r="L75" i="2"/>
  <c r="L88" i="2"/>
  <c r="L57" i="2"/>
  <c r="L112" i="2"/>
  <c r="L98" i="2"/>
  <c r="L82" i="2"/>
  <c r="L39" i="2"/>
  <c r="L117" i="2"/>
  <c r="L94" i="2" s="1"/>
  <c r="L69" i="2"/>
  <c r="L105" i="2"/>
  <c r="L55" i="2"/>
  <c r="L20" i="2"/>
  <c r="L41" i="2"/>
  <c r="L31" i="2"/>
  <c r="L8" i="2"/>
  <c r="L19" i="2"/>
  <c r="L15" i="2"/>
  <c r="L40" i="2"/>
  <c r="L45" i="2"/>
  <c r="L12" i="2"/>
  <c r="L37" i="2"/>
  <c r="L32" i="2"/>
  <c r="L44" i="2"/>
  <c r="I85" i="2"/>
  <c r="I62" i="2"/>
  <c r="V101" i="2"/>
  <c r="K101" i="2" s="1"/>
  <c r="K79" i="2"/>
  <c r="H28" i="2"/>
  <c r="AR102" i="2"/>
  <c r="AR114" i="2" s="1"/>
  <c r="F119" i="48"/>
  <c r="F26" i="51" a="1"/>
  <c r="F26" i="51" s="1"/>
  <c r="G26" i="51" s="1"/>
  <c r="E26" i="51" a="1"/>
  <c r="E26" i="51" s="1"/>
  <c r="B26" i="51" a="1"/>
  <c r="B26" i="51" s="1"/>
  <c r="Y69" i="11"/>
  <c r="Y74" i="11"/>
  <c r="Y78" i="11" s="1"/>
  <c r="N85" i="17"/>
  <c r="M46" i="9"/>
  <c r="M32" i="9"/>
  <c r="M33" i="9"/>
  <c r="M35" i="9"/>
  <c r="M28" i="9"/>
  <c r="M34" i="9"/>
  <c r="M30" i="9"/>
  <c r="M29" i="9"/>
  <c r="H39" i="2"/>
  <c r="E16" i="2"/>
  <c r="K9" i="59"/>
  <c r="R9" i="46"/>
  <c r="C120" i="48"/>
  <c r="V48" i="2"/>
  <c r="V74" i="11"/>
  <c r="V78" i="11" s="1"/>
  <c r="V71" i="11"/>
  <c r="V69" i="11"/>
  <c r="B25" i="51" a="1"/>
  <c r="B25" i="51" s="1"/>
  <c r="F25" i="51" a="1"/>
  <c r="F25" i="51" s="1"/>
  <c r="G25" i="51" s="1"/>
  <c r="E25" i="51" a="1"/>
  <c r="E25" i="51" s="1"/>
  <c r="H79" i="2"/>
  <c r="Z101" i="2"/>
  <c r="F128" i="48"/>
  <c r="AB69" i="11"/>
  <c r="AB74" i="11"/>
  <c r="AB78" i="11" s="1"/>
  <c r="M25" i="9"/>
  <c r="N86" i="17" s="1"/>
  <c r="N50" i="17" s="1"/>
  <c r="K28" i="2"/>
  <c r="R100" i="33"/>
  <c r="R86" i="33"/>
  <c r="AO48" i="2"/>
  <c r="AO102" i="2" s="1"/>
  <c r="AO114" i="2" s="1"/>
  <c r="F13" i="51" a="1"/>
  <c r="F13" i="51" s="1"/>
  <c r="G13" i="51" s="1"/>
  <c r="E13" i="51" a="1"/>
  <c r="E13" i="51" s="1"/>
  <c r="B13" i="51" a="1"/>
  <c r="B13" i="51" s="1"/>
  <c r="L104" i="38"/>
  <c r="L8" i="38"/>
  <c r="M5" i="38"/>
  <c r="L1" i="38"/>
  <c r="X69" i="11"/>
  <c r="X74" i="11"/>
  <c r="X78" i="11" s="1"/>
  <c r="K83" i="59"/>
  <c r="K98" i="59"/>
  <c r="H98" i="2"/>
  <c r="Y48" i="2"/>
  <c r="Y102" i="2" s="1"/>
  <c r="Y114" i="2" s="1"/>
  <c r="AA71" i="11" s="1"/>
  <c r="C27" i="51"/>
  <c r="E120" i="48"/>
  <c r="L124" i="48"/>
  <c r="D9" i="35"/>
  <c r="T9" i="35" s="1"/>
  <c r="M34" i="35"/>
  <c r="Q34" i="35"/>
  <c r="C170" i="11"/>
  <c r="K89" i="11" s="1"/>
  <c r="L128" i="48"/>
  <c r="B15" i="51" a="1"/>
  <c r="B15" i="51" s="1"/>
  <c r="F15" i="51" a="1"/>
  <c r="F15" i="51" s="1"/>
  <c r="G15" i="51" s="1"/>
  <c r="E15" i="51" a="1"/>
  <c r="E15" i="51" s="1"/>
  <c r="L25" i="9"/>
  <c r="M86" i="17" s="1"/>
  <c r="I8" i="46"/>
  <c r="I9" i="46"/>
  <c r="I68" i="46"/>
  <c r="K124" i="48"/>
  <c r="W102" i="2"/>
  <c r="W114" i="2" s="1"/>
  <c r="Y71" i="11" s="1"/>
  <c r="Q125" i="46"/>
  <c r="F20" i="51" a="1"/>
  <c r="F20" i="51" s="1"/>
  <c r="G20" i="51" s="1"/>
  <c r="E20" i="51" a="1"/>
  <c r="E20" i="51" s="1"/>
  <c r="B20" i="51" a="1"/>
  <c r="B20" i="51" s="1"/>
  <c r="E22" i="51" a="1"/>
  <c r="E22" i="51" s="1"/>
  <c r="F22" i="51" a="1"/>
  <c r="F22" i="51" s="1"/>
  <c r="G22" i="51" s="1"/>
  <c r="B22" i="51" a="1"/>
  <c r="B22" i="51" s="1"/>
  <c r="F14" i="51" a="1"/>
  <c r="F14" i="51" s="1"/>
  <c r="G14" i="51" s="1"/>
  <c r="E14" i="51" a="1"/>
  <c r="E14" i="51" s="1"/>
  <c r="B14" i="51" a="1"/>
  <c r="B14" i="51" s="1"/>
  <c r="F21" i="51" a="1"/>
  <c r="F21" i="51" s="1"/>
  <c r="G21" i="51" s="1"/>
  <c r="E21" i="51" a="1"/>
  <c r="E21" i="51" s="1"/>
  <c r="B21" i="51" a="1"/>
  <c r="B21" i="51" s="1"/>
  <c r="T5" i="38"/>
  <c r="S8" i="38"/>
  <c r="S1" i="38"/>
  <c r="I8" i="51"/>
  <c r="J8" i="51"/>
  <c r="H8" i="51"/>
  <c r="C145" i="11"/>
  <c r="K42" i="11"/>
  <c r="S32" i="17"/>
  <c r="Q32" i="17"/>
  <c r="AO68" i="11"/>
  <c r="V9" i="65"/>
  <c r="CJ115" i="65"/>
  <c r="CJ355" i="65"/>
  <c r="BX275" i="65"/>
  <c r="BL195" i="65"/>
  <c r="CD35" i="65"/>
  <c r="BF115" i="65"/>
  <c r="DB115" i="65"/>
  <c r="BF355" i="65"/>
  <c r="DB355" i="65"/>
  <c r="CP275" i="65"/>
  <c r="CD195" i="65"/>
  <c r="CV35" i="65"/>
  <c r="BX115" i="65"/>
  <c r="BX355" i="65"/>
  <c r="BL275" i="65"/>
  <c r="CV195" i="65"/>
  <c r="BR35" i="65"/>
  <c r="CP115" i="65"/>
  <c r="CP355" i="65"/>
  <c r="CD275" i="65"/>
  <c r="BR195" i="65"/>
  <c r="CJ35" i="65"/>
  <c r="BL115" i="65"/>
  <c r="BL355" i="65"/>
  <c r="CV275" i="65"/>
  <c r="CJ195" i="65"/>
  <c r="BF35" i="65"/>
  <c r="DB35" i="65"/>
  <c r="CD115" i="65"/>
  <c r="CD355" i="65"/>
  <c r="BR275" i="65"/>
  <c r="BF195" i="65"/>
  <c r="DB195" i="65"/>
  <c r="BX35" i="65"/>
  <c r="CV355" i="65"/>
  <c r="CJ275" i="65"/>
  <c r="BX195" i="65"/>
  <c r="BL35" i="65"/>
  <c r="BF275" i="65"/>
  <c r="DB275" i="65"/>
  <c r="BR115" i="65"/>
  <c r="BR355" i="65"/>
  <c r="CP195" i="65"/>
  <c r="CP35" i="65"/>
  <c r="CV115" i="65"/>
  <c r="AS68" i="11"/>
  <c r="R42" i="9"/>
  <c r="AL68" i="11"/>
  <c r="K25" i="17"/>
  <c r="K36" i="17"/>
  <c r="AD68" i="11"/>
  <c r="AH55" i="10"/>
  <c r="G83" i="17"/>
  <c r="O60" i="17"/>
  <c r="N47" i="17"/>
  <c r="N56" i="17"/>
  <c r="S57" i="17"/>
  <c r="D18" i="19"/>
  <c r="J77" i="17"/>
  <c r="G329" i="65"/>
  <c r="I329" i="65"/>
  <c r="J329" i="65" s="1"/>
  <c r="K329" i="65" s="1"/>
  <c r="O17" i="17"/>
  <c r="O31" i="17"/>
  <c r="K7" i="11"/>
  <c r="H29" i="9"/>
  <c r="AK104" i="11"/>
  <c r="J25" i="9"/>
  <c r="K86" i="17" s="1"/>
  <c r="Q68" i="11"/>
  <c r="C195" i="61"/>
  <c r="B194" i="61"/>
  <c r="K113" i="46"/>
  <c r="K9" i="46"/>
  <c r="I9" i="51"/>
  <c r="H9" i="51"/>
  <c r="J9" i="51"/>
  <c r="E44" i="17"/>
  <c r="K33" i="8"/>
  <c r="K31" i="18"/>
  <c r="E10" i="19"/>
  <c r="J76" i="17"/>
  <c r="J26" i="17"/>
  <c r="I56" i="17"/>
  <c r="I47" i="17"/>
  <c r="Q56" i="17"/>
  <c r="Q47" i="17"/>
  <c r="Q60" i="17" s="1"/>
  <c r="G28" i="9"/>
  <c r="G16" i="9"/>
  <c r="G34" i="9" s="1"/>
  <c r="S37" i="17"/>
  <c r="AC68" i="11"/>
  <c r="AJ68" i="11"/>
  <c r="R28" i="9"/>
  <c r="R38" i="9"/>
  <c r="R16" i="9"/>
  <c r="Q38" i="9"/>
  <c r="Q16" i="9"/>
  <c r="K41" i="9"/>
  <c r="I41" i="9"/>
  <c r="I31" i="9"/>
  <c r="Q34" i="17"/>
  <c r="AJ104" i="11"/>
  <c r="I33" i="9"/>
  <c r="L47" i="17"/>
  <c r="L50" i="17"/>
  <c r="L56" i="17"/>
  <c r="H56" i="17"/>
  <c r="H47" i="17"/>
  <c r="H60" i="17" s="1"/>
  <c r="J75" i="17"/>
  <c r="Q40" i="17"/>
  <c r="C52" i="64"/>
  <c r="E52" i="64" s="1"/>
  <c r="K99" i="11"/>
  <c r="E11" i="9"/>
  <c r="K11" i="18"/>
  <c r="K11" i="8"/>
  <c r="O16" i="9"/>
  <c r="O28" i="9" s="1"/>
  <c r="O38" i="9"/>
  <c r="H31" i="9"/>
  <c r="H41" i="9"/>
  <c r="P34" i="17"/>
  <c r="B202" i="61"/>
  <c r="C203" i="61"/>
  <c r="K56" i="17"/>
  <c r="K50" i="17"/>
  <c r="K47" i="17"/>
  <c r="K60" i="17" s="1"/>
  <c r="R36" i="17"/>
  <c r="E9" i="9"/>
  <c r="K9" i="18"/>
  <c r="K9" i="8"/>
  <c r="G369" i="65"/>
  <c r="I369" i="65"/>
  <c r="R25" i="9"/>
  <c r="S86" i="17" s="1"/>
  <c r="S51" i="17" s="1"/>
  <c r="AR68" i="11"/>
  <c r="N20" i="17"/>
  <c r="N17" i="17"/>
  <c r="N40" i="17" s="1"/>
  <c r="N31" i="17"/>
  <c r="AM104" i="11"/>
  <c r="E11" i="17"/>
  <c r="K100" i="11"/>
  <c r="K22" i="18"/>
  <c r="K24" i="8"/>
  <c r="S33" i="17"/>
  <c r="AG68" i="11"/>
  <c r="C231" i="63"/>
  <c r="B230" i="63"/>
  <c r="F82" i="2"/>
  <c r="F62" i="2"/>
  <c r="F47" i="2"/>
  <c r="D135" i="2" s="1"/>
  <c r="F135" i="2" s="1"/>
  <c r="F31" i="2"/>
  <c r="F117" i="2"/>
  <c r="F52" i="2" s="1"/>
  <c r="F93" i="2"/>
  <c r="F66" i="2"/>
  <c r="F39" i="2"/>
  <c r="F20" i="2"/>
  <c r="F69" i="2"/>
  <c r="F56" i="2"/>
  <c r="F105" i="2"/>
  <c r="F78" i="2"/>
  <c r="F100" i="2"/>
  <c r="F94" i="2"/>
  <c r="F86" i="2"/>
  <c r="F73" i="2"/>
  <c r="F18" i="2"/>
  <c r="F110" i="2"/>
  <c r="F104" i="2"/>
  <c r="F61" i="2"/>
  <c r="F87" i="2"/>
  <c r="F72" i="2"/>
  <c r="F64" i="2"/>
  <c r="F109" i="2"/>
  <c r="F97" i="2"/>
  <c r="F68" i="2"/>
  <c r="F89" i="2"/>
  <c r="F77" i="2"/>
  <c r="F58" i="2"/>
  <c r="F99" i="2"/>
  <c r="F85" i="2"/>
  <c r="F80" i="2"/>
  <c r="F43" i="2"/>
  <c r="F106" i="2"/>
  <c r="D139" i="2" s="1"/>
  <c r="F139" i="2" s="1"/>
  <c r="D163" i="2" s="1"/>
  <c r="F75" i="2"/>
  <c r="F60" i="2"/>
  <c r="F95" i="2"/>
  <c r="F83" i="2"/>
  <c r="F63" i="2"/>
  <c r="F48" i="2"/>
  <c r="D136" i="2" s="1"/>
  <c r="F136" i="2" s="1"/>
  <c r="F67" i="2"/>
  <c r="F76" i="2"/>
  <c r="F70" i="2"/>
  <c r="F112" i="2"/>
  <c r="D140" i="2" s="1"/>
  <c r="F140" i="2" s="1"/>
  <c r="D164" i="2" s="1"/>
  <c r="F98" i="2"/>
  <c r="F79" i="2"/>
  <c r="F37" i="2"/>
  <c r="F12" i="2"/>
  <c r="F44" i="2"/>
  <c r="F42" i="2"/>
  <c r="F36" i="2"/>
  <c r="F23" i="2"/>
  <c r="F16" i="2"/>
  <c r="F41" i="2"/>
  <c r="F10" i="2"/>
  <c r="F35" i="2"/>
  <c r="F19" i="2"/>
  <c r="F14" i="2"/>
  <c r="F21" i="2"/>
  <c r="F8" i="2"/>
  <c r="F15" i="2"/>
  <c r="F34" i="2"/>
  <c r="F40" i="2"/>
  <c r="F25" i="2"/>
  <c r="F38" i="2"/>
  <c r="F74" i="2"/>
  <c r="F45" i="2"/>
  <c r="F24" i="2"/>
  <c r="AP102" i="2"/>
  <c r="AP114" i="2" s="1"/>
  <c r="K47" i="2"/>
  <c r="AE29" i="2"/>
  <c r="AE48" i="2" s="1"/>
  <c r="AE102" i="2" s="1"/>
  <c r="AE114" i="2" s="1"/>
  <c r="Q68" i="59"/>
  <c r="Q83" i="59"/>
  <c r="Q98" i="59"/>
  <c r="R5" i="59"/>
  <c r="Q53" i="59"/>
  <c r="Q9" i="59"/>
  <c r="Q112" i="59"/>
  <c r="Q97" i="59"/>
  <c r="Q113" i="59"/>
  <c r="Q1" i="59"/>
  <c r="Q23" i="59" s="1"/>
  <c r="S5" i="52"/>
  <c r="T5" i="46"/>
  <c r="S1" i="46"/>
  <c r="S38" i="46" s="1"/>
  <c r="F23" i="51" a="1"/>
  <c r="F23" i="51" s="1"/>
  <c r="G23" i="51" s="1"/>
  <c r="B23" i="51" a="1"/>
  <c r="B23" i="51" s="1"/>
  <c r="E23" i="51" a="1"/>
  <c r="E23" i="51" s="1"/>
  <c r="AH54" i="10"/>
  <c r="AH53" i="10"/>
  <c r="B57" i="10"/>
  <c r="AH52" i="10"/>
  <c r="AH51" i="10"/>
  <c r="P40" i="17"/>
  <c r="G50" i="17"/>
  <c r="G47" i="17"/>
  <c r="D23" i="19"/>
  <c r="R29" i="9"/>
  <c r="R39" i="9"/>
  <c r="J34" i="17"/>
  <c r="J23" i="17"/>
  <c r="P25" i="9"/>
  <c r="Q86" i="17" s="1"/>
  <c r="Q25" i="17" s="1"/>
  <c r="C131" i="63"/>
  <c r="C111" i="64"/>
  <c r="G21" i="17"/>
  <c r="E10" i="17"/>
  <c r="K23" i="8"/>
  <c r="K21" i="18"/>
  <c r="T68" i="11"/>
  <c r="AF68" i="11"/>
  <c r="C119" i="48"/>
  <c r="Q9" i="46"/>
  <c r="Q8" i="46"/>
  <c r="Q97" i="46"/>
  <c r="F12" i="51" a="1"/>
  <c r="F12" i="51" s="1"/>
  <c r="G12" i="51" s="1"/>
  <c r="G27" i="51" s="1"/>
  <c r="E12" i="51" a="1"/>
  <c r="E12" i="51" s="1"/>
  <c r="E27" i="51" s="1"/>
  <c r="E28" i="51" s="1"/>
  <c r="B12" i="51" a="1"/>
  <c r="B12" i="51" s="1"/>
  <c r="I7" i="51"/>
  <c r="H7" i="51"/>
  <c r="J7" i="51"/>
  <c r="C46" i="31"/>
  <c r="H31" i="31"/>
  <c r="F30" i="31"/>
  <c r="E45" i="17"/>
  <c r="K32" i="18"/>
  <c r="K34" i="8"/>
  <c r="G25" i="9"/>
  <c r="H86" i="17" s="1"/>
  <c r="H83" i="17" s="1"/>
  <c r="Q75" i="17"/>
  <c r="L34" i="17"/>
  <c r="G249" i="65"/>
  <c r="I249" i="65"/>
  <c r="J249" i="65" s="1"/>
  <c r="K249" i="65" s="1"/>
  <c r="I35" i="9"/>
  <c r="S34" i="17"/>
  <c r="S23" i="17"/>
  <c r="R34" i="17"/>
  <c r="H17" i="17"/>
  <c r="H40" i="17" s="1"/>
  <c r="H31" i="17"/>
  <c r="P68" i="11"/>
  <c r="Q113" i="46"/>
  <c r="K23" i="46"/>
  <c r="T19" i="35"/>
  <c r="T22" i="35" s="1"/>
  <c r="I11" i="51"/>
  <c r="J11" i="51"/>
  <c r="H11" i="51"/>
  <c r="F28" i="31"/>
  <c r="D16" i="19"/>
  <c r="D19" i="19"/>
  <c r="D21" i="19"/>
  <c r="D24" i="19"/>
  <c r="C25" i="19"/>
  <c r="D25" i="19" s="1"/>
  <c r="D15" i="19"/>
  <c r="C7" i="19"/>
  <c r="C187" i="11"/>
  <c r="E18" i="9"/>
  <c r="AP68" i="11"/>
  <c r="J53" i="17"/>
  <c r="I36" i="17"/>
  <c r="AI68" i="11"/>
  <c r="C319" i="65"/>
  <c r="C306" i="65"/>
  <c r="C293" i="65"/>
  <c r="C279" i="65"/>
  <c r="C266" i="65"/>
  <c r="C253" i="65"/>
  <c r="C186" i="65"/>
  <c r="H102" i="65"/>
  <c r="H115" i="65"/>
  <c r="C173" i="65"/>
  <c r="H89" i="65"/>
  <c r="C199" i="65"/>
  <c r="H142" i="65"/>
  <c r="H155" i="65"/>
  <c r="C239" i="65"/>
  <c r="C213" i="65"/>
  <c r="C226" i="65"/>
  <c r="H129" i="65"/>
  <c r="J82" i="17"/>
  <c r="P36" i="17"/>
  <c r="P16" i="35"/>
  <c r="S15" i="35"/>
  <c r="T15" i="35" s="1"/>
  <c r="G29" i="9"/>
  <c r="J20" i="17"/>
  <c r="J31" i="17"/>
  <c r="J17" i="17"/>
  <c r="J40" i="17" s="1"/>
  <c r="K16" i="9"/>
  <c r="K28" i="9"/>
  <c r="K38" i="9"/>
  <c r="K128" i="48"/>
  <c r="E19" i="51" a="1"/>
  <c r="E19" i="51" s="1"/>
  <c r="B19" i="51" a="1"/>
  <c r="B19" i="51" s="1"/>
  <c r="F19" i="51" a="1"/>
  <c r="F19" i="51" s="1"/>
  <c r="G19" i="51" s="1"/>
  <c r="D8" i="38"/>
  <c r="F25" i="31"/>
  <c r="R35" i="9"/>
  <c r="R45" i="9"/>
  <c r="C174" i="11"/>
  <c r="K91" i="11" s="1"/>
  <c r="C188" i="11"/>
  <c r="C189" i="11" s="1"/>
  <c r="K102" i="11" s="1"/>
  <c r="J51" i="17"/>
  <c r="K35" i="35"/>
  <c r="E16" i="17"/>
  <c r="K27" i="18"/>
  <c r="K29" i="8"/>
  <c r="S24" i="11"/>
  <c r="S68" i="11" s="1"/>
  <c r="J85" i="17"/>
  <c r="I46" i="9"/>
  <c r="G395" i="65"/>
  <c r="F395" i="65" s="1"/>
  <c r="E395" i="65" s="1"/>
  <c r="D395" i="65" s="1"/>
  <c r="I395" i="65"/>
  <c r="J395" i="65" s="1"/>
  <c r="K395" i="65" s="1"/>
  <c r="L395" i="65" s="1"/>
  <c r="P32" i="17"/>
  <c r="I32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D28" i="35"/>
  <c r="T28" i="35" s="1"/>
  <c r="C129" i="11"/>
  <c r="B18" i="51" a="1"/>
  <c r="B18" i="51" s="1"/>
  <c r="F18" i="51" a="1"/>
  <c r="F18" i="51" s="1"/>
  <c r="G18" i="51" s="1"/>
  <c r="E18" i="51" a="1"/>
  <c r="E18" i="51" s="1"/>
  <c r="D26" i="19"/>
  <c r="E15" i="9"/>
  <c r="G48" i="49"/>
  <c r="E28" i="49"/>
  <c r="D23" i="49"/>
  <c r="G17" i="49"/>
  <c r="E12" i="49"/>
  <c r="D7" i="49"/>
  <c r="G39" i="49"/>
  <c r="D28" i="49"/>
  <c r="G22" i="49"/>
  <c r="E17" i="49"/>
  <c r="D12" i="49"/>
  <c r="G6" i="49"/>
  <c r="G37" i="49"/>
  <c r="G27" i="49"/>
  <c r="E22" i="49"/>
  <c r="D17" i="49"/>
  <c r="G11" i="49"/>
  <c r="E6" i="49"/>
  <c r="G32" i="49"/>
  <c r="E27" i="49"/>
  <c r="D22" i="49"/>
  <c r="G16" i="49"/>
  <c r="E11" i="49"/>
  <c r="D6" i="49"/>
  <c r="G78" i="49"/>
  <c r="E32" i="49"/>
  <c r="D27" i="49"/>
  <c r="G21" i="49"/>
  <c r="E16" i="49"/>
  <c r="D11" i="49"/>
  <c r="G68" i="49"/>
  <c r="E31" i="49"/>
  <c r="D26" i="49"/>
  <c r="G20" i="49"/>
  <c r="E15" i="49"/>
  <c r="D10" i="49"/>
  <c r="G66" i="49"/>
  <c r="D31" i="49"/>
  <c r="G25" i="49"/>
  <c r="E20" i="49"/>
  <c r="D15" i="49"/>
  <c r="G9" i="49"/>
  <c r="G65" i="49"/>
  <c r="G30" i="49"/>
  <c r="E25" i="49"/>
  <c r="D20" i="49"/>
  <c r="G14" i="49"/>
  <c r="E9" i="49"/>
  <c r="G61" i="49"/>
  <c r="E30" i="49"/>
  <c r="D25" i="49"/>
  <c r="G19" i="49"/>
  <c r="E14" i="49"/>
  <c r="D9" i="49"/>
  <c r="G55" i="49"/>
  <c r="D29" i="49"/>
  <c r="D16" i="49"/>
  <c r="G28" i="49"/>
  <c r="G15" i="49"/>
  <c r="G26" i="49"/>
  <c r="D14" i="49"/>
  <c r="E26" i="49"/>
  <c r="G13" i="49"/>
  <c r="G24" i="49"/>
  <c r="E13" i="49"/>
  <c r="G73" i="49"/>
  <c r="E24" i="49"/>
  <c r="D13" i="49"/>
  <c r="G60" i="49"/>
  <c r="G23" i="49"/>
  <c r="G10" i="49"/>
  <c r="G57" i="49"/>
  <c r="E21" i="49"/>
  <c r="G8" i="49"/>
  <c r="G49" i="49"/>
  <c r="D21" i="49"/>
  <c r="E8" i="49"/>
  <c r="D32" i="49"/>
  <c r="E19" i="49"/>
  <c r="D8" i="49"/>
  <c r="G31" i="49"/>
  <c r="D19" i="49"/>
  <c r="G7" i="49"/>
  <c r="D30" i="49"/>
  <c r="G18" i="49"/>
  <c r="E7" i="49"/>
  <c r="G29" i="49"/>
  <c r="E18" i="49"/>
  <c r="E29" i="49"/>
  <c r="D18" i="49"/>
  <c r="G59" i="49"/>
  <c r="D24" i="49"/>
  <c r="E23" i="49"/>
  <c r="G12" i="49"/>
  <c r="E10" i="49"/>
  <c r="G72" i="49"/>
  <c r="E8" i="19"/>
  <c r="S39" i="17"/>
  <c r="G86" i="17"/>
  <c r="AH68" i="11"/>
  <c r="I85" i="17"/>
  <c r="G275" i="65"/>
  <c r="F275" i="65" s="1"/>
  <c r="E275" i="65" s="1"/>
  <c r="D275" i="65" s="1"/>
  <c r="I275" i="65"/>
  <c r="J275" i="65" s="1"/>
  <c r="K275" i="65" s="1"/>
  <c r="L275" i="65" s="1"/>
  <c r="Q41" i="9"/>
  <c r="Q36" i="17"/>
  <c r="J21" i="17"/>
  <c r="K20" i="17"/>
  <c r="K17" i="17"/>
  <c r="K31" i="17"/>
  <c r="N16" i="9"/>
  <c r="N38" i="9"/>
  <c r="N28" i="9"/>
  <c r="J16" i="9"/>
  <c r="J28" i="9"/>
  <c r="J38" i="9"/>
  <c r="J17" i="51"/>
  <c r="I17" i="51"/>
  <c r="H17" i="51"/>
  <c r="N5" i="33"/>
  <c r="M8" i="33"/>
  <c r="M1" i="33"/>
  <c r="F27" i="31"/>
  <c r="H49" i="42"/>
  <c r="H38" i="42"/>
  <c r="G27" i="42"/>
  <c r="H16" i="42"/>
  <c r="G11" i="42"/>
  <c r="D141" i="45"/>
  <c r="D137" i="45"/>
  <c r="D133" i="45"/>
  <c r="D129" i="45"/>
  <c r="D125" i="45"/>
  <c r="D121" i="45"/>
  <c r="J53" i="46" s="1"/>
  <c r="D117" i="45"/>
  <c r="D113" i="45"/>
  <c r="D109" i="45"/>
  <c r="J67" i="46" s="1"/>
  <c r="D105" i="45"/>
  <c r="D101" i="45"/>
  <c r="G49" i="42"/>
  <c r="H43" i="42"/>
  <c r="G38" i="42"/>
  <c r="H32" i="42"/>
  <c r="H21" i="42"/>
  <c r="G16" i="42"/>
  <c r="H5" i="42"/>
  <c r="E81" i="45"/>
  <c r="D76" i="45"/>
  <c r="E65" i="45"/>
  <c r="E59" i="45"/>
  <c r="D54" i="45"/>
  <c r="E43" i="45"/>
  <c r="G48" i="42"/>
  <c r="H42" i="42"/>
  <c r="G37" i="42"/>
  <c r="G31" i="42"/>
  <c r="H20" i="42"/>
  <c r="G15" i="42"/>
  <c r="H4" i="42"/>
  <c r="D140" i="45"/>
  <c r="G52" i="42"/>
  <c r="H46" i="42"/>
  <c r="G46" i="42"/>
  <c r="H35" i="42"/>
  <c r="H29" i="42"/>
  <c r="G24" i="42"/>
  <c r="H13" i="42"/>
  <c r="G8" i="42"/>
  <c r="E89" i="45"/>
  <c r="D84" i="45"/>
  <c r="E73" i="45"/>
  <c r="D68" i="45"/>
  <c r="D62" i="45"/>
  <c r="E51" i="45"/>
  <c r="G43" i="42"/>
  <c r="H36" i="42"/>
  <c r="G29" i="42"/>
  <c r="G23" i="42"/>
  <c r="G17" i="42"/>
  <c r="G10" i="42"/>
  <c r="D134" i="45"/>
  <c r="E129" i="45"/>
  <c r="E124" i="45"/>
  <c r="E115" i="45"/>
  <c r="E91" i="45"/>
  <c r="D74" i="45"/>
  <c r="E68" i="45"/>
  <c r="E61" i="45"/>
  <c r="E44" i="45"/>
  <c r="E33" i="45"/>
  <c r="D28" i="45"/>
  <c r="E17" i="45"/>
  <c r="D12" i="45"/>
  <c r="H50" i="42"/>
  <c r="G36" i="42"/>
  <c r="H3" i="42"/>
  <c r="E143" i="45"/>
  <c r="E138" i="45"/>
  <c r="D124" i="45"/>
  <c r="D115" i="45"/>
  <c r="E110" i="45"/>
  <c r="E96" i="45"/>
  <c r="D91" i="45"/>
  <c r="E85" i="45"/>
  <c r="E79" i="45"/>
  <c r="D61" i="45"/>
  <c r="E55" i="45"/>
  <c r="E49" i="45"/>
  <c r="D44" i="45"/>
  <c r="E38" i="45"/>
  <c r="D33" i="45"/>
  <c r="E22" i="45"/>
  <c r="D17" i="45"/>
  <c r="E6" i="45"/>
  <c r="G50" i="42"/>
  <c r="G42" i="42"/>
  <c r="H28" i="42"/>
  <c r="H22" i="42"/>
  <c r="H9" i="42"/>
  <c r="G3" i="42"/>
  <c r="D143" i="45"/>
  <c r="D138" i="45"/>
  <c r="E128" i="45"/>
  <c r="E119" i="45"/>
  <c r="D110" i="45"/>
  <c r="E105" i="45"/>
  <c r="E100" i="45"/>
  <c r="D96" i="45"/>
  <c r="D85" i="45"/>
  <c r="D79" i="45"/>
  <c r="D73" i="45"/>
  <c r="E67" i="45"/>
  <c r="D55" i="45"/>
  <c r="D49" i="45"/>
  <c r="D38" i="45"/>
  <c r="E27" i="45"/>
  <c r="D22" i="45"/>
  <c r="E11" i="45"/>
  <c r="D6" i="45"/>
  <c r="G35" i="42"/>
  <c r="G28" i="42"/>
  <c r="G22" i="42"/>
  <c r="H15" i="42"/>
  <c r="G9" i="42"/>
  <c r="E133" i="45"/>
  <c r="D128" i="45"/>
  <c r="S68" i="46" s="1"/>
  <c r="D119" i="45"/>
  <c r="E114" i="45"/>
  <c r="D100" i="45"/>
  <c r="E90" i="45"/>
  <c r="D67" i="45"/>
  <c r="E60" i="45"/>
  <c r="D43" i="45"/>
  <c r="E32" i="45"/>
  <c r="D27" i="45"/>
  <c r="E16" i="45"/>
  <c r="D11" i="45"/>
  <c r="H41" i="42"/>
  <c r="H2" i="42"/>
  <c r="E123" i="45"/>
  <c r="D114" i="45"/>
  <c r="E104" i="45"/>
  <c r="D90" i="45"/>
  <c r="E84" i="45"/>
  <c r="E78" i="45"/>
  <c r="E72" i="45"/>
  <c r="D60" i="45"/>
  <c r="E54" i="45"/>
  <c r="E48" i="45"/>
  <c r="E37" i="45"/>
  <c r="D32" i="45"/>
  <c r="R112" i="46" s="1"/>
  <c r="E21" i="45"/>
  <c r="D16" i="45"/>
  <c r="H48" i="42"/>
  <c r="G41" i="42"/>
  <c r="H34" i="42"/>
  <c r="H27" i="42"/>
  <c r="G21" i="42"/>
  <c r="H14" i="42"/>
  <c r="H8" i="42"/>
  <c r="G2" i="42"/>
  <c r="E142" i="45"/>
  <c r="E137" i="45"/>
  <c r="E132" i="45"/>
  <c r="D123" i="45"/>
  <c r="E118" i="45"/>
  <c r="G34" i="42"/>
  <c r="G14" i="42"/>
  <c r="D142" i="45"/>
  <c r="H47" i="42"/>
  <c r="H40" i="42"/>
  <c r="H33" i="42"/>
  <c r="H26" i="42"/>
  <c r="G20" i="42"/>
  <c r="H7" i="42"/>
  <c r="E136" i="45"/>
  <c r="D127" i="45"/>
  <c r="E113" i="45"/>
  <c r="E108" i="45"/>
  <c r="D99" i="45"/>
  <c r="I126" i="59" s="1"/>
  <c r="D83" i="45"/>
  <c r="E77" i="45"/>
  <c r="E71" i="45"/>
  <c r="D53" i="45"/>
  <c r="E47" i="45"/>
  <c r="E36" i="45"/>
  <c r="D31" i="45"/>
  <c r="E20" i="45"/>
  <c r="D15" i="45"/>
  <c r="G47" i="42"/>
  <c r="G40" i="42"/>
  <c r="G33" i="42"/>
  <c r="G26" i="42"/>
  <c r="G13" i="42"/>
  <c r="G7" i="42"/>
  <c r="D136" i="45"/>
  <c r="L53" i="46" s="1"/>
  <c r="E122" i="45"/>
  <c r="D108" i="45"/>
  <c r="R23" i="46" s="1"/>
  <c r="E103" i="45"/>
  <c r="E94" i="45"/>
  <c r="E88" i="45"/>
  <c r="D77" i="45"/>
  <c r="L82" i="46" s="1"/>
  <c r="D71" i="45"/>
  <c r="D65" i="45"/>
  <c r="E58" i="45"/>
  <c r="D47" i="45"/>
  <c r="E41" i="45"/>
  <c r="D36" i="45"/>
  <c r="E25" i="45"/>
  <c r="D20" i="45"/>
  <c r="E9" i="45"/>
  <c r="H19" i="42"/>
  <c r="E141" i="45"/>
  <c r="E131" i="45"/>
  <c r="E126" i="45"/>
  <c r="D122" i="45"/>
  <c r="E117" i="45"/>
  <c r="D103" i="45"/>
  <c r="E98" i="45"/>
  <c r="D94" i="45"/>
  <c r="D88" i="45"/>
  <c r="E82" i="45"/>
  <c r="D58" i="45"/>
  <c r="E52" i="45"/>
  <c r="D41" i="45"/>
  <c r="E30" i="45"/>
  <c r="D25" i="45"/>
  <c r="E14" i="45"/>
  <c r="D9" i="45"/>
  <c r="H45" i="42"/>
  <c r="H39" i="42"/>
  <c r="G32" i="42"/>
  <c r="H25" i="42"/>
  <c r="G19" i="42"/>
  <c r="H12" i="42"/>
  <c r="H6" i="42"/>
  <c r="D131" i="45"/>
  <c r="I125" i="59" s="1"/>
  <c r="D126" i="45"/>
  <c r="E112" i="45"/>
  <c r="D98" i="45"/>
  <c r="R126" i="46" s="1"/>
  <c r="D82" i="45"/>
  <c r="E76" i="45"/>
  <c r="E70" i="45"/>
  <c r="E64" i="45"/>
  <c r="D52" i="45"/>
  <c r="E46" i="45"/>
  <c r="E35" i="45"/>
  <c r="D30" i="45"/>
  <c r="J37" i="46" s="1"/>
  <c r="E19" i="45"/>
  <c r="D14" i="45"/>
  <c r="H52" i="42"/>
  <c r="H18" i="42"/>
  <c r="D135" i="45"/>
  <c r="E130" i="45"/>
  <c r="E121" i="45"/>
  <c r="E116" i="45"/>
  <c r="H44" i="42"/>
  <c r="H30" i="42"/>
  <c r="H24" i="42"/>
  <c r="G18" i="42"/>
  <c r="H11" i="42"/>
  <c r="G5" i="42"/>
  <c r="H51" i="42"/>
  <c r="G44" i="42"/>
  <c r="H37" i="42"/>
  <c r="G30" i="42"/>
  <c r="E139" i="45"/>
  <c r="E120" i="45"/>
  <c r="E111" i="45"/>
  <c r="E106" i="45"/>
  <c r="D97" i="45"/>
  <c r="E86" i="45"/>
  <c r="E80" i="45"/>
  <c r="D69" i="45"/>
  <c r="E62" i="45"/>
  <c r="E56" i="45"/>
  <c r="E50" i="45"/>
  <c r="D45" i="45"/>
  <c r="E39" i="45"/>
  <c r="D34" i="45"/>
  <c r="E23" i="45"/>
  <c r="D18" i="45"/>
  <c r="E7" i="45"/>
  <c r="G51" i="42"/>
  <c r="H23" i="42"/>
  <c r="H17" i="42"/>
  <c r="H10" i="42"/>
  <c r="G4" i="42"/>
  <c r="D139" i="45"/>
  <c r="E134" i="45"/>
  <c r="D120" i="45"/>
  <c r="D111" i="45"/>
  <c r="D106" i="45"/>
  <c r="E101" i="45"/>
  <c r="D86" i="45"/>
  <c r="D80" i="45"/>
  <c r="E74" i="45"/>
  <c r="D56" i="45"/>
  <c r="D50" i="45"/>
  <c r="D39" i="45"/>
  <c r="E28" i="45"/>
  <c r="D23" i="45"/>
  <c r="G45" i="42"/>
  <c r="E69" i="45"/>
  <c r="D37" i="45"/>
  <c r="E8" i="45"/>
  <c r="D130" i="45"/>
  <c r="E57" i="45"/>
  <c r="D46" i="45"/>
  <c r="E26" i="45"/>
  <c r="D8" i="45"/>
  <c r="D89" i="45"/>
  <c r="D78" i="45"/>
  <c r="D57" i="45"/>
  <c r="D26" i="45"/>
  <c r="G12" i="42"/>
  <c r="D112" i="45"/>
  <c r="D104" i="45"/>
  <c r="E97" i="45"/>
  <c r="E45" i="45"/>
  <c r="D35" i="45"/>
  <c r="K37" i="46" s="1"/>
  <c r="E15" i="45"/>
  <c r="D7" i="45"/>
  <c r="E66" i="45"/>
  <c r="G25" i="42"/>
  <c r="E87" i="45"/>
  <c r="D66" i="45"/>
  <c r="E34" i="45"/>
  <c r="E24" i="45"/>
  <c r="G39" i="42"/>
  <c r="E135" i="45"/>
  <c r="E102" i="45"/>
  <c r="E95" i="45"/>
  <c r="D75" i="45"/>
  <c r="E53" i="45"/>
  <c r="E42" i="45"/>
  <c r="D13" i="45"/>
  <c r="D102" i="45"/>
  <c r="D95" i="45"/>
  <c r="D64" i="45"/>
  <c r="D42" i="45"/>
  <c r="E109" i="45"/>
  <c r="E31" i="45"/>
  <c r="E12" i="45"/>
  <c r="G6" i="42"/>
  <c r="E125" i="45"/>
  <c r="D51" i="45"/>
  <c r="D21" i="45"/>
  <c r="D116" i="45"/>
  <c r="E83" i="45"/>
  <c r="D72" i="45"/>
  <c r="E40" i="45"/>
  <c r="E93" i="45"/>
  <c r="D40" i="45"/>
  <c r="E29" i="45"/>
  <c r="E10" i="45"/>
  <c r="D132" i="45"/>
  <c r="E107" i="45"/>
  <c r="D93" i="45"/>
  <c r="D29" i="45"/>
  <c r="D19" i="45"/>
  <c r="D10" i="45"/>
  <c r="H31" i="42"/>
  <c r="E140" i="45"/>
  <c r="D107" i="45"/>
  <c r="D81" i="45"/>
  <c r="D70" i="45"/>
  <c r="D59" i="45"/>
  <c r="D48" i="45"/>
  <c r="E99" i="45"/>
  <c r="E18" i="45"/>
  <c r="E75" i="45"/>
  <c r="E13" i="45"/>
  <c r="D118" i="45"/>
  <c r="D87" i="45"/>
  <c r="E127" i="45"/>
  <c r="D24" i="45"/>
  <c r="M34" i="17"/>
  <c r="E15" i="17"/>
  <c r="K28" i="8"/>
  <c r="K26" i="18"/>
  <c r="R34" i="9"/>
  <c r="R44" i="9"/>
  <c r="R68" i="11"/>
  <c r="R31" i="9"/>
  <c r="R41" i="9"/>
  <c r="D20" i="19"/>
  <c r="AS104" i="11"/>
  <c r="P31" i="9"/>
  <c r="P41" i="9"/>
  <c r="G23" i="17"/>
  <c r="S35" i="17"/>
  <c r="P16" i="9"/>
  <c r="P28" i="9"/>
  <c r="P38" i="9"/>
  <c r="H34" i="9"/>
  <c r="AM24" i="11"/>
  <c r="AM68" i="11" s="1"/>
  <c r="I31" i="17"/>
  <c r="I17" i="17"/>
  <c r="I40" i="17" s="1"/>
  <c r="I20" i="17"/>
  <c r="W24" i="11"/>
  <c r="W68" i="11" s="1"/>
  <c r="F24" i="31"/>
  <c r="F26" i="31"/>
  <c r="D25" i="31"/>
  <c r="D31" i="31" s="1"/>
  <c r="R33" i="9"/>
  <c r="R43" i="9"/>
  <c r="J56" i="17"/>
  <c r="R56" i="17"/>
  <c r="R47" i="17"/>
  <c r="R60" i="17" s="1"/>
  <c r="E14" i="9"/>
  <c r="K14" i="18"/>
  <c r="K14" i="8"/>
  <c r="J79" i="17"/>
  <c r="K23" i="17"/>
  <c r="K34" i="17"/>
  <c r="AT104" i="11"/>
  <c r="V104" i="16"/>
  <c r="S31" i="17"/>
  <c r="S17" i="17"/>
  <c r="S40" i="17" s="1"/>
  <c r="S20" i="17"/>
  <c r="H32" i="9"/>
  <c r="H44" i="9"/>
  <c r="K23" i="9"/>
  <c r="K25" i="9" s="1"/>
  <c r="L86" i="17" s="1"/>
  <c r="L23" i="17" s="1"/>
  <c r="J36" i="17"/>
  <c r="E38" i="64"/>
  <c r="E13" i="9"/>
  <c r="K13" i="18"/>
  <c r="K13" i="8"/>
  <c r="G32" i="9"/>
  <c r="J50" i="17"/>
  <c r="J83" i="17"/>
  <c r="H33" i="9"/>
  <c r="I30" i="9"/>
  <c r="H30" i="9"/>
  <c r="J22" i="17"/>
  <c r="AO104" i="11"/>
  <c r="L31" i="9"/>
  <c r="L41" i="9"/>
  <c r="AL104" i="11"/>
  <c r="AI104" i="11"/>
  <c r="J25" i="17"/>
  <c r="D22" i="19"/>
  <c r="AP104" i="11"/>
  <c r="M50" i="17"/>
  <c r="M47" i="17"/>
  <c r="M60" i="17" s="1"/>
  <c r="M56" i="17"/>
  <c r="E46" i="17"/>
  <c r="K35" i="8"/>
  <c r="K33" i="18"/>
  <c r="S25" i="17"/>
  <c r="S36" i="17"/>
  <c r="J28" i="17"/>
  <c r="M83" i="17"/>
  <c r="J24" i="17"/>
  <c r="R17" i="17"/>
  <c r="R40" i="17" s="1"/>
  <c r="R31" i="17"/>
  <c r="M31" i="9"/>
  <c r="M41" i="9"/>
  <c r="AN104" i="11"/>
  <c r="Z68" i="11"/>
  <c r="J31" i="9"/>
  <c r="J41" i="9"/>
  <c r="U68" i="11"/>
  <c r="D142" i="61"/>
  <c r="D15" i="35"/>
  <c r="K16" i="35"/>
  <c r="AH103" i="16"/>
  <c r="B25" i="56"/>
  <c r="B27" i="56"/>
  <c r="B29" i="56"/>
  <c r="B26" i="56"/>
  <c r="B28" i="56"/>
  <c r="J16" i="51"/>
  <c r="I16" i="51"/>
  <c r="H16" i="51"/>
  <c r="L86" i="33"/>
  <c r="L71" i="33"/>
  <c r="L69" i="33"/>
  <c r="L42" i="33"/>
  <c r="L40" i="33"/>
  <c r="L102" i="33"/>
  <c r="L85" i="33"/>
  <c r="L101" i="33"/>
  <c r="L100" i="33"/>
  <c r="L99" i="33"/>
  <c r="L56" i="33"/>
  <c r="L54" i="33"/>
  <c r="L84" i="33"/>
  <c r="L87" i="33"/>
  <c r="L72" i="33"/>
  <c r="L55" i="33"/>
  <c r="L10" i="33"/>
  <c r="L39" i="33"/>
  <c r="L24" i="33" s="1"/>
  <c r="L57" i="33"/>
  <c r="L41" i="33"/>
  <c r="L26" i="33" s="1"/>
  <c r="L12" i="33"/>
  <c r="L9" i="33"/>
  <c r="L70" i="33"/>
  <c r="L11" i="33"/>
  <c r="H36" i="17"/>
  <c r="S56" i="17"/>
  <c r="S50" i="17"/>
  <c r="S47" i="17"/>
  <c r="S59" i="17"/>
  <c r="S53" i="17"/>
  <c r="K36" i="35"/>
  <c r="E13" i="17"/>
  <c r="K26" i="8"/>
  <c r="K24" i="18"/>
  <c r="J80" i="17"/>
  <c r="Q71" i="17"/>
  <c r="O34" i="17"/>
  <c r="AQ68" i="11"/>
  <c r="AT68" i="11"/>
  <c r="C93" i="65"/>
  <c r="C26" i="65"/>
  <c r="C13" i="65"/>
  <c r="C159" i="65"/>
  <c r="C79" i="65"/>
  <c r="C106" i="65"/>
  <c r="C146" i="65"/>
  <c r="C66" i="65"/>
  <c r="C39" i="65"/>
  <c r="C133" i="65"/>
  <c r="C53" i="65"/>
  <c r="C119" i="65"/>
  <c r="G30" i="9"/>
  <c r="AN68" i="11"/>
  <c r="AK68" i="11"/>
  <c r="I34" i="9"/>
  <c r="AE68" i="11"/>
  <c r="B222" i="63"/>
  <c r="C223" i="63"/>
  <c r="T5" i="33"/>
  <c r="S1" i="33"/>
  <c r="S8" i="33"/>
  <c r="C45" i="31"/>
  <c r="D27" i="31"/>
  <c r="D29" i="31"/>
  <c r="E271" i="30"/>
  <c r="R75" i="38" s="1"/>
  <c r="E177" i="30"/>
  <c r="E161" i="30"/>
  <c r="E145" i="30"/>
  <c r="E129" i="30"/>
  <c r="E127" i="30"/>
  <c r="E109" i="30"/>
  <c r="E100" i="30"/>
  <c r="E84" i="30"/>
  <c r="E152" i="30"/>
  <c r="E136" i="30"/>
  <c r="E118" i="30"/>
  <c r="E91" i="30"/>
  <c r="M68" i="33" s="1"/>
  <c r="E75" i="30"/>
  <c r="E66" i="30"/>
  <c r="E57" i="30"/>
  <c r="E303" i="30"/>
  <c r="E287" i="30"/>
  <c r="E278" i="30"/>
  <c r="E276" i="30"/>
  <c r="E267" i="30"/>
  <c r="R73" i="38" s="1"/>
  <c r="E256" i="30"/>
  <c r="E234" i="30"/>
  <c r="E216" i="30"/>
  <c r="E191" i="30"/>
  <c r="E182" i="30"/>
  <c r="E166" i="30"/>
  <c r="E150" i="30"/>
  <c r="E134" i="30"/>
  <c r="E116" i="30"/>
  <c r="E105" i="30"/>
  <c r="E89" i="30"/>
  <c r="E64" i="30"/>
  <c r="E310" i="30"/>
  <c r="E294" i="30"/>
  <c r="E274" i="30"/>
  <c r="E247" i="30"/>
  <c r="E225" i="30"/>
  <c r="E207" i="30"/>
  <c r="E198" i="30"/>
  <c r="E189" i="30"/>
  <c r="E173" i="30"/>
  <c r="E157" i="30"/>
  <c r="E141" i="30"/>
  <c r="E123" i="30"/>
  <c r="S104" i="38" s="1"/>
  <c r="E114" i="30"/>
  <c r="E96" i="30"/>
  <c r="E80" i="30"/>
  <c r="E71" i="30"/>
  <c r="E62" i="30"/>
  <c r="E46" i="30"/>
  <c r="E30" i="30"/>
  <c r="E14" i="30"/>
  <c r="E239" i="30"/>
  <c r="E205" i="30"/>
  <c r="E196" i="30"/>
  <c r="E187" i="30"/>
  <c r="E171" i="30"/>
  <c r="E139" i="30"/>
  <c r="E121" i="30"/>
  <c r="E112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306" i="30"/>
  <c r="E290" i="30"/>
  <c r="E270" i="30"/>
  <c r="E237" i="30"/>
  <c r="E219" i="30"/>
  <c r="E194" i="30"/>
  <c r="E185" i="30"/>
  <c r="E169" i="30"/>
  <c r="E153" i="30"/>
  <c r="E137" i="30"/>
  <c r="E128" i="30"/>
  <c r="E119" i="30"/>
  <c r="E92" i="30"/>
  <c r="E76" i="30"/>
  <c r="E67" i="30"/>
  <c r="E58" i="30"/>
  <c r="E42" i="30"/>
  <c r="E26" i="30"/>
  <c r="E117" i="30"/>
  <c r="E90" i="30"/>
  <c r="L98" i="33" s="1"/>
  <c r="E74" i="30"/>
  <c r="E65" i="30"/>
  <c r="E56" i="30"/>
  <c r="E40" i="30"/>
  <c r="E311" i="30"/>
  <c r="E295" i="30"/>
  <c r="E277" i="30"/>
  <c r="E248" i="30"/>
  <c r="E226" i="30"/>
  <c r="E208" i="30"/>
  <c r="S53" i="33" s="1"/>
  <c r="E199" i="30"/>
  <c r="E174" i="30"/>
  <c r="E158" i="30"/>
  <c r="E142" i="30"/>
  <c r="E124" i="30"/>
  <c r="E106" i="30"/>
  <c r="E97" i="30"/>
  <c r="E81" i="30"/>
  <c r="E72" i="30"/>
  <c r="E63" i="30"/>
  <c r="E47" i="30"/>
  <c r="E31" i="30"/>
  <c r="E15" i="30"/>
  <c r="E233" i="30"/>
  <c r="E224" i="30"/>
  <c r="K68" i="33" s="1"/>
  <c r="E215" i="30"/>
  <c r="E190" i="30"/>
  <c r="E181" i="30"/>
  <c r="E165" i="30"/>
  <c r="E149" i="30"/>
  <c r="M83" i="33" s="1"/>
  <c r="E133" i="30"/>
  <c r="E115" i="30"/>
  <c r="E104" i="30"/>
  <c r="E88" i="30"/>
  <c r="E54" i="30"/>
  <c r="E38" i="30"/>
  <c r="E22" i="30"/>
  <c r="E309" i="30"/>
  <c r="E293" i="30"/>
  <c r="E273" i="30"/>
  <c r="E264" i="30"/>
  <c r="E246" i="30"/>
  <c r="E244" i="30"/>
  <c r="E206" i="30"/>
  <c r="E140" i="30"/>
  <c r="E55" i="30"/>
  <c r="E34" i="30"/>
  <c r="E24" i="30"/>
  <c r="E18" i="30"/>
  <c r="E32" i="30"/>
  <c r="E50" i="30"/>
  <c r="E35" i="30"/>
  <c r="E19" i="30"/>
  <c r="E39" i="30"/>
  <c r="E27" i="30"/>
  <c r="E23" i="30"/>
  <c r="E7" i="30"/>
  <c r="E51" i="30"/>
  <c r="E9" i="30"/>
  <c r="O56" i="17"/>
  <c r="L17" i="17"/>
  <c r="L40" i="17" s="1"/>
  <c r="J81" i="17"/>
  <c r="G33" i="9"/>
  <c r="E12" i="9"/>
  <c r="K12" i="18"/>
  <c r="K12" i="8"/>
  <c r="H25" i="9"/>
  <c r="I86" i="17" s="1"/>
  <c r="L289" i="65"/>
  <c r="AH289" i="65" s="1"/>
  <c r="AG289" i="65"/>
  <c r="AB289" i="65"/>
  <c r="AD289" i="65"/>
  <c r="AD329" i="65"/>
  <c r="AA289" i="65"/>
  <c r="Z289" i="65"/>
  <c r="E34" i="64"/>
  <c r="C71" i="64"/>
  <c r="E71" i="64" s="1"/>
  <c r="C102" i="61"/>
  <c r="D74" i="61"/>
  <c r="D83" i="61"/>
  <c r="D157" i="61"/>
  <c r="C109" i="61"/>
  <c r="C127" i="61"/>
  <c r="C12" i="61"/>
  <c r="D166" i="63"/>
  <c r="C120" i="63"/>
  <c r="D76" i="63"/>
  <c r="D94" i="63"/>
  <c r="C113" i="63"/>
  <c r="D131" i="66" l="1"/>
  <c r="D111" i="66"/>
  <c r="C179" i="66"/>
  <c r="C180" i="66" s="1"/>
  <c r="D81" i="66"/>
  <c r="D78" i="66"/>
  <c r="D124" i="66"/>
  <c r="C124" i="66"/>
  <c r="C189" i="66"/>
  <c r="D188" i="66"/>
  <c r="B188" i="66"/>
  <c r="C76" i="66"/>
  <c r="C65" i="66"/>
  <c r="C152" i="66"/>
  <c r="D184" i="66"/>
  <c r="C21" i="60"/>
  <c r="C31" i="60" s="1"/>
  <c r="C64" i="64"/>
  <c r="D100" i="63"/>
  <c r="D140" i="63" s="1"/>
  <c r="D13" i="60"/>
  <c r="C19" i="63"/>
  <c r="L126" i="37"/>
  <c r="M124" i="48"/>
  <c r="T30" i="35"/>
  <c r="T39" i="35" s="1"/>
  <c r="AD61" i="38"/>
  <c r="AD109" i="38"/>
  <c r="AD45" i="38"/>
  <c r="AD73" i="33"/>
  <c r="AD93" i="38"/>
  <c r="AD77" i="38"/>
  <c r="C10" i="31"/>
  <c r="AD58" i="33"/>
  <c r="AD43" i="33"/>
  <c r="AD103" i="33"/>
  <c r="AD88" i="33"/>
  <c r="P7" i="31"/>
  <c r="Q10" i="31"/>
  <c r="E9" i="31"/>
  <c r="P10" i="31"/>
  <c r="D9" i="31"/>
  <c r="Q8" i="31"/>
  <c r="P8" i="31"/>
  <c r="E7" i="31"/>
  <c r="C7" i="31"/>
  <c r="E10" i="31"/>
  <c r="D10" i="31"/>
  <c r="I10" i="31" s="1"/>
  <c r="Q9" i="31"/>
  <c r="H9" i="31" s="1"/>
  <c r="P9" i="31"/>
  <c r="E8" i="31"/>
  <c r="D8" i="31"/>
  <c r="I8" i="31" s="1"/>
  <c r="C8" i="31"/>
  <c r="C9" i="31"/>
  <c r="Q7" i="31"/>
  <c r="D7" i="31"/>
  <c r="R85" i="17"/>
  <c r="Q46" i="9"/>
  <c r="Q30" i="9"/>
  <c r="Q34" i="9"/>
  <c r="Q33" i="9"/>
  <c r="Q29" i="9"/>
  <c r="Q35" i="9"/>
  <c r="Q32" i="9"/>
  <c r="R39" i="33"/>
  <c r="R22" i="46"/>
  <c r="L25" i="2"/>
  <c r="L47" i="2"/>
  <c r="L59" i="2"/>
  <c r="L92" i="2"/>
  <c r="L97" i="2"/>
  <c r="R89" i="38"/>
  <c r="L38" i="59"/>
  <c r="I113" i="59"/>
  <c r="D123" i="37"/>
  <c r="K27" i="33"/>
  <c r="D127" i="37"/>
  <c r="J104" i="38"/>
  <c r="J72" i="38"/>
  <c r="J98" i="33"/>
  <c r="J56" i="38"/>
  <c r="J40" i="38"/>
  <c r="J88" i="38"/>
  <c r="J38" i="33"/>
  <c r="J83" i="33"/>
  <c r="J68" i="33"/>
  <c r="J53" i="33"/>
  <c r="J56" i="33"/>
  <c r="J54" i="33"/>
  <c r="J91" i="38"/>
  <c r="J87" i="33"/>
  <c r="J42" i="38"/>
  <c r="J55" i="33"/>
  <c r="J44" i="38"/>
  <c r="J102" i="33"/>
  <c r="J70" i="33"/>
  <c r="J73" i="38"/>
  <c r="J100" i="33"/>
  <c r="J86" i="33"/>
  <c r="J92" i="38"/>
  <c r="J57" i="38"/>
  <c r="J84" i="33"/>
  <c r="J41" i="33"/>
  <c r="J76" i="38"/>
  <c r="J71" i="33"/>
  <c r="J57" i="33"/>
  <c r="J74" i="38"/>
  <c r="J58" i="38"/>
  <c r="J69" i="33"/>
  <c r="J72" i="33"/>
  <c r="J43" i="38"/>
  <c r="J107" i="38"/>
  <c r="J42" i="33"/>
  <c r="J39" i="33"/>
  <c r="J40" i="33"/>
  <c r="J89" i="38"/>
  <c r="J90" i="38"/>
  <c r="J85" i="33"/>
  <c r="J108" i="38"/>
  <c r="J101" i="33"/>
  <c r="J75" i="38"/>
  <c r="J60" i="38"/>
  <c r="J99" i="33"/>
  <c r="J106" i="38"/>
  <c r="J41" i="38"/>
  <c r="J105" i="38"/>
  <c r="J59" i="38"/>
  <c r="AK69" i="11"/>
  <c r="AK74" i="11"/>
  <c r="AK78" i="11" s="1"/>
  <c r="AK71" i="11"/>
  <c r="C65" i="65"/>
  <c r="C64" i="65" s="1"/>
  <c r="C63" i="65" s="1"/>
  <c r="C67" i="65"/>
  <c r="C68" i="65" s="1"/>
  <c r="C69" i="65" s="1"/>
  <c r="AH69" i="11"/>
  <c r="AH74" i="11"/>
  <c r="AH78" i="11" s="1"/>
  <c r="AH71" i="11"/>
  <c r="J19" i="51"/>
  <c r="I19" i="51"/>
  <c r="H19" i="51"/>
  <c r="C254" i="65"/>
  <c r="C252" i="65"/>
  <c r="AJ253" i="65"/>
  <c r="C11" i="19"/>
  <c r="E7" i="19"/>
  <c r="D7" i="19"/>
  <c r="D119" i="48"/>
  <c r="AE249" i="65"/>
  <c r="C120" i="65"/>
  <c r="C121" i="65" s="1"/>
  <c r="C122" i="65" s="1"/>
  <c r="C118" i="65"/>
  <c r="C117" i="65" s="1"/>
  <c r="C116" i="65" s="1"/>
  <c r="Q85" i="17"/>
  <c r="P46" i="9"/>
  <c r="P29" i="9"/>
  <c r="P35" i="9"/>
  <c r="P33" i="9"/>
  <c r="P32" i="9"/>
  <c r="P34" i="9"/>
  <c r="P30" i="9"/>
  <c r="R69" i="11"/>
  <c r="R74" i="11"/>
  <c r="R78" i="11" s="1"/>
  <c r="R71" i="11"/>
  <c r="H37" i="46"/>
  <c r="H67" i="46"/>
  <c r="H22" i="46"/>
  <c r="H52" i="46"/>
  <c r="H82" i="46"/>
  <c r="H97" i="46"/>
  <c r="H125" i="46"/>
  <c r="H97" i="59"/>
  <c r="H22" i="59"/>
  <c r="H82" i="59"/>
  <c r="H125" i="59"/>
  <c r="H112" i="59"/>
  <c r="H37" i="59"/>
  <c r="H52" i="59"/>
  <c r="H112" i="46"/>
  <c r="H67" i="59"/>
  <c r="K85" i="17"/>
  <c r="J46" i="9"/>
  <c r="J33" i="9"/>
  <c r="J34" i="9"/>
  <c r="J32" i="9"/>
  <c r="J35" i="9"/>
  <c r="J30" i="9"/>
  <c r="J29" i="9"/>
  <c r="G51" i="17"/>
  <c r="G76" i="17"/>
  <c r="G24" i="17"/>
  <c r="G27" i="17"/>
  <c r="G53" i="17"/>
  <c r="G26" i="17"/>
  <c r="G78" i="17"/>
  <c r="G75" i="17"/>
  <c r="G52" i="17"/>
  <c r="G28" i="17"/>
  <c r="G80" i="17"/>
  <c r="G77" i="17"/>
  <c r="G82" i="17"/>
  <c r="G79" i="17"/>
  <c r="G20" i="17"/>
  <c r="G81" i="17"/>
  <c r="G22" i="17"/>
  <c r="C267" i="65"/>
  <c r="C268" i="65" s="1"/>
  <c r="C269" i="65" s="1"/>
  <c r="C265" i="65"/>
  <c r="C264" i="65" s="1"/>
  <c r="C263" i="65" s="1"/>
  <c r="S9" i="46"/>
  <c r="S97" i="46"/>
  <c r="R67" i="59"/>
  <c r="R98" i="59"/>
  <c r="R112" i="59"/>
  <c r="S5" i="59"/>
  <c r="R1" i="59"/>
  <c r="R52" i="59" s="1"/>
  <c r="R38" i="59"/>
  <c r="R125" i="59"/>
  <c r="R126" i="59"/>
  <c r="R22" i="59"/>
  <c r="F13" i="2"/>
  <c r="F32" i="2"/>
  <c r="F55" i="2"/>
  <c r="F71" i="2"/>
  <c r="F53" i="2"/>
  <c r="F113" i="2"/>
  <c r="D141" i="2" s="1"/>
  <c r="F141" i="2" s="1"/>
  <c r="D165" i="2" s="1"/>
  <c r="H50" i="17"/>
  <c r="N83" i="17"/>
  <c r="J97" i="46"/>
  <c r="X79" i="11"/>
  <c r="R102" i="33"/>
  <c r="R41" i="33"/>
  <c r="L48" i="2"/>
  <c r="L18" i="2"/>
  <c r="L74" i="2"/>
  <c r="L109" i="2"/>
  <c r="L111" i="2"/>
  <c r="M126" i="46"/>
  <c r="M5" i="52"/>
  <c r="M113" i="46"/>
  <c r="M98" i="46"/>
  <c r="M67" i="46"/>
  <c r="M38" i="46"/>
  <c r="M9" i="46"/>
  <c r="M8" i="46"/>
  <c r="M97" i="46"/>
  <c r="M23" i="46"/>
  <c r="M125" i="46"/>
  <c r="M52" i="46"/>
  <c r="M22" i="46"/>
  <c r="M37" i="46"/>
  <c r="N5" i="46"/>
  <c r="M1" i="46"/>
  <c r="M82" i="46" s="1"/>
  <c r="L126" i="46"/>
  <c r="R53" i="46"/>
  <c r="R92" i="38"/>
  <c r="H24" i="51"/>
  <c r="J24" i="51"/>
  <c r="I24" i="51"/>
  <c r="M126" i="59"/>
  <c r="M98" i="59"/>
  <c r="M83" i="59"/>
  <c r="M37" i="59"/>
  <c r="N5" i="59"/>
  <c r="M1" i="59"/>
  <c r="M125" i="59" s="1"/>
  <c r="M112" i="59"/>
  <c r="M82" i="59"/>
  <c r="M52" i="59"/>
  <c r="M97" i="59"/>
  <c r="M67" i="59"/>
  <c r="M38" i="59"/>
  <c r="M8" i="59"/>
  <c r="M9" i="59"/>
  <c r="I38" i="59"/>
  <c r="L21" i="17"/>
  <c r="L20" i="17"/>
  <c r="L51" i="17"/>
  <c r="L22" i="17"/>
  <c r="L76" i="17"/>
  <c r="L53" i="17"/>
  <c r="L24" i="17"/>
  <c r="L78" i="17"/>
  <c r="L80" i="17"/>
  <c r="L75" i="17"/>
  <c r="L82" i="17"/>
  <c r="L77" i="17"/>
  <c r="L26" i="17"/>
  <c r="L79" i="17"/>
  <c r="L81" i="17"/>
  <c r="L27" i="17"/>
  <c r="L28" i="17"/>
  <c r="L25" i="17"/>
  <c r="L52" i="17"/>
  <c r="M38" i="33"/>
  <c r="C198" i="65"/>
  <c r="C197" i="65" s="1"/>
  <c r="C196" i="65" s="1"/>
  <c r="C200" i="65"/>
  <c r="C201" i="65" s="1"/>
  <c r="C202" i="65" s="1"/>
  <c r="AP71" i="11"/>
  <c r="AP69" i="11"/>
  <c r="AP74" i="11"/>
  <c r="AP78" i="11" s="1"/>
  <c r="I51" i="17"/>
  <c r="I80" i="17"/>
  <c r="I52" i="17"/>
  <c r="I22" i="17"/>
  <c r="I23" i="17"/>
  <c r="I53" i="17"/>
  <c r="I75" i="17"/>
  <c r="I77" i="17"/>
  <c r="I27" i="17"/>
  <c r="I76" i="17"/>
  <c r="I79" i="17"/>
  <c r="I28" i="17"/>
  <c r="I78" i="17"/>
  <c r="I24" i="17"/>
  <c r="I81" i="17"/>
  <c r="I26" i="17"/>
  <c r="I21" i="17"/>
  <c r="I82" i="17"/>
  <c r="T98" i="33"/>
  <c r="T68" i="33"/>
  <c r="T53" i="33"/>
  <c r="T1" i="33"/>
  <c r="T8" i="33"/>
  <c r="T83" i="33"/>
  <c r="T38" i="33"/>
  <c r="U5" i="33"/>
  <c r="AT71" i="11"/>
  <c r="AT69" i="11"/>
  <c r="AT74" i="11"/>
  <c r="AT78" i="11" s="1"/>
  <c r="Q57" i="38"/>
  <c r="Q76" i="38"/>
  <c r="Q69" i="33"/>
  <c r="Q55" i="33"/>
  <c r="Q84" i="33"/>
  <c r="Q72" i="33"/>
  <c r="Q91" i="38"/>
  <c r="Q70" i="33"/>
  <c r="Q40" i="33"/>
  <c r="Q41" i="33"/>
  <c r="Q73" i="38"/>
  <c r="Q105" i="38"/>
  <c r="Q39" i="33"/>
  <c r="Q24" i="33" s="1"/>
  <c r="Q89" i="38"/>
  <c r="Q41" i="38"/>
  <c r="Q87" i="33"/>
  <c r="Q44" i="38"/>
  <c r="Q59" i="38"/>
  <c r="Q86" i="33"/>
  <c r="Q75" i="38"/>
  <c r="Q106" i="38"/>
  <c r="Q92" i="38"/>
  <c r="Q42" i="33"/>
  <c r="Q74" i="38"/>
  <c r="Q102" i="33"/>
  <c r="Q71" i="33"/>
  <c r="Q99" i="33"/>
  <c r="Q101" i="33"/>
  <c r="Q43" i="38"/>
  <c r="Q27" i="38" s="1"/>
  <c r="J89" i="39" s="1"/>
  <c r="Q56" i="33"/>
  <c r="Q57" i="33"/>
  <c r="Q54" i="33"/>
  <c r="Q60" i="38"/>
  <c r="Q100" i="33"/>
  <c r="Q85" i="33"/>
  <c r="Q58" i="38"/>
  <c r="Q108" i="38"/>
  <c r="Q42" i="38"/>
  <c r="Q26" i="38" s="1"/>
  <c r="J88" i="39" s="1"/>
  <c r="Q90" i="38"/>
  <c r="Q107" i="38"/>
  <c r="AQ71" i="11"/>
  <c r="AQ69" i="11"/>
  <c r="AQ74" i="11"/>
  <c r="AQ78" i="11" s="1"/>
  <c r="AE71" i="11"/>
  <c r="AE69" i="11"/>
  <c r="AE74" i="11"/>
  <c r="AE78" i="11" s="1"/>
  <c r="F31" i="31"/>
  <c r="K97" i="46"/>
  <c r="K22" i="46"/>
  <c r="K82" i="46"/>
  <c r="K22" i="59"/>
  <c r="K52" i="46"/>
  <c r="K67" i="59"/>
  <c r="H68" i="59"/>
  <c r="H38" i="59"/>
  <c r="H23" i="59"/>
  <c r="H113" i="46"/>
  <c r="H68" i="46"/>
  <c r="H23" i="46"/>
  <c r="H83" i="46"/>
  <c r="H53" i="46"/>
  <c r="H126" i="46"/>
  <c r="H98" i="46"/>
  <c r="H98" i="59"/>
  <c r="H38" i="46"/>
  <c r="H53" i="59"/>
  <c r="H126" i="59"/>
  <c r="H113" i="59"/>
  <c r="H83" i="59"/>
  <c r="C280" i="65"/>
  <c r="C281" i="65" s="1"/>
  <c r="C282" i="65" s="1"/>
  <c r="C278" i="65"/>
  <c r="C277" i="65" s="1"/>
  <c r="C276" i="65" s="1"/>
  <c r="S112" i="46"/>
  <c r="S126" i="46"/>
  <c r="Q52" i="59"/>
  <c r="L83" i="17"/>
  <c r="P85" i="17"/>
  <c r="O46" i="9"/>
  <c r="O32" i="9"/>
  <c r="O29" i="9"/>
  <c r="O31" i="9"/>
  <c r="O35" i="9"/>
  <c r="O30" i="9"/>
  <c r="O34" i="9"/>
  <c r="O33" i="9"/>
  <c r="Q28" i="9"/>
  <c r="F120" i="48"/>
  <c r="N60" i="17"/>
  <c r="S83" i="17"/>
  <c r="I14" i="51"/>
  <c r="J14" i="51"/>
  <c r="H14" i="51"/>
  <c r="M81" i="17"/>
  <c r="M28" i="17"/>
  <c r="M21" i="17"/>
  <c r="M23" i="17"/>
  <c r="M52" i="17"/>
  <c r="M25" i="17"/>
  <c r="M20" i="17"/>
  <c r="M53" i="17"/>
  <c r="M27" i="17"/>
  <c r="M22" i="17"/>
  <c r="M76" i="17"/>
  <c r="M78" i="17"/>
  <c r="M24" i="17"/>
  <c r="M80" i="17"/>
  <c r="M75" i="17"/>
  <c r="M82" i="17"/>
  <c r="M77" i="17"/>
  <c r="M26" i="17"/>
  <c r="M51" i="17"/>
  <c r="M79" i="17"/>
  <c r="R71" i="33"/>
  <c r="R70" i="33"/>
  <c r="I25" i="51"/>
  <c r="J25" i="51"/>
  <c r="H25" i="51"/>
  <c r="L13" i="2"/>
  <c r="L23" i="2"/>
  <c r="L101" i="2"/>
  <c r="L106" i="2"/>
  <c r="L51" i="2"/>
  <c r="L38" i="46"/>
  <c r="L98" i="46"/>
  <c r="R37" i="46"/>
  <c r="R107" i="38"/>
  <c r="L52" i="59"/>
  <c r="N48" i="2"/>
  <c r="E29" i="2"/>
  <c r="D122" i="2" s="1"/>
  <c r="I53" i="59"/>
  <c r="E114" i="48"/>
  <c r="E113" i="37"/>
  <c r="F124" i="48"/>
  <c r="AC249" i="65"/>
  <c r="F249" i="65"/>
  <c r="T69" i="11"/>
  <c r="T74" i="11"/>
  <c r="T78" i="11" s="1"/>
  <c r="T71" i="11"/>
  <c r="K125" i="46"/>
  <c r="S53" i="46"/>
  <c r="AF249" i="65"/>
  <c r="C54" i="65"/>
  <c r="C55" i="65" s="1"/>
  <c r="C56" i="65" s="1"/>
  <c r="C52" i="65"/>
  <c r="C51" i="65" s="1"/>
  <c r="C50" i="65" s="1"/>
  <c r="C132" i="65"/>
  <c r="C131" i="65" s="1"/>
  <c r="C130" i="65" s="1"/>
  <c r="C134" i="65"/>
  <c r="C135" i="65" s="1"/>
  <c r="C136" i="65" s="1"/>
  <c r="Q83" i="17"/>
  <c r="H25" i="17"/>
  <c r="S24" i="17"/>
  <c r="M71" i="33"/>
  <c r="M69" i="33"/>
  <c r="M42" i="33"/>
  <c r="M40" i="33"/>
  <c r="M102" i="33"/>
  <c r="M85" i="33"/>
  <c r="M12" i="33"/>
  <c r="M101" i="33"/>
  <c r="M100" i="33"/>
  <c r="M99" i="33"/>
  <c r="M56" i="33"/>
  <c r="M54" i="33"/>
  <c r="M87" i="33"/>
  <c r="M55" i="33"/>
  <c r="M10" i="33"/>
  <c r="M39" i="33"/>
  <c r="M57" i="33"/>
  <c r="M41" i="33"/>
  <c r="M26" i="33" s="1"/>
  <c r="M84" i="33"/>
  <c r="M9" i="33"/>
  <c r="M70" i="33"/>
  <c r="M86" i="33"/>
  <c r="M11" i="33"/>
  <c r="M72" i="33"/>
  <c r="S28" i="17"/>
  <c r="K31" i="11"/>
  <c r="Q35" i="35"/>
  <c r="C292" i="65"/>
  <c r="C291" i="65" s="1"/>
  <c r="C290" i="65" s="1"/>
  <c r="C294" i="65"/>
  <c r="C295" i="65" s="1"/>
  <c r="C296" i="65" s="1"/>
  <c r="S8" i="46"/>
  <c r="S83" i="46"/>
  <c r="Q126" i="59"/>
  <c r="S85" i="17"/>
  <c r="R46" i="9"/>
  <c r="R30" i="9"/>
  <c r="I50" i="17"/>
  <c r="R42" i="33"/>
  <c r="R72" i="33"/>
  <c r="Y79" i="11"/>
  <c r="L16" i="2"/>
  <c r="L34" i="2"/>
  <c r="L42" i="2"/>
  <c r="L79" i="2"/>
  <c r="L43" i="2"/>
  <c r="L64" i="2"/>
  <c r="H113" i="2"/>
  <c r="K113" i="2"/>
  <c r="L37" i="46"/>
  <c r="R67" i="46"/>
  <c r="R125" i="46"/>
  <c r="R108" i="38"/>
  <c r="L53" i="59"/>
  <c r="I22" i="59"/>
  <c r="Z71" i="11"/>
  <c r="Z69" i="11"/>
  <c r="Z74" i="11"/>
  <c r="Z78" i="11" s="1"/>
  <c r="W74" i="11"/>
  <c r="W78" i="11" s="1"/>
  <c r="W69" i="11"/>
  <c r="O23" i="46"/>
  <c r="O126" i="46"/>
  <c r="O83" i="59"/>
  <c r="O98" i="59"/>
  <c r="O126" i="59"/>
  <c r="O113" i="46"/>
  <c r="O68" i="46"/>
  <c r="O83" i="46"/>
  <c r="O113" i="59"/>
  <c r="O53" i="46"/>
  <c r="O68" i="59"/>
  <c r="O38" i="46"/>
  <c r="O98" i="46"/>
  <c r="O53" i="59"/>
  <c r="O38" i="59"/>
  <c r="O23" i="59"/>
  <c r="G129" i="65"/>
  <c r="AD129" i="65"/>
  <c r="I129" i="65"/>
  <c r="C307" i="65"/>
  <c r="C308" i="65" s="1"/>
  <c r="C309" i="65" s="1"/>
  <c r="C305" i="65"/>
  <c r="C304" i="65" s="1"/>
  <c r="C303" i="65" s="1"/>
  <c r="P69" i="11"/>
  <c r="P74" i="11"/>
  <c r="P78" i="11" s="1"/>
  <c r="J12" i="51"/>
  <c r="H12" i="51"/>
  <c r="I12" i="51"/>
  <c r="M40" i="17"/>
  <c r="S125" i="46"/>
  <c r="I60" i="17"/>
  <c r="J60" i="17"/>
  <c r="L108" i="38"/>
  <c r="L75" i="38"/>
  <c r="L73" i="38"/>
  <c r="L44" i="38"/>
  <c r="L42" i="38"/>
  <c r="L107" i="38"/>
  <c r="L74" i="38"/>
  <c r="L12" i="38"/>
  <c r="L90" i="38"/>
  <c r="L59" i="38"/>
  <c r="L89" i="38"/>
  <c r="L76" i="38"/>
  <c r="L41" i="38"/>
  <c r="L58" i="38"/>
  <c r="L106" i="38"/>
  <c r="L11" i="38"/>
  <c r="L57" i="38"/>
  <c r="L10" i="38"/>
  <c r="L9" i="38"/>
  <c r="L92" i="38"/>
  <c r="L105" i="38"/>
  <c r="L60" i="38"/>
  <c r="L43" i="38"/>
  <c r="L91" i="38"/>
  <c r="R85" i="33"/>
  <c r="R84" i="33"/>
  <c r="R38" i="46"/>
  <c r="L67" i="46"/>
  <c r="R52" i="46"/>
  <c r="R57" i="38"/>
  <c r="L67" i="59"/>
  <c r="N101" i="2"/>
  <c r="E101" i="2" s="1"/>
  <c r="D125" i="2" s="1"/>
  <c r="F125" i="2" s="1"/>
  <c r="E79" i="2"/>
  <c r="I67" i="59"/>
  <c r="M120" i="48"/>
  <c r="L22" i="46"/>
  <c r="M119" i="48"/>
  <c r="R43" i="38"/>
  <c r="L82" i="59"/>
  <c r="Z102" i="2"/>
  <c r="H48" i="2"/>
  <c r="J98" i="59"/>
  <c r="J38" i="46"/>
  <c r="J83" i="59"/>
  <c r="J53" i="59"/>
  <c r="J23" i="59"/>
  <c r="J98" i="46"/>
  <c r="J126" i="59"/>
  <c r="J113" i="59"/>
  <c r="J68" i="59"/>
  <c r="J38" i="59"/>
  <c r="M53" i="33"/>
  <c r="N102" i="11"/>
  <c r="M102" i="11"/>
  <c r="K66" i="8"/>
  <c r="C227" i="65"/>
  <c r="C228" i="65" s="1"/>
  <c r="C229" i="65" s="1"/>
  <c r="C225" i="65"/>
  <c r="C224" i="65" s="1"/>
  <c r="C223" i="65" s="1"/>
  <c r="C320" i="65"/>
  <c r="C321" i="65" s="1"/>
  <c r="C322" i="65" s="1"/>
  <c r="C318" i="65"/>
  <c r="C317" i="65" s="1"/>
  <c r="C316" i="65" s="1"/>
  <c r="H52" i="17"/>
  <c r="H22" i="17"/>
  <c r="H26" i="17"/>
  <c r="H75" i="17"/>
  <c r="H77" i="17"/>
  <c r="H79" i="17"/>
  <c r="H27" i="17"/>
  <c r="H81" i="17"/>
  <c r="H24" i="17"/>
  <c r="H76" i="17"/>
  <c r="H28" i="17"/>
  <c r="H78" i="17"/>
  <c r="H80" i="17"/>
  <c r="H51" i="17"/>
  <c r="H21" i="17"/>
  <c r="H82" i="17"/>
  <c r="H23" i="17"/>
  <c r="H53" i="17"/>
  <c r="T5" i="52"/>
  <c r="T97" i="46"/>
  <c r="T125" i="46"/>
  <c r="T83" i="46"/>
  <c r="U5" i="46"/>
  <c r="T126" i="46"/>
  <c r="T98" i="46"/>
  <c r="T22" i="46"/>
  <c r="T68" i="46"/>
  <c r="T53" i="46"/>
  <c r="T23" i="46"/>
  <c r="T1" i="46"/>
  <c r="T52" i="46" s="1"/>
  <c r="T8" i="46"/>
  <c r="T112" i="46"/>
  <c r="T82" i="46"/>
  <c r="T9" i="46"/>
  <c r="T38" i="46"/>
  <c r="I67" i="46"/>
  <c r="I97" i="46"/>
  <c r="I37" i="59"/>
  <c r="I82" i="46"/>
  <c r="N98" i="33"/>
  <c r="N68" i="33"/>
  <c r="N83" i="33"/>
  <c r="N38" i="33"/>
  <c r="O5" i="33"/>
  <c r="N53" i="33"/>
  <c r="N8" i="33"/>
  <c r="N1" i="33"/>
  <c r="O85" i="17"/>
  <c r="N46" i="9"/>
  <c r="N30" i="9"/>
  <c r="N25" i="9"/>
  <c r="O86" i="17" s="1"/>
  <c r="N35" i="9"/>
  <c r="N31" i="9"/>
  <c r="N34" i="9"/>
  <c r="N29" i="9"/>
  <c r="N32" i="9"/>
  <c r="N33" i="9"/>
  <c r="K53" i="8"/>
  <c r="K46" i="9"/>
  <c r="L85" i="17"/>
  <c r="K32" i="9"/>
  <c r="K34" i="9"/>
  <c r="K33" i="9"/>
  <c r="K35" i="9"/>
  <c r="K30" i="9"/>
  <c r="K29" i="9"/>
  <c r="C214" i="65"/>
  <c r="C215" i="65" s="1"/>
  <c r="C216" i="65" s="1"/>
  <c r="C212" i="65"/>
  <c r="C211" i="65" s="1"/>
  <c r="C210" i="65" s="1"/>
  <c r="AI69" i="11"/>
  <c r="AI74" i="11"/>
  <c r="AI78" i="11" s="1"/>
  <c r="AI71" i="11"/>
  <c r="S23" i="46"/>
  <c r="J26" i="51"/>
  <c r="H26" i="51"/>
  <c r="I26" i="51"/>
  <c r="L113" i="46"/>
  <c r="R83" i="46"/>
  <c r="K48" i="2"/>
  <c r="U102" i="2"/>
  <c r="R58" i="38"/>
  <c r="J113" i="46"/>
  <c r="L112" i="59"/>
  <c r="I52" i="59"/>
  <c r="K26" i="33"/>
  <c r="K104" i="38"/>
  <c r="L60" i="17"/>
  <c r="AJ69" i="11"/>
  <c r="AJ74" i="11"/>
  <c r="AJ78" i="11" s="1"/>
  <c r="AJ71" i="11"/>
  <c r="Q69" i="11"/>
  <c r="Q74" i="11"/>
  <c r="Q78" i="11" s="1"/>
  <c r="R69" i="33"/>
  <c r="C107" i="65"/>
  <c r="C108" i="65" s="1"/>
  <c r="C109" i="65" s="1"/>
  <c r="C105" i="65"/>
  <c r="C104" i="65" s="1"/>
  <c r="C103" i="65" s="1"/>
  <c r="L25" i="33"/>
  <c r="Q52" i="46"/>
  <c r="Q37" i="46"/>
  <c r="Q67" i="46"/>
  <c r="Q82" i="46"/>
  <c r="Q112" i="46"/>
  <c r="Q22" i="46"/>
  <c r="M98" i="33"/>
  <c r="O25" i="9"/>
  <c r="P86" i="17" s="1"/>
  <c r="AK5" i="11"/>
  <c r="C240" i="65"/>
  <c r="C241" i="65" s="1"/>
  <c r="C242" i="65" s="1"/>
  <c r="C238" i="65"/>
  <c r="C237" i="65" s="1"/>
  <c r="C236" i="65" s="1"/>
  <c r="H20" i="17"/>
  <c r="K112" i="46"/>
  <c r="S82" i="46"/>
  <c r="F26" i="2"/>
  <c r="F101" i="2"/>
  <c r="D137" i="2" s="1"/>
  <c r="F137" i="2" s="1"/>
  <c r="F92" i="2"/>
  <c r="F51" i="2"/>
  <c r="F91" i="2"/>
  <c r="F111" i="2"/>
  <c r="AC71" i="11"/>
  <c r="AC69" i="11"/>
  <c r="AC74" i="11"/>
  <c r="AC78" i="11" s="1"/>
  <c r="K51" i="17"/>
  <c r="K24" i="17"/>
  <c r="K22" i="17"/>
  <c r="K53" i="17"/>
  <c r="K26" i="17"/>
  <c r="K76" i="17"/>
  <c r="K75" i="17"/>
  <c r="K78" i="17"/>
  <c r="K79" i="17"/>
  <c r="K28" i="17"/>
  <c r="K77" i="17"/>
  <c r="K80" i="17"/>
  <c r="K81" i="17"/>
  <c r="K82" i="17"/>
  <c r="K27" i="17"/>
  <c r="K21" i="17"/>
  <c r="K52" i="17"/>
  <c r="AD71" i="11"/>
  <c r="AD69" i="11"/>
  <c r="AD74" i="11"/>
  <c r="AD78" i="11" s="1"/>
  <c r="AO71" i="11"/>
  <c r="AO69" i="11"/>
  <c r="AO74" i="11"/>
  <c r="AO78" i="11" s="1"/>
  <c r="S56" i="38"/>
  <c r="H22" i="51"/>
  <c r="J22" i="51"/>
  <c r="I22" i="51"/>
  <c r="C35" i="51"/>
  <c r="C28" i="51"/>
  <c r="L72" i="38"/>
  <c r="R87" i="33"/>
  <c r="N24" i="17"/>
  <c r="N22" i="17"/>
  <c r="N52" i="17"/>
  <c r="N78" i="17"/>
  <c r="N51" i="17"/>
  <c r="N53" i="17"/>
  <c r="N80" i="17"/>
  <c r="N25" i="17"/>
  <c r="N82" i="17"/>
  <c r="N75" i="17"/>
  <c r="N26" i="17"/>
  <c r="N27" i="17"/>
  <c r="N77" i="17"/>
  <c r="N79" i="17"/>
  <c r="N21" i="17"/>
  <c r="N81" i="17"/>
  <c r="N28" i="17"/>
  <c r="N23" i="17"/>
  <c r="N76" i="17"/>
  <c r="L24" i="2"/>
  <c r="L21" i="2"/>
  <c r="L84" i="2"/>
  <c r="L70" i="2"/>
  <c r="L96" i="2"/>
  <c r="L61" i="2"/>
  <c r="L68" i="46"/>
  <c r="R68" i="46"/>
  <c r="J82" i="46"/>
  <c r="L37" i="59"/>
  <c r="D159" i="2"/>
  <c r="K25" i="38"/>
  <c r="D87" i="39" s="1"/>
  <c r="D97" i="39"/>
  <c r="K28" i="38"/>
  <c r="K38" i="33"/>
  <c r="B195" i="61"/>
  <c r="C196" i="61"/>
  <c r="B196" i="61" s="1"/>
  <c r="D195" i="61"/>
  <c r="J15" i="51"/>
  <c r="I15" i="51"/>
  <c r="H15" i="51"/>
  <c r="M104" i="38"/>
  <c r="M88" i="38"/>
  <c r="M72" i="38"/>
  <c r="M8" i="38"/>
  <c r="M40" i="38"/>
  <c r="N5" i="38"/>
  <c r="M56" i="38"/>
  <c r="M1" i="38"/>
  <c r="R104" i="38"/>
  <c r="R98" i="33"/>
  <c r="R68" i="33"/>
  <c r="R38" i="33"/>
  <c r="R53" i="33"/>
  <c r="R88" i="38"/>
  <c r="R56" i="38"/>
  <c r="R72" i="38"/>
  <c r="R40" i="38"/>
  <c r="R83" i="33"/>
  <c r="S38" i="33"/>
  <c r="AN69" i="11"/>
  <c r="AN74" i="11"/>
  <c r="AN78" i="11" s="1"/>
  <c r="C145" i="65"/>
  <c r="C144" i="65" s="1"/>
  <c r="C143" i="65" s="1"/>
  <c r="C147" i="65"/>
  <c r="C148" i="65" s="1"/>
  <c r="C149" i="65" s="1"/>
  <c r="S102" i="33"/>
  <c r="S100" i="33"/>
  <c r="S99" i="33"/>
  <c r="S84" i="33"/>
  <c r="S72" i="33"/>
  <c r="S70" i="33"/>
  <c r="S41" i="33"/>
  <c r="S39" i="33"/>
  <c r="S87" i="33"/>
  <c r="S85" i="33"/>
  <c r="S57" i="33"/>
  <c r="S56" i="33"/>
  <c r="S40" i="33"/>
  <c r="S12" i="33"/>
  <c r="S9" i="33"/>
  <c r="S42" i="33"/>
  <c r="S69" i="33"/>
  <c r="S86" i="33"/>
  <c r="S11" i="33"/>
  <c r="S71" i="33"/>
  <c r="S101" i="33"/>
  <c r="S55" i="33"/>
  <c r="S54" i="33"/>
  <c r="S10" i="33"/>
  <c r="C80" i="65"/>
  <c r="C81" i="65" s="1"/>
  <c r="C82" i="65" s="1"/>
  <c r="C78" i="65"/>
  <c r="C77" i="65" s="1"/>
  <c r="C76" i="65" s="1"/>
  <c r="E116" i="48"/>
  <c r="E115" i="37"/>
  <c r="E123" i="37"/>
  <c r="L27" i="33"/>
  <c r="K40" i="17"/>
  <c r="I155" i="65"/>
  <c r="J155" i="65" s="1"/>
  <c r="K155" i="65" s="1"/>
  <c r="L155" i="65" s="1"/>
  <c r="G155" i="65"/>
  <c r="F155" i="65" s="1"/>
  <c r="E155" i="65" s="1"/>
  <c r="D155" i="65" s="1"/>
  <c r="I25" i="17"/>
  <c r="K67" i="46"/>
  <c r="S113" i="46"/>
  <c r="Q67" i="59"/>
  <c r="Q8" i="59"/>
  <c r="Q37" i="59"/>
  <c r="Q22" i="59"/>
  <c r="M100" i="11"/>
  <c r="N100" i="11"/>
  <c r="K67" i="8"/>
  <c r="C204" i="61"/>
  <c r="B204" i="61" s="1"/>
  <c r="B203" i="61"/>
  <c r="D203" i="61"/>
  <c r="M99" i="11"/>
  <c r="N99" i="11"/>
  <c r="K69" i="8"/>
  <c r="Q21" i="17"/>
  <c r="S108" i="38"/>
  <c r="S106" i="38"/>
  <c r="S107" i="38"/>
  <c r="S89" i="38"/>
  <c r="S58" i="38"/>
  <c r="S60" i="38"/>
  <c r="S42" i="38"/>
  <c r="S92" i="38"/>
  <c r="S73" i="38"/>
  <c r="S59" i="38"/>
  <c r="S74" i="38"/>
  <c r="S41" i="38"/>
  <c r="S105" i="38"/>
  <c r="S90" i="38"/>
  <c r="S43" i="38"/>
  <c r="S75" i="38"/>
  <c r="S12" i="38"/>
  <c r="S44" i="38"/>
  <c r="S91" i="38"/>
  <c r="S76" i="38"/>
  <c r="S11" i="38"/>
  <c r="S10" i="38"/>
  <c r="S57" i="38"/>
  <c r="S9" i="38"/>
  <c r="K82" i="59"/>
  <c r="L88" i="38"/>
  <c r="R56" i="33"/>
  <c r="AB79" i="11"/>
  <c r="L76" i="2"/>
  <c r="L99" i="2"/>
  <c r="L104" i="2"/>
  <c r="L125" i="46"/>
  <c r="L9" i="59"/>
  <c r="R113" i="46"/>
  <c r="R41" i="38"/>
  <c r="R25" i="38" s="1"/>
  <c r="K87" i="39" s="1"/>
  <c r="J68" i="46"/>
  <c r="L68" i="59"/>
  <c r="I68" i="59"/>
  <c r="K27" i="38"/>
  <c r="D89" i="39" s="1"/>
  <c r="K98" i="33"/>
  <c r="E127" i="37"/>
  <c r="I142" i="65"/>
  <c r="J142" i="65" s="1"/>
  <c r="K142" i="65" s="1"/>
  <c r="L142" i="65" s="1"/>
  <c r="G142" i="65"/>
  <c r="F142" i="65" s="1"/>
  <c r="E142" i="65" s="1"/>
  <c r="D142" i="65" s="1"/>
  <c r="V79" i="11"/>
  <c r="L112" i="46"/>
  <c r="AA79" i="11"/>
  <c r="K112" i="59"/>
  <c r="E119" i="48"/>
  <c r="L83" i="59"/>
  <c r="I83" i="59"/>
  <c r="L68" i="33"/>
  <c r="O114" i="2"/>
  <c r="Q71" i="11" s="1"/>
  <c r="K40" i="38"/>
  <c r="F369" i="65"/>
  <c r="AC369" i="65"/>
  <c r="Q23" i="17"/>
  <c r="S26" i="17"/>
  <c r="E8" i="9"/>
  <c r="K8" i="8"/>
  <c r="K8" i="18"/>
  <c r="F329" i="65"/>
  <c r="AC329" i="65"/>
  <c r="AL74" i="11"/>
  <c r="AL78" i="11" s="1"/>
  <c r="AL71" i="11"/>
  <c r="AL69" i="11"/>
  <c r="S21" i="17"/>
  <c r="S72" i="38"/>
  <c r="J20" i="51"/>
  <c r="I20" i="51"/>
  <c r="H20" i="51"/>
  <c r="D120" i="48"/>
  <c r="L56" i="38"/>
  <c r="R99" i="33"/>
  <c r="L56" i="2"/>
  <c r="L78" i="2"/>
  <c r="L52" i="2"/>
  <c r="L67" i="2"/>
  <c r="L36" i="2"/>
  <c r="L110" i="2"/>
  <c r="L23" i="46"/>
  <c r="K125" i="59"/>
  <c r="R91" i="38"/>
  <c r="R90" i="38"/>
  <c r="L98" i="59"/>
  <c r="I82" i="59"/>
  <c r="L53" i="33"/>
  <c r="K72" i="38"/>
  <c r="J369" i="65"/>
  <c r="AE369" i="65"/>
  <c r="L329" i="65"/>
  <c r="AH329" i="65" s="1"/>
  <c r="AG329" i="65"/>
  <c r="S40" i="38"/>
  <c r="S83" i="33"/>
  <c r="N13" i="65"/>
  <c r="C14" i="65"/>
  <c r="C12" i="65"/>
  <c r="J97" i="59"/>
  <c r="J67" i="59"/>
  <c r="J112" i="59"/>
  <c r="J82" i="59"/>
  <c r="J125" i="46"/>
  <c r="J37" i="59"/>
  <c r="J112" i="46"/>
  <c r="J125" i="59"/>
  <c r="J22" i="59"/>
  <c r="J52" i="59"/>
  <c r="Q31" i="9"/>
  <c r="AD89" i="65"/>
  <c r="AN89" i="65"/>
  <c r="I89" i="65"/>
  <c r="G89" i="65"/>
  <c r="L120" i="48"/>
  <c r="C84" i="64"/>
  <c r="E84" i="64" s="1"/>
  <c r="E111" i="64"/>
  <c r="S37" i="46"/>
  <c r="Q125" i="59"/>
  <c r="F9" i="2"/>
  <c r="F59" i="2"/>
  <c r="F57" i="2"/>
  <c r="F46" i="2"/>
  <c r="F29" i="2"/>
  <c r="D134" i="2" s="1"/>
  <c r="F134" i="2" s="1"/>
  <c r="F84" i="2"/>
  <c r="S88" i="38"/>
  <c r="I112" i="46"/>
  <c r="L40" i="38"/>
  <c r="R101" i="33"/>
  <c r="R82" i="46"/>
  <c r="R98" i="46"/>
  <c r="J126" i="46"/>
  <c r="L91" i="2"/>
  <c r="L14" i="2"/>
  <c r="L66" i="2"/>
  <c r="L63" i="2"/>
  <c r="L58" i="2"/>
  <c r="L53" i="2"/>
  <c r="L8" i="46"/>
  <c r="K52" i="59"/>
  <c r="R106" i="38"/>
  <c r="R105" i="38"/>
  <c r="J23" i="46"/>
  <c r="L113" i="59"/>
  <c r="I112" i="59"/>
  <c r="L83" i="33"/>
  <c r="K24" i="33"/>
  <c r="K83" i="33"/>
  <c r="L119" i="48"/>
  <c r="S67" i="46"/>
  <c r="S68" i="33"/>
  <c r="C27" i="65"/>
  <c r="C28" i="65" s="1"/>
  <c r="C29" i="65" s="1"/>
  <c r="C25" i="65"/>
  <c r="C24" i="65" s="1"/>
  <c r="C23" i="65" s="1"/>
  <c r="Q36" i="35"/>
  <c r="S98" i="33"/>
  <c r="N93" i="65"/>
  <c r="C92" i="65"/>
  <c r="C94" i="65"/>
  <c r="U69" i="11"/>
  <c r="U74" i="11"/>
  <c r="U78" i="11" s="1"/>
  <c r="U71" i="11"/>
  <c r="U18" i="52"/>
  <c r="S18" i="52"/>
  <c r="AA17" i="52"/>
  <c r="K17" i="52"/>
  <c r="S16" i="52"/>
  <c r="R18" i="52"/>
  <c r="Z17" i="52"/>
  <c r="J17" i="52"/>
  <c r="R16" i="52"/>
  <c r="O18" i="52"/>
  <c r="Y18" i="52"/>
  <c r="C18" i="52"/>
  <c r="I17" i="52"/>
  <c r="O16" i="52"/>
  <c r="X18" i="52"/>
  <c r="AB17" i="52"/>
  <c r="H17" i="52"/>
  <c r="N16" i="52"/>
  <c r="W18" i="52"/>
  <c r="Y17" i="52"/>
  <c r="F17" i="52"/>
  <c r="M16" i="52"/>
  <c r="V18" i="52"/>
  <c r="X17" i="52"/>
  <c r="D17" i="52"/>
  <c r="L16" i="52"/>
  <c r="AB127" i="59"/>
  <c r="T18" i="52"/>
  <c r="W17" i="52"/>
  <c r="C17" i="52"/>
  <c r="K16" i="52"/>
  <c r="AB84" i="59"/>
  <c r="Q18" i="52"/>
  <c r="V17" i="52"/>
  <c r="AB16" i="52"/>
  <c r="J16" i="52"/>
  <c r="N18" i="52"/>
  <c r="T17" i="52"/>
  <c r="L18" i="52"/>
  <c r="K18" i="52"/>
  <c r="Q17" i="52"/>
  <c r="I16" i="52"/>
  <c r="P17" i="52"/>
  <c r="H16" i="52"/>
  <c r="O17" i="52"/>
  <c r="F16" i="52"/>
  <c r="AB24" i="59"/>
  <c r="AB18" i="52"/>
  <c r="N17" i="52"/>
  <c r="D16" i="52"/>
  <c r="AB99" i="59"/>
  <c r="AB84" i="46"/>
  <c r="AA18" i="52"/>
  <c r="M17" i="52"/>
  <c r="C16" i="52"/>
  <c r="AB39" i="46"/>
  <c r="Z18" i="52"/>
  <c r="L17" i="52"/>
  <c r="P18" i="52"/>
  <c r="AA16" i="52"/>
  <c r="AB114" i="59"/>
  <c r="AB69" i="59"/>
  <c r="M18" i="52"/>
  <c r="Z16" i="52"/>
  <c r="I18" i="52"/>
  <c r="X16" i="52"/>
  <c r="H18" i="52"/>
  <c r="W16" i="52"/>
  <c r="F18" i="52"/>
  <c r="V16" i="52"/>
  <c r="D18" i="52"/>
  <c r="U16" i="52"/>
  <c r="U17" i="52"/>
  <c r="T16" i="52"/>
  <c r="S17" i="52"/>
  <c r="Q16" i="52"/>
  <c r="R17" i="52"/>
  <c r="P16" i="52"/>
  <c r="AB39" i="59"/>
  <c r="AB99" i="46"/>
  <c r="AB127" i="46"/>
  <c r="AB114" i="46"/>
  <c r="J18" i="52"/>
  <c r="Y16" i="52"/>
  <c r="AB54" i="59"/>
  <c r="AB69" i="46"/>
  <c r="AB24" i="46"/>
  <c r="AB54" i="46"/>
  <c r="O52" i="46"/>
  <c r="O67" i="46"/>
  <c r="O82" i="46"/>
  <c r="O67" i="59"/>
  <c r="O97" i="46"/>
  <c r="O112" i="46"/>
  <c r="O125" i="46"/>
  <c r="O22" i="46"/>
  <c r="O37" i="59"/>
  <c r="O82" i="59"/>
  <c r="O112" i="59"/>
  <c r="O97" i="59"/>
  <c r="O37" i="46"/>
  <c r="O52" i="59"/>
  <c r="O22" i="59"/>
  <c r="O125" i="59"/>
  <c r="C172" i="65"/>
  <c r="C174" i="65"/>
  <c r="AJ173" i="65"/>
  <c r="S22" i="46"/>
  <c r="Q82" i="59"/>
  <c r="C232" i="63"/>
  <c r="B232" i="63" s="1"/>
  <c r="B231" i="63"/>
  <c r="D231" i="63"/>
  <c r="H85" i="17"/>
  <c r="G35" i="9"/>
  <c r="E43" i="17"/>
  <c r="K46" i="11"/>
  <c r="K32" i="8"/>
  <c r="K30" i="18"/>
  <c r="I125" i="46"/>
  <c r="K58" i="8"/>
  <c r="J13" i="51"/>
  <c r="I13" i="51"/>
  <c r="H13" i="51"/>
  <c r="R54" i="33"/>
  <c r="K97" i="59"/>
  <c r="L9" i="2"/>
  <c r="L27" i="2"/>
  <c r="L93" i="2"/>
  <c r="L83" i="2"/>
  <c r="L71" i="2"/>
  <c r="L73" i="2"/>
  <c r="L46" i="9"/>
  <c r="L97" i="46"/>
  <c r="R42" i="38"/>
  <c r="R26" i="38" s="1"/>
  <c r="K88" i="39" s="1"/>
  <c r="J22" i="46"/>
  <c r="L126" i="59"/>
  <c r="I98" i="59"/>
  <c r="L38" i="33"/>
  <c r="K88" i="38"/>
  <c r="AG69" i="11"/>
  <c r="AG74" i="11"/>
  <c r="AG78" i="11" s="1"/>
  <c r="AG71" i="11"/>
  <c r="W9" i="65"/>
  <c r="BS355" i="65"/>
  <c r="BG275" i="65"/>
  <c r="DC275" i="65"/>
  <c r="CQ195" i="65"/>
  <c r="BM35" i="65"/>
  <c r="CK115" i="65"/>
  <c r="CK355" i="65"/>
  <c r="BY275" i="65"/>
  <c r="BM195" i="65"/>
  <c r="CE35" i="65"/>
  <c r="BG115" i="65"/>
  <c r="DC115" i="65"/>
  <c r="BG355" i="65"/>
  <c r="DC355" i="65"/>
  <c r="CQ275" i="65"/>
  <c r="CE195" i="65"/>
  <c r="CW35" i="65"/>
  <c r="BY115" i="65"/>
  <c r="BY355" i="65"/>
  <c r="BM275" i="65"/>
  <c r="CW195" i="65"/>
  <c r="BS35" i="65"/>
  <c r="CQ115" i="65"/>
  <c r="CQ355" i="65"/>
  <c r="CE275" i="65"/>
  <c r="BS195" i="65"/>
  <c r="CK35" i="65"/>
  <c r="BM115" i="65"/>
  <c r="BM355" i="65"/>
  <c r="CW275" i="65"/>
  <c r="CK195" i="65"/>
  <c r="BG35" i="65"/>
  <c r="DC35" i="65"/>
  <c r="CE115" i="65"/>
  <c r="CW355" i="65"/>
  <c r="CW115" i="65"/>
  <c r="BY195" i="65"/>
  <c r="BY35" i="65"/>
  <c r="BS275" i="65"/>
  <c r="BS115" i="65"/>
  <c r="CE355" i="65"/>
  <c r="CK275" i="65"/>
  <c r="BG195" i="65"/>
  <c r="DC195" i="65"/>
  <c r="CQ35" i="65"/>
  <c r="T72" i="38"/>
  <c r="T88" i="38"/>
  <c r="T56" i="38"/>
  <c r="T40" i="38"/>
  <c r="T8" i="38"/>
  <c r="T1" i="38"/>
  <c r="U5" i="38"/>
  <c r="T104" i="38"/>
  <c r="R40" i="33"/>
  <c r="K37" i="59"/>
  <c r="L28" i="2"/>
  <c r="L35" i="2"/>
  <c r="L113" i="2"/>
  <c r="L95" i="2"/>
  <c r="L77" i="2"/>
  <c r="L86" i="2"/>
  <c r="L52" i="46"/>
  <c r="R60" i="38"/>
  <c r="R44" i="38"/>
  <c r="J52" i="46"/>
  <c r="L125" i="59"/>
  <c r="I97" i="59"/>
  <c r="K53" i="33"/>
  <c r="C158" i="65"/>
  <c r="C157" i="65" s="1"/>
  <c r="C156" i="65" s="1"/>
  <c r="C160" i="65"/>
  <c r="C161" i="65" s="1"/>
  <c r="C162" i="65" s="1"/>
  <c r="AM74" i="11"/>
  <c r="AM78" i="11" s="1"/>
  <c r="AM71" i="11"/>
  <c r="AM69" i="11"/>
  <c r="S69" i="11"/>
  <c r="S74" i="11"/>
  <c r="S78" i="11" s="1"/>
  <c r="S71" i="11"/>
  <c r="I115" i="65"/>
  <c r="J115" i="65" s="1"/>
  <c r="K115" i="65" s="1"/>
  <c r="L115" i="65" s="1"/>
  <c r="G115" i="65"/>
  <c r="F115" i="65" s="1"/>
  <c r="E115" i="65" s="1"/>
  <c r="D115" i="65" s="1"/>
  <c r="Q51" i="17"/>
  <c r="Q28" i="17"/>
  <c r="Q52" i="17"/>
  <c r="Q22" i="17"/>
  <c r="Q53" i="17"/>
  <c r="Q24" i="17"/>
  <c r="Q76" i="17"/>
  <c r="Q27" i="17"/>
  <c r="Q26" i="17"/>
  <c r="Q78" i="17"/>
  <c r="Q77" i="17"/>
  <c r="Q80" i="17"/>
  <c r="Q79" i="17"/>
  <c r="Q20" i="17"/>
  <c r="Q82" i="17"/>
  <c r="Q81" i="17"/>
  <c r="S52" i="46"/>
  <c r="I52" i="46"/>
  <c r="S34" i="35"/>
  <c r="P34" i="35"/>
  <c r="Q88" i="38"/>
  <c r="Q40" i="38"/>
  <c r="Q104" i="38"/>
  <c r="Q72" i="38"/>
  <c r="Q56" i="38"/>
  <c r="Q98" i="33"/>
  <c r="Q68" i="33"/>
  <c r="Q38" i="33"/>
  <c r="Q53" i="33"/>
  <c r="Q83" i="33"/>
  <c r="B223" i="63"/>
  <c r="C224" i="63"/>
  <c r="B224" i="63" s="1"/>
  <c r="D223" i="63"/>
  <c r="I83" i="17"/>
  <c r="S60" i="17"/>
  <c r="G31" i="9"/>
  <c r="P67" i="46"/>
  <c r="P82" i="46"/>
  <c r="P125" i="59"/>
  <c r="P97" i="46"/>
  <c r="P67" i="59"/>
  <c r="P22" i="59"/>
  <c r="P22" i="46"/>
  <c r="P112" i="46"/>
  <c r="P52" i="59"/>
  <c r="P112" i="59"/>
  <c r="P82" i="59"/>
  <c r="P37" i="46"/>
  <c r="P97" i="59"/>
  <c r="P125" i="46"/>
  <c r="P52" i="46"/>
  <c r="P37" i="59"/>
  <c r="H46" i="9"/>
  <c r="G102" i="65"/>
  <c r="F102" i="65" s="1"/>
  <c r="E102" i="65" s="1"/>
  <c r="D102" i="65" s="1"/>
  <c r="I102" i="65"/>
  <c r="J102" i="65" s="1"/>
  <c r="K102" i="65" s="1"/>
  <c r="L102" i="65" s="1"/>
  <c r="G25" i="17"/>
  <c r="J23" i="51"/>
  <c r="I23" i="51"/>
  <c r="H23" i="51"/>
  <c r="S98" i="46"/>
  <c r="Q38" i="59"/>
  <c r="F28" i="2"/>
  <c r="F27" i="2"/>
  <c r="F88" i="2"/>
  <c r="F96" i="2"/>
  <c r="F108" i="2"/>
  <c r="S22" i="17"/>
  <c r="AR71" i="11"/>
  <c r="AR69" i="11"/>
  <c r="AR74" i="11"/>
  <c r="AR78" i="11" s="1"/>
  <c r="Q50" i="17"/>
  <c r="O40" i="17"/>
  <c r="R32" i="9"/>
  <c r="K83" i="17"/>
  <c r="I113" i="46"/>
  <c r="I37" i="46"/>
  <c r="R97" i="46"/>
  <c r="R55" i="33"/>
  <c r="H101" i="2"/>
  <c r="V102" i="2"/>
  <c r="V114" i="2" s="1"/>
  <c r="X71" i="11" s="1"/>
  <c r="L38" i="2"/>
  <c r="L10" i="2"/>
  <c r="L62" i="2"/>
  <c r="L60" i="2"/>
  <c r="L89" i="2"/>
  <c r="L9" i="46"/>
  <c r="I126" i="46"/>
  <c r="R74" i="38"/>
  <c r="K56" i="38"/>
  <c r="C40" i="65"/>
  <c r="C41" i="65" s="1"/>
  <c r="C42" i="65" s="1"/>
  <c r="C38" i="65"/>
  <c r="C37" i="65" s="1"/>
  <c r="C36" i="65" s="1"/>
  <c r="I23" i="46"/>
  <c r="I38" i="46"/>
  <c r="I98" i="46"/>
  <c r="I53" i="46"/>
  <c r="I23" i="59"/>
  <c r="H18" i="51"/>
  <c r="J18" i="51"/>
  <c r="I18" i="51"/>
  <c r="C185" i="65"/>
  <c r="C184" i="65" s="1"/>
  <c r="C183" i="65" s="1"/>
  <c r="C187" i="65"/>
  <c r="C188" i="65" s="1"/>
  <c r="C189" i="65" s="1"/>
  <c r="L249" i="65"/>
  <c r="AH249" i="65" s="1"/>
  <c r="AG249" i="65"/>
  <c r="AF71" i="11"/>
  <c r="AF69" i="11"/>
  <c r="AF74" i="11"/>
  <c r="AF78" i="11" s="1"/>
  <c r="S52" i="17"/>
  <c r="S75" i="17"/>
  <c r="S27" i="17"/>
  <c r="S77" i="17"/>
  <c r="S76" i="17"/>
  <c r="S79" i="17"/>
  <c r="S78" i="17"/>
  <c r="S81" i="17"/>
  <c r="S80" i="17"/>
  <c r="S82" i="17"/>
  <c r="K31" i="9"/>
  <c r="Q25" i="9"/>
  <c r="R86" i="17" s="1"/>
  <c r="AS71" i="11"/>
  <c r="AS69" i="11"/>
  <c r="AS74" i="11"/>
  <c r="AS78" i="11" s="1"/>
  <c r="J21" i="51"/>
  <c r="I21" i="51"/>
  <c r="H21" i="51"/>
  <c r="J83" i="46"/>
  <c r="I22" i="46"/>
  <c r="R57" i="33"/>
  <c r="R59" i="38"/>
  <c r="L23" i="59"/>
  <c r="L8" i="59"/>
  <c r="L97" i="59"/>
  <c r="I48" i="2"/>
  <c r="D148" i="2" s="1"/>
  <c r="F148" i="2" s="1"/>
  <c r="AL102" i="2"/>
  <c r="I83" i="46"/>
  <c r="K25" i="33"/>
  <c r="D101" i="39"/>
  <c r="AF289" i="65"/>
  <c r="AE289" i="65"/>
  <c r="AF329" i="65"/>
  <c r="AE329" i="65"/>
  <c r="D134" i="61"/>
  <c r="G437" i="65"/>
  <c r="G440" i="65" s="1"/>
  <c r="C10" i="64"/>
  <c r="D75" i="61"/>
  <c r="B189" i="66" l="1"/>
  <c r="D86" i="66"/>
  <c r="C116" i="66"/>
  <c r="C102" i="66"/>
  <c r="D122" i="66"/>
  <c r="C122" i="66"/>
  <c r="C142" i="66"/>
  <c r="C154" i="66"/>
  <c r="C156" i="66"/>
  <c r="D82" i="66"/>
  <c r="C78" i="66"/>
  <c r="C81" i="66"/>
  <c r="D25" i="60"/>
  <c r="D24" i="60"/>
  <c r="D27" i="60"/>
  <c r="D26" i="60"/>
  <c r="D19" i="60"/>
  <c r="D18" i="60"/>
  <c r="D21" i="60"/>
  <c r="D20" i="60"/>
  <c r="C91" i="65"/>
  <c r="N92" i="65"/>
  <c r="D114" i="48"/>
  <c r="D113" i="37"/>
  <c r="K123" i="48"/>
  <c r="AS79" i="11"/>
  <c r="AF79" i="11"/>
  <c r="D124" i="48"/>
  <c r="K36" i="8"/>
  <c r="F39" i="59"/>
  <c r="D39" i="59"/>
  <c r="F24" i="59"/>
  <c r="D24" i="59"/>
  <c r="U79" i="11"/>
  <c r="L96" i="39"/>
  <c r="S24" i="38"/>
  <c r="E329" i="65"/>
  <c r="AB329" i="65"/>
  <c r="M69" i="8"/>
  <c r="N69" i="8"/>
  <c r="AD79" i="11"/>
  <c r="U5" i="52"/>
  <c r="V5" i="46"/>
  <c r="U97" i="46"/>
  <c r="U23" i="46"/>
  <c r="U83" i="46"/>
  <c r="U22" i="46"/>
  <c r="U1" i="46"/>
  <c r="U52" i="46" s="1"/>
  <c r="F126" i="37"/>
  <c r="L25" i="38"/>
  <c r="E87" i="39" s="1"/>
  <c r="J128" i="48"/>
  <c r="M25" i="33"/>
  <c r="N102" i="2"/>
  <c r="E48" i="2"/>
  <c r="D124" i="2" s="1"/>
  <c r="F124" i="2" s="1"/>
  <c r="D160" i="2" s="1"/>
  <c r="C124" i="48"/>
  <c r="J127" i="37"/>
  <c r="Q25" i="38"/>
  <c r="J87" i="39" s="1"/>
  <c r="H120" i="48"/>
  <c r="R82" i="59"/>
  <c r="C127" i="48"/>
  <c r="K100" i="39"/>
  <c r="E115" i="48"/>
  <c r="E114" i="37"/>
  <c r="Q79" i="11"/>
  <c r="O120" i="48"/>
  <c r="G127" i="48"/>
  <c r="N119" i="48"/>
  <c r="F123" i="37"/>
  <c r="M27" i="33"/>
  <c r="C128" i="48"/>
  <c r="AE79" i="11"/>
  <c r="AH79" i="11"/>
  <c r="H77" i="38"/>
  <c r="F77" i="38"/>
  <c r="C112" i="11"/>
  <c r="N94" i="65"/>
  <c r="C95" i="65"/>
  <c r="K123" i="37"/>
  <c r="R27" i="33"/>
  <c r="F116" i="48"/>
  <c r="F115" i="37"/>
  <c r="J114" i="48"/>
  <c r="J113" i="37"/>
  <c r="U98" i="33"/>
  <c r="U68" i="33"/>
  <c r="U53" i="33"/>
  <c r="U83" i="33"/>
  <c r="V5" i="33"/>
  <c r="U8" i="33"/>
  <c r="U38" i="33"/>
  <c r="U1" i="33"/>
  <c r="H127" i="48"/>
  <c r="J26" i="33"/>
  <c r="C126" i="37"/>
  <c r="F10" i="31"/>
  <c r="J10" i="31"/>
  <c r="G10" i="31"/>
  <c r="F93" i="38"/>
  <c r="H93" i="38"/>
  <c r="R80" i="17"/>
  <c r="R27" i="17"/>
  <c r="R79" i="17"/>
  <c r="R28" i="17"/>
  <c r="R82" i="17"/>
  <c r="R81" i="17"/>
  <c r="R24" i="17"/>
  <c r="R51" i="17"/>
  <c r="R53" i="17"/>
  <c r="R21" i="17"/>
  <c r="R75" i="17"/>
  <c r="R26" i="17"/>
  <c r="R76" i="17"/>
  <c r="R22" i="17"/>
  <c r="R52" i="17"/>
  <c r="R77" i="17"/>
  <c r="R78" i="17"/>
  <c r="R83" i="17"/>
  <c r="R23" i="17"/>
  <c r="R50" i="17"/>
  <c r="R20" i="17"/>
  <c r="R25" i="17"/>
  <c r="K126" i="37"/>
  <c r="N100" i="33"/>
  <c r="N87" i="33"/>
  <c r="N85" i="33"/>
  <c r="N102" i="33"/>
  <c r="N12" i="33"/>
  <c r="N101" i="33"/>
  <c r="N99" i="33"/>
  <c r="N56" i="33"/>
  <c r="N54" i="33"/>
  <c r="N84" i="33"/>
  <c r="N72" i="33"/>
  <c r="N70" i="33"/>
  <c r="N10" i="33"/>
  <c r="N39" i="33"/>
  <c r="N24" i="33" s="1"/>
  <c r="N57" i="33"/>
  <c r="N41" i="33"/>
  <c r="N26" i="33" s="1"/>
  <c r="N40" i="33"/>
  <c r="N25" i="33" s="1"/>
  <c r="N9" i="33"/>
  <c r="N42" i="33"/>
  <c r="N86" i="33"/>
  <c r="N69" i="33"/>
  <c r="N11" i="33"/>
  <c r="N71" i="33"/>
  <c r="N55" i="33"/>
  <c r="Z114" i="2"/>
  <c r="H102" i="2"/>
  <c r="F102" i="2"/>
  <c r="D138" i="2" s="1"/>
  <c r="F138" i="2" s="1"/>
  <c r="AE129" i="65"/>
  <c r="J129" i="65"/>
  <c r="F127" i="37"/>
  <c r="M122" i="37"/>
  <c r="T23" i="33"/>
  <c r="R79" i="11"/>
  <c r="C11" i="31"/>
  <c r="C44" i="31" s="1"/>
  <c r="H73" i="33"/>
  <c r="F73" i="33"/>
  <c r="D115" i="48"/>
  <c r="D114" i="37"/>
  <c r="E47" i="17"/>
  <c r="C175" i="65"/>
  <c r="AJ174" i="65"/>
  <c r="F127" i="59"/>
  <c r="D127" i="59"/>
  <c r="L101" i="39"/>
  <c r="R23" i="33"/>
  <c r="K122" i="37"/>
  <c r="AC79" i="11"/>
  <c r="AJ79" i="11"/>
  <c r="O119" i="48"/>
  <c r="M24" i="33"/>
  <c r="AQ79" i="11"/>
  <c r="M53" i="59"/>
  <c r="M112" i="46"/>
  <c r="C112" i="46" s="1"/>
  <c r="R68" i="59"/>
  <c r="R83" i="59"/>
  <c r="F7" i="31"/>
  <c r="J7" i="31"/>
  <c r="G7" i="31"/>
  <c r="E11" i="31"/>
  <c r="H45" i="38"/>
  <c r="AD29" i="38"/>
  <c r="F45" i="38"/>
  <c r="S26" i="38"/>
  <c r="E122" i="37"/>
  <c r="L23" i="33"/>
  <c r="C171" i="65"/>
  <c r="AJ172" i="65"/>
  <c r="J127" i="48"/>
  <c r="E128" i="48"/>
  <c r="L123" i="37"/>
  <c r="S27" i="33"/>
  <c r="M128" i="48"/>
  <c r="G126" i="37"/>
  <c r="R27" i="38"/>
  <c r="K89" i="39" s="1"/>
  <c r="AC129" i="65"/>
  <c r="F129" i="65"/>
  <c r="M127" i="48"/>
  <c r="Q26" i="33"/>
  <c r="F122" i="37"/>
  <c r="M23" i="33"/>
  <c r="N126" i="46"/>
  <c r="N5" i="52"/>
  <c r="N98" i="46"/>
  <c r="N67" i="46"/>
  <c r="C67" i="46" s="1"/>
  <c r="N38" i="46"/>
  <c r="N97" i="46"/>
  <c r="N82" i="46"/>
  <c r="N23" i="46"/>
  <c r="C23" i="46" s="1"/>
  <c r="N112" i="46"/>
  <c r="N83" i="46"/>
  <c r="N52" i="46"/>
  <c r="N53" i="46"/>
  <c r="N37" i="46"/>
  <c r="N22" i="46"/>
  <c r="N1" i="46"/>
  <c r="N68" i="46" s="1"/>
  <c r="R23" i="59"/>
  <c r="D11" i="19"/>
  <c r="F7" i="19"/>
  <c r="C122" i="37"/>
  <c r="J23" i="33"/>
  <c r="H109" i="38"/>
  <c r="F109" i="38"/>
  <c r="E127" i="48"/>
  <c r="E96" i="39"/>
  <c r="L24" i="38"/>
  <c r="E119" i="37"/>
  <c r="G128" i="48"/>
  <c r="N124" i="48"/>
  <c r="O98" i="33"/>
  <c r="O8" i="33"/>
  <c r="O83" i="33"/>
  <c r="O38" i="33"/>
  <c r="O68" i="33"/>
  <c r="P5" i="33"/>
  <c r="O53" i="33"/>
  <c r="O1" i="33"/>
  <c r="O124" i="48"/>
  <c r="L27" i="38"/>
  <c r="E89" i="39" s="1"/>
  <c r="J124" i="48"/>
  <c r="T79" i="11"/>
  <c r="Q25" i="33"/>
  <c r="T100" i="33"/>
  <c r="T99" i="33"/>
  <c r="T72" i="33"/>
  <c r="T70" i="33"/>
  <c r="T41" i="33"/>
  <c r="T39" i="33"/>
  <c r="T57" i="33"/>
  <c r="T55" i="33"/>
  <c r="T86" i="33"/>
  <c r="T101" i="33"/>
  <c r="T85" i="33"/>
  <c r="T102" i="33"/>
  <c r="T40" i="33"/>
  <c r="T87" i="33"/>
  <c r="T12" i="33"/>
  <c r="T9" i="33"/>
  <c r="T42" i="33"/>
  <c r="T69" i="33"/>
  <c r="T84" i="33"/>
  <c r="T11" i="33"/>
  <c r="T71" i="33"/>
  <c r="T54" i="33"/>
  <c r="T10" i="33"/>
  <c r="T56" i="33"/>
  <c r="N83" i="59"/>
  <c r="N53" i="59"/>
  <c r="N1" i="59"/>
  <c r="N67" i="59" s="1"/>
  <c r="N120" i="48"/>
  <c r="J25" i="33"/>
  <c r="H8" i="31"/>
  <c r="F61" i="38"/>
  <c r="H61" i="38"/>
  <c r="N123" i="48"/>
  <c r="F54" i="46"/>
  <c r="D54" i="46"/>
  <c r="F39" i="46"/>
  <c r="D39" i="46"/>
  <c r="E124" i="48"/>
  <c r="G124" i="48"/>
  <c r="N67" i="8"/>
  <c r="M67" i="8"/>
  <c r="L100" i="39"/>
  <c r="G122" i="37"/>
  <c r="N23" i="33"/>
  <c r="E101" i="39"/>
  <c r="M126" i="37"/>
  <c r="H123" i="48"/>
  <c r="R9" i="59"/>
  <c r="E11" i="19"/>
  <c r="J24" i="33"/>
  <c r="J24" i="38"/>
  <c r="C96" i="39"/>
  <c r="I9" i="31"/>
  <c r="AL114" i="2"/>
  <c r="I102" i="2"/>
  <c r="D150" i="2" s="1"/>
  <c r="F150" i="2" s="1"/>
  <c r="D100" i="39"/>
  <c r="J122" i="37"/>
  <c r="Q23" i="33"/>
  <c r="U88" i="38"/>
  <c r="U104" i="38"/>
  <c r="U72" i="38"/>
  <c r="U40" i="38"/>
  <c r="V5" i="38"/>
  <c r="U1" i="38"/>
  <c r="U56" i="38"/>
  <c r="U8" i="38"/>
  <c r="AR79" i="11"/>
  <c r="T105" i="38"/>
  <c r="T12" i="38"/>
  <c r="T90" i="38"/>
  <c r="T76" i="38"/>
  <c r="T74" i="38"/>
  <c r="T43" i="38"/>
  <c r="T27" i="38" s="1"/>
  <c r="M89" i="39" s="1"/>
  <c r="T41" i="38"/>
  <c r="T25" i="38" s="1"/>
  <c r="M87" i="39" s="1"/>
  <c r="T44" i="38"/>
  <c r="T11" i="38"/>
  <c r="T57" i="38"/>
  <c r="T92" i="38"/>
  <c r="T106" i="38"/>
  <c r="T91" i="38"/>
  <c r="T89" i="38"/>
  <c r="T58" i="38"/>
  <c r="T107" i="38"/>
  <c r="T73" i="38"/>
  <c r="T59" i="38"/>
  <c r="T60" i="38"/>
  <c r="T42" i="38"/>
  <c r="T26" i="38" s="1"/>
  <c r="M88" i="39" s="1"/>
  <c r="T75" i="38"/>
  <c r="T108" i="38"/>
  <c r="T10" i="38"/>
  <c r="T9" i="38"/>
  <c r="E123" i="48"/>
  <c r="F24" i="46"/>
  <c r="D24" i="46"/>
  <c r="L97" i="39"/>
  <c r="S28" i="38"/>
  <c r="S25" i="33"/>
  <c r="AO79" i="11"/>
  <c r="AL5" i="11"/>
  <c r="T113" i="46"/>
  <c r="G123" i="48"/>
  <c r="L26" i="38"/>
  <c r="E88" i="39" s="1"/>
  <c r="S35" i="35"/>
  <c r="P35" i="35"/>
  <c r="E249" i="65"/>
  <c r="AB249" i="65"/>
  <c r="J123" i="37"/>
  <c r="Q27" i="33"/>
  <c r="M68" i="59"/>
  <c r="M68" i="46"/>
  <c r="M53" i="46"/>
  <c r="R37" i="59"/>
  <c r="AK79" i="11"/>
  <c r="C123" i="37"/>
  <c r="J27" i="33"/>
  <c r="C100" i="39"/>
  <c r="D128" i="48"/>
  <c r="F69" i="46"/>
  <c r="D69" i="46"/>
  <c r="P22" i="17"/>
  <c r="P53" i="17"/>
  <c r="P26" i="17"/>
  <c r="P76" i="17"/>
  <c r="P78" i="17"/>
  <c r="P80" i="17"/>
  <c r="P28" i="17"/>
  <c r="P82" i="17"/>
  <c r="P77" i="17"/>
  <c r="P20" i="17"/>
  <c r="P27" i="17"/>
  <c r="P79" i="17"/>
  <c r="P50" i="17"/>
  <c r="P81" i="17"/>
  <c r="P52" i="17"/>
  <c r="P51" i="17"/>
  <c r="P24" i="17"/>
  <c r="P25" i="17"/>
  <c r="P23" i="17"/>
  <c r="P21" i="17"/>
  <c r="P75" i="17"/>
  <c r="P83" i="17"/>
  <c r="O128" i="48"/>
  <c r="E97" i="39"/>
  <c r="L28" i="38"/>
  <c r="E8" i="17"/>
  <c r="K21" i="8"/>
  <c r="K19" i="18"/>
  <c r="R8" i="59"/>
  <c r="AJ252" i="65"/>
  <c r="C251" i="65"/>
  <c r="D11" i="31"/>
  <c r="I7" i="31"/>
  <c r="G9" i="31"/>
  <c r="J9" i="31"/>
  <c r="F9" i="31"/>
  <c r="S79" i="11"/>
  <c r="G120" i="48"/>
  <c r="J100" i="39"/>
  <c r="M96" i="39"/>
  <c r="T24" i="38"/>
  <c r="F54" i="59"/>
  <c r="D54" i="59"/>
  <c r="L127" i="37"/>
  <c r="AN79" i="11"/>
  <c r="M106" i="38"/>
  <c r="M91" i="38"/>
  <c r="M105" i="38"/>
  <c r="M42" i="38"/>
  <c r="M9" i="38"/>
  <c r="M90" i="38"/>
  <c r="M59" i="38"/>
  <c r="M44" i="38"/>
  <c r="M43" i="38"/>
  <c r="M57" i="38"/>
  <c r="M10" i="38"/>
  <c r="M89" i="38"/>
  <c r="M92" i="38"/>
  <c r="M58" i="38"/>
  <c r="M107" i="38"/>
  <c r="M73" i="38"/>
  <c r="M41" i="38"/>
  <c r="M74" i="38"/>
  <c r="M60" i="38"/>
  <c r="M108" i="38"/>
  <c r="M75" i="38"/>
  <c r="M11" i="38"/>
  <c r="M76" i="38"/>
  <c r="M12" i="38"/>
  <c r="D116" i="48"/>
  <c r="D115" i="37"/>
  <c r="AI79" i="11"/>
  <c r="T67" i="46"/>
  <c r="C38" i="46"/>
  <c r="F123" i="48"/>
  <c r="R113" i="59"/>
  <c r="C255" i="65"/>
  <c r="AJ254" i="65"/>
  <c r="J27" i="38"/>
  <c r="M123" i="48"/>
  <c r="H7" i="31"/>
  <c r="Q11" i="31"/>
  <c r="H10" i="31"/>
  <c r="K127" i="37"/>
  <c r="D123" i="48"/>
  <c r="K127" i="48"/>
  <c r="K97" i="39"/>
  <c r="R28" i="38"/>
  <c r="M100" i="39"/>
  <c r="X9" i="65"/>
  <c r="BT115" i="65"/>
  <c r="BT355" i="65"/>
  <c r="BH275" i="65"/>
  <c r="DD275" i="65"/>
  <c r="CR195" i="65"/>
  <c r="BN35" i="65"/>
  <c r="CL115" i="65"/>
  <c r="CL355" i="65"/>
  <c r="BZ275" i="65"/>
  <c r="BN195" i="65"/>
  <c r="CF35" i="65"/>
  <c r="BH115" i="65"/>
  <c r="DD115" i="65"/>
  <c r="BH355" i="65"/>
  <c r="DD355" i="65"/>
  <c r="CR275" i="65"/>
  <c r="CF195" i="65"/>
  <c r="CX35" i="65"/>
  <c r="BZ115" i="65"/>
  <c r="BZ355" i="65"/>
  <c r="BN275" i="65"/>
  <c r="CX195" i="65"/>
  <c r="BT35" i="65"/>
  <c r="CR115" i="65"/>
  <c r="CR355" i="65"/>
  <c r="CF275" i="65"/>
  <c r="BT195" i="65"/>
  <c r="CL35" i="65"/>
  <c r="BN115" i="65"/>
  <c r="BN355" i="65"/>
  <c r="CX275" i="65"/>
  <c r="CL195" i="65"/>
  <c r="BH35" i="65"/>
  <c r="DD35" i="65"/>
  <c r="CF355" i="65"/>
  <c r="BT275" i="65"/>
  <c r="BH195" i="65"/>
  <c r="DD195" i="65"/>
  <c r="CX355" i="65"/>
  <c r="CX115" i="65"/>
  <c r="BZ195" i="65"/>
  <c r="BZ35" i="65"/>
  <c r="CF115" i="65"/>
  <c r="CL275" i="65"/>
  <c r="CR35" i="65"/>
  <c r="F84" i="46"/>
  <c r="D84" i="46"/>
  <c r="G119" i="48"/>
  <c r="C11" i="65"/>
  <c r="N12" i="65"/>
  <c r="K369" i="65"/>
  <c r="AF369" i="65"/>
  <c r="S27" i="38"/>
  <c r="F100" i="39"/>
  <c r="L123" i="48"/>
  <c r="T37" i="46"/>
  <c r="W79" i="11"/>
  <c r="M23" i="59"/>
  <c r="M113" i="59"/>
  <c r="M83" i="46"/>
  <c r="L102" i="2"/>
  <c r="R97" i="59"/>
  <c r="J28" i="38"/>
  <c r="C97" i="39"/>
  <c r="R24" i="33"/>
  <c r="P11" i="31"/>
  <c r="F114" i="59"/>
  <c r="D114" i="59"/>
  <c r="K101" i="39"/>
  <c r="O123" i="48"/>
  <c r="Z79" i="11"/>
  <c r="C98" i="46"/>
  <c r="H124" i="48"/>
  <c r="C97" i="46"/>
  <c r="J25" i="38"/>
  <c r="H88" i="33"/>
  <c r="F88" i="33"/>
  <c r="F69" i="59"/>
  <c r="D69" i="59"/>
  <c r="J126" i="37"/>
  <c r="C333" i="65"/>
  <c r="C399" i="65"/>
  <c r="C386" i="65"/>
  <c r="C373" i="65"/>
  <c r="C359" i="65"/>
  <c r="C346" i="65"/>
  <c r="H35" i="65"/>
  <c r="H235" i="65"/>
  <c r="H182" i="65"/>
  <c r="H22" i="65"/>
  <c r="H169" i="65"/>
  <c r="H75" i="65"/>
  <c r="H9" i="65"/>
  <c r="H62" i="65"/>
  <c r="H49" i="65"/>
  <c r="H209" i="65"/>
  <c r="H222" i="65"/>
  <c r="H195" i="65"/>
  <c r="F99" i="59"/>
  <c r="D99" i="59"/>
  <c r="N127" i="48"/>
  <c r="AC89" i="65"/>
  <c r="F89" i="65"/>
  <c r="AM89" i="65"/>
  <c r="N14" i="65"/>
  <c r="C15" i="65"/>
  <c r="N1" i="38"/>
  <c r="N88" i="38"/>
  <c r="N56" i="38"/>
  <c r="O5" i="38"/>
  <c r="N72" i="38"/>
  <c r="N104" i="38"/>
  <c r="N8" i="38"/>
  <c r="N40" i="38"/>
  <c r="J96" i="39"/>
  <c r="Q24" i="38"/>
  <c r="AM79" i="11"/>
  <c r="F114" i="46"/>
  <c r="D114" i="46"/>
  <c r="AO89" i="65"/>
  <c r="J89" i="65"/>
  <c r="AE89" i="65"/>
  <c r="E369" i="65"/>
  <c r="AB369" i="65"/>
  <c r="S24" i="33"/>
  <c r="S23" i="33"/>
  <c r="L122" i="37"/>
  <c r="M24" i="38"/>
  <c r="F96" i="39"/>
  <c r="D122" i="37"/>
  <c r="K23" i="33"/>
  <c r="M66" i="8"/>
  <c r="N66" i="8"/>
  <c r="D161" i="2"/>
  <c r="C126" i="46"/>
  <c r="M22" i="59"/>
  <c r="R53" i="59"/>
  <c r="C82" i="46"/>
  <c r="J26" i="38"/>
  <c r="H103" i="33"/>
  <c r="F103" i="33"/>
  <c r="N128" i="48"/>
  <c r="E126" i="37"/>
  <c r="D126" i="37"/>
  <c r="D127" i="46"/>
  <c r="F127" i="46"/>
  <c r="AL79" i="11"/>
  <c r="K24" i="38"/>
  <c r="D96" i="39"/>
  <c r="S25" i="38"/>
  <c r="S26" i="33"/>
  <c r="D93" i="39"/>
  <c r="L127" i="48"/>
  <c r="D127" i="48"/>
  <c r="P79" i="11"/>
  <c r="J101" i="39"/>
  <c r="J97" i="39"/>
  <c r="Q28" i="38"/>
  <c r="AP79" i="11"/>
  <c r="S98" i="59"/>
  <c r="S112" i="59"/>
  <c r="T5" i="59"/>
  <c r="S38" i="59"/>
  <c r="S1" i="59"/>
  <c r="S52" i="59" s="1"/>
  <c r="S125" i="59"/>
  <c r="S113" i="59"/>
  <c r="S37" i="59"/>
  <c r="S23" i="59"/>
  <c r="S53" i="59"/>
  <c r="S126" i="59"/>
  <c r="S9" i="59"/>
  <c r="S97" i="59"/>
  <c r="S22" i="59"/>
  <c r="S67" i="59"/>
  <c r="C52" i="46"/>
  <c r="D119" i="37"/>
  <c r="G8" i="31"/>
  <c r="F8" i="31"/>
  <c r="J8" i="31"/>
  <c r="AD28" i="33"/>
  <c r="H43" i="33"/>
  <c r="F43" i="33"/>
  <c r="R25" i="33"/>
  <c r="AG79" i="11"/>
  <c r="K34" i="18"/>
  <c r="J123" i="48"/>
  <c r="F99" i="46"/>
  <c r="D99" i="46"/>
  <c r="F84" i="59"/>
  <c r="D84" i="59"/>
  <c r="E100" i="39"/>
  <c r="F127" i="48"/>
  <c r="K96" i="39"/>
  <c r="R24" i="38"/>
  <c r="U114" i="2"/>
  <c r="K102" i="2"/>
  <c r="O52" i="17"/>
  <c r="O25" i="17"/>
  <c r="O77" i="17"/>
  <c r="O28" i="17"/>
  <c r="O27" i="17"/>
  <c r="O26" i="17"/>
  <c r="O79" i="17"/>
  <c r="O76" i="17"/>
  <c r="O81" i="17"/>
  <c r="O78" i="17"/>
  <c r="O22" i="17"/>
  <c r="O80" i="17"/>
  <c r="O24" i="17"/>
  <c r="O51" i="17"/>
  <c r="O21" i="17"/>
  <c r="O82" i="17"/>
  <c r="O53" i="17"/>
  <c r="O50" i="17"/>
  <c r="O83" i="17"/>
  <c r="O20" i="17"/>
  <c r="O75" i="17"/>
  <c r="O23" i="17"/>
  <c r="F122" i="2"/>
  <c r="D158" i="2" s="1"/>
  <c r="AT79" i="11"/>
  <c r="H119" i="48"/>
  <c r="R26" i="33"/>
  <c r="C123" i="48"/>
  <c r="C22" i="46"/>
  <c r="C101" i="39"/>
  <c r="C127" i="37"/>
  <c r="H58" i="33"/>
  <c r="F58" i="33"/>
  <c r="Q11" i="65"/>
  <c r="Q90" i="65"/>
  <c r="Q15" i="65"/>
  <c r="Q91" i="65"/>
  <c r="Q16" i="65"/>
  <c r="Q92" i="65"/>
  <c r="Q96" i="65"/>
  <c r="Q13" i="65"/>
  <c r="Q10" i="65"/>
  <c r="Q94" i="65"/>
  <c r="Q14" i="65"/>
  <c r="Q95" i="65"/>
  <c r="Q12" i="65"/>
  <c r="Q18" i="65"/>
  <c r="Q93" i="65"/>
  <c r="D89" i="61"/>
  <c r="D137" i="61" s="1"/>
  <c r="C18" i="61"/>
  <c r="D10" i="64" s="1"/>
  <c r="E10" i="64" s="1"/>
  <c r="D133" i="61"/>
  <c r="D64" i="64"/>
  <c r="E64" i="64" s="1"/>
  <c r="C157" i="66" l="1"/>
  <c r="C64" i="66"/>
  <c r="C82" i="66"/>
  <c r="C86" i="66"/>
  <c r="C53" i="59"/>
  <c r="C67" i="59"/>
  <c r="M26" i="38"/>
  <c r="F88" i="39" s="1"/>
  <c r="F101" i="39"/>
  <c r="AB89" i="65"/>
  <c r="AL89" i="65"/>
  <c r="E89" i="65"/>
  <c r="I128" i="48"/>
  <c r="F86" i="39"/>
  <c r="F92" i="39" s="1"/>
  <c r="D86" i="39"/>
  <c r="D92" i="39" s="1"/>
  <c r="CY355" i="65"/>
  <c r="CM275" i="65"/>
  <c r="CA195" i="65"/>
  <c r="CS35" i="65"/>
  <c r="BU115" i="65"/>
  <c r="BU355" i="65"/>
  <c r="BI275" i="65"/>
  <c r="DE275" i="65"/>
  <c r="CS195" i="65"/>
  <c r="BO35" i="65"/>
  <c r="CM115" i="65"/>
  <c r="CM355" i="65"/>
  <c r="CA275" i="65"/>
  <c r="BO195" i="65"/>
  <c r="CG35" i="65"/>
  <c r="BI115" i="65"/>
  <c r="DE115" i="65"/>
  <c r="BI355" i="65"/>
  <c r="DE355" i="65"/>
  <c r="CS275" i="65"/>
  <c r="CG195" i="65"/>
  <c r="CY35" i="65"/>
  <c r="CA115" i="65"/>
  <c r="CA355" i="65"/>
  <c r="BO275" i="65"/>
  <c r="CY195" i="65"/>
  <c r="BU35" i="65"/>
  <c r="CS115" i="65"/>
  <c r="CS355" i="65"/>
  <c r="CG275" i="65"/>
  <c r="BU195" i="65"/>
  <c r="CM35" i="65"/>
  <c r="BO115" i="65"/>
  <c r="CY115" i="65"/>
  <c r="BO355" i="65"/>
  <c r="BU275" i="65"/>
  <c r="CM195" i="65"/>
  <c r="CA35" i="65"/>
  <c r="CG115" i="65"/>
  <c r="CG355" i="65"/>
  <c r="BI195" i="65"/>
  <c r="DE195" i="65"/>
  <c r="BI35" i="65"/>
  <c r="CY275" i="65"/>
  <c r="DE35" i="65"/>
  <c r="K93" i="39"/>
  <c r="G49" i="65"/>
  <c r="F49" i="65" s="1"/>
  <c r="E49" i="65" s="1"/>
  <c r="D49" i="65" s="1"/>
  <c r="I49" i="65"/>
  <c r="J49" i="65" s="1"/>
  <c r="K49" i="65" s="1"/>
  <c r="L49" i="65" s="1"/>
  <c r="C83" i="46"/>
  <c r="I62" i="65"/>
  <c r="J62" i="65" s="1"/>
  <c r="K62" i="65" s="1"/>
  <c r="L62" i="65" s="1"/>
  <c r="G62" i="65"/>
  <c r="F62" i="65" s="1"/>
  <c r="E62" i="65" s="1"/>
  <c r="D62" i="65" s="1"/>
  <c r="C86" i="39"/>
  <c r="C92" i="39" s="1"/>
  <c r="N52" i="59"/>
  <c r="C52" i="59" s="1"/>
  <c r="U5" i="59"/>
  <c r="T1" i="59"/>
  <c r="T8" i="59" s="1"/>
  <c r="D113" i="48"/>
  <c r="D112" i="37"/>
  <c r="D118" i="37" s="1"/>
  <c r="G222" i="65"/>
  <c r="F222" i="65" s="1"/>
  <c r="E222" i="65" s="1"/>
  <c r="D222" i="65" s="1"/>
  <c r="I222" i="65"/>
  <c r="J222" i="65" s="1"/>
  <c r="K222" i="65" s="1"/>
  <c r="L222" i="65" s="1"/>
  <c r="C332" i="65"/>
  <c r="C331" i="65" s="1"/>
  <c r="C330" i="65" s="1"/>
  <c r="C334" i="65"/>
  <c r="C335" i="65" s="1"/>
  <c r="C336" i="65" s="1"/>
  <c r="K114" i="2"/>
  <c r="W71" i="11"/>
  <c r="S8" i="59"/>
  <c r="S68" i="59"/>
  <c r="AF89" i="65"/>
  <c r="K89" i="65"/>
  <c r="AP89" i="65"/>
  <c r="AD209" i="65"/>
  <c r="I209" i="65"/>
  <c r="G209" i="65"/>
  <c r="C114" i="48"/>
  <c r="C113" i="37"/>
  <c r="N8" i="59"/>
  <c r="N68" i="59"/>
  <c r="C68" i="59" s="1"/>
  <c r="E86" i="39"/>
  <c r="E92" i="39" s="1"/>
  <c r="N113" i="46"/>
  <c r="E113" i="48"/>
  <c r="E112" i="37"/>
  <c r="E118" i="37" s="1"/>
  <c r="L93" i="39"/>
  <c r="N22" i="59"/>
  <c r="C22" i="59" s="1"/>
  <c r="N113" i="59"/>
  <c r="I123" i="48"/>
  <c r="J11" i="31"/>
  <c r="F114" i="48"/>
  <c r="F113" i="37"/>
  <c r="C176" i="65"/>
  <c r="AJ176" i="65" s="1"/>
  <c r="AJ175" i="65"/>
  <c r="G123" i="37"/>
  <c r="N27" i="33"/>
  <c r="K119" i="37"/>
  <c r="K9" i="11"/>
  <c r="C119" i="11"/>
  <c r="P123" i="48"/>
  <c r="N126" i="59"/>
  <c r="C126" i="59" s="1"/>
  <c r="K129" i="65"/>
  <c r="AF129" i="65"/>
  <c r="U102" i="33"/>
  <c r="U99" i="33"/>
  <c r="U101" i="33"/>
  <c r="U72" i="33"/>
  <c r="U70" i="33"/>
  <c r="U41" i="33"/>
  <c r="U39" i="33"/>
  <c r="U57" i="33"/>
  <c r="U55" i="33"/>
  <c r="U87" i="33"/>
  <c r="U86" i="33"/>
  <c r="U12" i="33"/>
  <c r="U9" i="33"/>
  <c r="U42" i="33"/>
  <c r="U69" i="33"/>
  <c r="U84" i="33"/>
  <c r="U11" i="33"/>
  <c r="U71" i="33"/>
  <c r="U54" i="33"/>
  <c r="U10" i="33"/>
  <c r="U56" i="33"/>
  <c r="U100" i="33"/>
  <c r="U85" i="33"/>
  <c r="U40" i="33"/>
  <c r="H128" i="48"/>
  <c r="L88" i="39"/>
  <c r="G115" i="48"/>
  <c r="G114" i="37"/>
  <c r="N122" i="37"/>
  <c r="U23" i="33"/>
  <c r="C96" i="65"/>
  <c r="N96" i="65" s="1"/>
  <c r="N95" i="65"/>
  <c r="C68" i="46"/>
  <c r="N114" i="2"/>
  <c r="E102" i="2"/>
  <c r="D126" i="2" s="1"/>
  <c r="P124" i="48"/>
  <c r="N38" i="59"/>
  <c r="C38" i="59" s="1"/>
  <c r="I75" i="65"/>
  <c r="J75" i="65" s="1"/>
  <c r="K75" i="65" s="1"/>
  <c r="L75" i="65" s="1"/>
  <c r="G75" i="65"/>
  <c r="F75" i="65" s="1"/>
  <c r="E75" i="65" s="1"/>
  <c r="D75" i="65" s="1"/>
  <c r="M25" i="38"/>
  <c r="F87" i="39" s="1"/>
  <c r="F113" i="48"/>
  <c r="F112" i="37"/>
  <c r="F118" i="37" s="1"/>
  <c r="G116" i="48"/>
  <c r="G115" i="37"/>
  <c r="F115" i="48"/>
  <c r="F114" i="37"/>
  <c r="C113" i="48"/>
  <c r="C112" i="37"/>
  <c r="C118" i="37" s="1"/>
  <c r="N97" i="59"/>
  <c r="C97" i="59" s="1"/>
  <c r="M127" i="37"/>
  <c r="K86" i="39"/>
  <c r="K92" i="39" s="1"/>
  <c r="S83" i="59"/>
  <c r="C83" i="59" s="1"/>
  <c r="AD169" i="65"/>
  <c r="I169" i="65"/>
  <c r="G169" i="65"/>
  <c r="L89" i="39"/>
  <c r="I11" i="31"/>
  <c r="C18" i="31" s="1"/>
  <c r="N82" i="59"/>
  <c r="T24" i="33"/>
  <c r="N125" i="46"/>
  <c r="G127" i="37"/>
  <c r="V53" i="33"/>
  <c r="V83" i="33"/>
  <c r="W5" i="33"/>
  <c r="V68" i="33"/>
  <c r="V1" i="33"/>
  <c r="V8" i="33"/>
  <c r="V98" i="33"/>
  <c r="V38" i="33"/>
  <c r="U98" i="46"/>
  <c r="D329" i="65"/>
  <c r="Z329" i="65" s="1"/>
  <c r="AA329" i="65"/>
  <c r="J93" i="39"/>
  <c r="I22" i="65"/>
  <c r="J22" i="65" s="1"/>
  <c r="K22" i="65" s="1"/>
  <c r="L22" i="65" s="1"/>
  <c r="G22" i="65"/>
  <c r="F22" i="65" s="1"/>
  <c r="E22" i="65" s="1"/>
  <c r="D22" i="65" s="1"/>
  <c r="C87" i="39"/>
  <c r="O127" i="48"/>
  <c r="M97" i="39"/>
  <c r="T28" i="38"/>
  <c r="I114" i="2"/>
  <c r="D154" i="2" s="1"/>
  <c r="F154" i="2" s="1"/>
  <c r="AN71" i="11"/>
  <c r="L114" i="2"/>
  <c r="N112" i="59"/>
  <c r="T26" i="33"/>
  <c r="H114" i="2"/>
  <c r="AB71" i="11"/>
  <c r="F114" i="2"/>
  <c r="D142" i="2" s="1"/>
  <c r="F142" i="2" s="1"/>
  <c r="G114" i="48"/>
  <c r="G113" i="37"/>
  <c r="F119" i="37"/>
  <c r="U68" i="46"/>
  <c r="L113" i="48"/>
  <c r="L112" i="37"/>
  <c r="L118" i="37" s="1"/>
  <c r="O88" i="38"/>
  <c r="O104" i="38"/>
  <c r="O8" i="38"/>
  <c r="O1" i="38"/>
  <c r="O72" i="38"/>
  <c r="O40" i="38"/>
  <c r="P5" i="38"/>
  <c r="O56" i="38"/>
  <c r="I182" i="65"/>
  <c r="J182" i="65" s="1"/>
  <c r="K182" i="65" s="1"/>
  <c r="L182" i="65" s="1"/>
  <c r="G182" i="65"/>
  <c r="F182" i="65" s="1"/>
  <c r="E182" i="65" s="1"/>
  <c r="D182" i="65" s="1"/>
  <c r="L369" i="65"/>
  <c r="AH369" i="65" s="1"/>
  <c r="AG369" i="65"/>
  <c r="C89" i="39"/>
  <c r="J119" i="37"/>
  <c r="O100" i="33"/>
  <c r="O87" i="33"/>
  <c r="O85" i="33"/>
  <c r="O102" i="33"/>
  <c r="O101" i="33"/>
  <c r="O10" i="33"/>
  <c r="O99" i="33"/>
  <c r="O56" i="33"/>
  <c r="O54" i="33"/>
  <c r="O84" i="33"/>
  <c r="O86" i="33"/>
  <c r="O39" i="33"/>
  <c r="O57" i="33"/>
  <c r="O41" i="33"/>
  <c r="O40" i="33"/>
  <c r="O12" i="33"/>
  <c r="O9" i="33"/>
  <c r="O42" i="33"/>
  <c r="O70" i="33"/>
  <c r="O69" i="33"/>
  <c r="O11" i="33"/>
  <c r="O72" i="33"/>
  <c r="O71" i="33"/>
  <c r="O55" i="33"/>
  <c r="J116" i="48"/>
  <c r="J115" i="37"/>
  <c r="N126" i="37"/>
  <c r="U67" i="46"/>
  <c r="L86" i="39"/>
  <c r="L92" i="39" s="1"/>
  <c r="I124" i="48"/>
  <c r="U126" i="46"/>
  <c r="P8" i="33"/>
  <c r="P98" i="33"/>
  <c r="P68" i="33"/>
  <c r="E68" i="33" s="1"/>
  <c r="P83" i="33"/>
  <c r="P38" i="33"/>
  <c r="P53" i="33"/>
  <c r="P1" i="33"/>
  <c r="M113" i="48"/>
  <c r="M112" i="37"/>
  <c r="M118" i="37" s="1"/>
  <c r="U8" i="46"/>
  <c r="N89" i="38"/>
  <c r="N59" i="38"/>
  <c r="N57" i="38"/>
  <c r="N11" i="38"/>
  <c r="N9" i="38"/>
  <c r="N108" i="38"/>
  <c r="N105" i="38"/>
  <c r="N12" i="38"/>
  <c r="N106" i="38"/>
  <c r="N91" i="38"/>
  <c r="N73" i="38"/>
  <c r="N58" i="38"/>
  <c r="N10" i="38"/>
  <c r="N92" i="38"/>
  <c r="N107" i="38"/>
  <c r="N41" i="38"/>
  <c r="N90" i="38"/>
  <c r="N74" i="38"/>
  <c r="N60" i="38"/>
  <c r="N42" i="38"/>
  <c r="N75" i="38"/>
  <c r="N43" i="38"/>
  <c r="N44" i="38"/>
  <c r="N76" i="38"/>
  <c r="C345" i="65"/>
  <c r="C344" i="65" s="1"/>
  <c r="C343" i="65" s="1"/>
  <c r="C347" i="65"/>
  <c r="C348" i="65" s="1"/>
  <c r="C349" i="65" s="1"/>
  <c r="AJ251" i="65"/>
  <c r="C250" i="65"/>
  <c r="AJ250" i="65" s="1"/>
  <c r="C119" i="37"/>
  <c r="AM5" i="11"/>
  <c r="V56" i="38"/>
  <c r="V8" i="38"/>
  <c r="V40" i="38"/>
  <c r="V104" i="38"/>
  <c r="W5" i="38"/>
  <c r="V1" i="38"/>
  <c r="V88" i="38"/>
  <c r="V72" i="38"/>
  <c r="C115" i="48"/>
  <c r="C114" i="37"/>
  <c r="N125" i="59"/>
  <c r="C125" i="59" s="1"/>
  <c r="F11" i="19"/>
  <c r="C116" i="48"/>
  <c r="C115" i="37"/>
  <c r="U37" i="46"/>
  <c r="C88" i="39"/>
  <c r="L114" i="48"/>
  <c r="L113" i="37"/>
  <c r="M123" i="37"/>
  <c r="T27" i="33"/>
  <c r="AJ255" i="65"/>
  <c r="C256" i="65"/>
  <c r="AJ256" i="65" s="1"/>
  <c r="D249" i="65"/>
  <c r="Z249" i="65" s="1"/>
  <c r="AA249" i="65"/>
  <c r="M101" i="39"/>
  <c r="U24" i="38"/>
  <c r="N96" i="39"/>
  <c r="N23" i="59"/>
  <c r="C23" i="59" s="1"/>
  <c r="J115" i="48"/>
  <c r="J114" i="37"/>
  <c r="H122" i="37"/>
  <c r="O23" i="33"/>
  <c r="N9" i="46"/>
  <c r="L119" i="37"/>
  <c r="V125" i="46"/>
  <c r="V112" i="46"/>
  <c r="V67" i="46"/>
  <c r="V5" i="52"/>
  <c r="V8" i="46"/>
  <c r="V126" i="46"/>
  <c r="V53" i="46"/>
  <c r="W5" i="46"/>
  <c r="V68" i="46"/>
  <c r="V52" i="46"/>
  <c r="V23" i="46"/>
  <c r="V83" i="46"/>
  <c r="V22" i="46"/>
  <c r="V1" i="46"/>
  <c r="V37" i="46" s="1"/>
  <c r="V98" i="46"/>
  <c r="V82" i="46"/>
  <c r="V9" i="46"/>
  <c r="V97" i="46"/>
  <c r="G96" i="39"/>
  <c r="N24" i="38"/>
  <c r="I9" i="65"/>
  <c r="G9" i="65"/>
  <c r="AD49" i="65"/>
  <c r="AD9" i="65"/>
  <c r="K114" i="48"/>
  <c r="K113" i="37"/>
  <c r="L116" i="48"/>
  <c r="L115" i="37"/>
  <c r="C358" i="65"/>
  <c r="C357" i="65" s="1"/>
  <c r="C356" i="65" s="1"/>
  <c r="C360" i="65"/>
  <c r="C361" i="65" s="1"/>
  <c r="C362" i="65" s="1"/>
  <c r="K116" i="48"/>
  <c r="K115" i="37"/>
  <c r="K115" i="48"/>
  <c r="K114" i="37"/>
  <c r="C53" i="46"/>
  <c r="C372" i="65"/>
  <c r="C371" i="65" s="1"/>
  <c r="C370" i="65" s="1"/>
  <c r="C374" i="65"/>
  <c r="C375" i="65" s="1"/>
  <c r="C376" i="65" s="1"/>
  <c r="M27" i="38"/>
  <c r="F89" i="39" s="1"/>
  <c r="E93" i="39"/>
  <c r="N9" i="59"/>
  <c r="C9" i="59" s="1"/>
  <c r="H29" i="38"/>
  <c r="F29" i="38"/>
  <c r="C37" i="46"/>
  <c r="U53" i="46"/>
  <c r="U113" i="46"/>
  <c r="C385" i="65"/>
  <c r="C384" i="65" s="1"/>
  <c r="C383" i="65" s="1"/>
  <c r="C387" i="65"/>
  <c r="C388" i="65" s="1"/>
  <c r="C389" i="65" s="1"/>
  <c r="F97" i="39"/>
  <c r="M28" i="38"/>
  <c r="I127" i="48"/>
  <c r="E129" i="65"/>
  <c r="AB129" i="65"/>
  <c r="U38" i="46"/>
  <c r="U112" i="46"/>
  <c r="H28" i="33"/>
  <c r="F28" i="33"/>
  <c r="H126" i="37"/>
  <c r="G35" i="65"/>
  <c r="F35" i="65" s="1"/>
  <c r="E35" i="65" s="1"/>
  <c r="D35" i="65" s="1"/>
  <c r="I35" i="65"/>
  <c r="J35" i="65" s="1"/>
  <c r="K35" i="65" s="1"/>
  <c r="L35" i="65" s="1"/>
  <c r="C10" i="65"/>
  <c r="N10" i="65" s="1"/>
  <c r="N11" i="65"/>
  <c r="U107" i="38"/>
  <c r="U92" i="38"/>
  <c r="U58" i="38"/>
  <c r="U75" i="38"/>
  <c r="U60" i="38"/>
  <c r="U74" i="38"/>
  <c r="U59" i="38"/>
  <c r="U73" i="38"/>
  <c r="U41" i="38"/>
  <c r="U105" i="38"/>
  <c r="U90" i="38"/>
  <c r="U42" i="38"/>
  <c r="U43" i="38"/>
  <c r="U27" i="38" s="1"/>
  <c r="N89" i="39" s="1"/>
  <c r="U108" i="38"/>
  <c r="U12" i="38"/>
  <c r="U44" i="38"/>
  <c r="U91" i="38"/>
  <c r="U10" i="38"/>
  <c r="U106" i="38"/>
  <c r="U76" i="38"/>
  <c r="U11" i="38"/>
  <c r="U9" i="38"/>
  <c r="U57" i="38"/>
  <c r="U89" i="38"/>
  <c r="N98" i="59"/>
  <c r="C98" i="59" s="1"/>
  <c r="D369" i="65"/>
  <c r="Z369" i="65" s="1"/>
  <c r="AA369" i="65"/>
  <c r="J86" i="39"/>
  <c r="J92" i="39" s="1"/>
  <c r="N15" i="65"/>
  <c r="C16" i="65"/>
  <c r="N16" i="65" s="1"/>
  <c r="I195" i="65"/>
  <c r="J195" i="65" s="1"/>
  <c r="K195" i="65" s="1"/>
  <c r="L195" i="65" s="1"/>
  <c r="G195" i="65"/>
  <c r="F195" i="65" s="1"/>
  <c r="E195" i="65" s="1"/>
  <c r="D195" i="65" s="1"/>
  <c r="C398" i="65"/>
  <c r="C397" i="65" s="1"/>
  <c r="C396" i="65" s="1"/>
  <c r="C400" i="65"/>
  <c r="C401" i="65" s="1"/>
  <c r="C402" i="65" s="1"/>
  <c r="M86" i="39"/>
  <c r="M92" i="39" s="1"/>
  <c r="L115" i="48"/>
  <c r="L114" i="37"/>
  <c r="N37" i="59"/>
  <c r="C37" i="59" s="1"/>
  <c r="AJ171" i="65"/>
  <c r="C170" i="65"/>
  <c r="AJ170" i="65" s="1"/>
  <c r="K113" i="48"/>
  <c r="K112" i="37"/>
  <c r="K118" i="37" s="1"/>
  <c r="U9" i="46"/>
  <c r="U125" i="46"/>
  <c r="C90" i="65"/>
  <c r="N90" i="65" s="1"/>
  <c r="N91" i="65"/>
  <c r="G100" i="39"/>
  <c r="I235" i="65"/>
  <c r="J235" i="65" s="1"/>
  <c r="K235" i="65" s="1"/>
  <c r="L235" i="65" s="1"/>
  <c r="G235" i="65"/>
  <c r="F235" i="65" s="1"/>
  <c r="E235" i="65" s="1"/>
  <c r="D235" i="65" s="1"/>
  <c r="C93" i="39"/>
  <c r="N100" i="39"/>
  <c r="T25" i="33"/>
  <c r="S82" i="59"/>
  <c r="L87" i="39"/>
  <c r="H11" i="31"/>
  <c r="C19" i="31" s="1"/>
  <c r="J113" i="48"/>
  <c r="J112" i="37"/>
  <c r="J118" i="37" s="1"/>
  <c r="G113" i="48"/>
  <c r="G112" i="37"/>
  <c r="G118" i="37" s="1"/>
  <c r="N8" i="46"/>
  <c r="G11" i="31"/>
  <c r="C15" i="31" s="1"/>
  <c r="C17" i="31" s="1"/>
  <c r="F11" i="31"/>
  <c r="U82" i="46"/>
  <c r="C115" i="66" l="1"/>
  <c r="D127" i="66" s="1"/>
  <c r="D137" i="66"/>
  <c r="C159" i="66"/>
  <c r="C66" i="66"/>
  <c r="C120" i="66"/>
  <c r="C121" i="66" s="1"/>
  <c r="C123" i="66" s="1"/>
  <c r="C125" i="66" s="1"/>
  <c r="D157" i="66"/>
  <c r="C144" i="66"/>
  <c r="C83" i="66"/>
  <c r="D136" i="66"/>
  <c r="C8" i="59"/>
  <c r="M93" i="39"/>
  <c r="T97" i="59"/>
  <c r="Q127" i="48"/>
  <c r="V24" i="38"/>
  <c r="O96" i="39"/>
  <c r="Q123" i="48"/>
  <c r="N86" i="39"/>
  <c r="N92" i="39" s="1"/>
  <c r="M119" i="37"/>
  <c r="G97" i="39"/>
  <c r="N28" i="38"/>
  <c r="P128" i="48"/>
  <c r="N123" i="37"/>
  <c r="U27" i="33"/>
  <c r="T23" i="59"/>
  <c r="U25" i="38"/>
  <c r="N27" i="38"/>
  <c r="C125" i="46"/>
  <c r="F169" i="65"/>
  <c r="AC169" i="65"/>
  <c r="E9" i="33"/>
  <c r="AG129" i="65"/>
  <c r="L129" i="65"/>
  <c r="AH129" i="65" s="1"/>
  <c r="T113" i="59"/>
  <c r="Q120" i="48"/>
  <c r="AN5" i="11"/>
  <c r="H123" i="37"/>
  <c r="O27" i="33"/>
  <c r="E42" i="33"/>
  <c r="M114" i="48"/>
  <c r="M113" i="37"/>
  <c r="J169" i="65"/>
  <c r="AE169" i="65"/>
  <c r="Q124" i="48"/>
  <c r="M115" i="48"/>
  <c r="M114" i="37"/>
  <c r="N26" i="38"/>
  <c r="C82" i="59"/>
  <c r="C113" i="46"/>
  <c r="F209" i="65"/>
  <c r="AC209" i="65"/>
  <c r="T38" i="59"/>
  <c r="C181" i="11"/>
  <c r="H100" i="39"/>
  <c r="V113" i="46"/>
  <c r="G101" i="39"/>
  <c r="P102" i="33"/>
  <c r="E102" i="33" s="1"/>
  <c r="P101" i="33"/>
  <c r="E101" i="33" s="1"/>
  <c r="P85" i="33"/>
  <c r="E85" i="33" s="1"/>
  <c r="P10" i="33"/>
  <c r="E10" i="33" s="1"/>
  <c r="P99" i="33"/>
  <c r="P56" i="33"/>
  <c r="E56" i="33" s="1"/>
  <c r="P54" i="33"/>
  <c r="P100" i="33"/>
  <c r="E100" i="33" s="1"/>
  <c r="P84" i="33"/>
  <c r="E84" i="33" s="1"/>
  <c r="P72" i="33"/>
  <c r="P70" i="33"/>
  <c r="E70" i="33" s="1"/>
  <c r="P41" i="33"/>
  <c r="P39" i="33"/>
  <c r="P24" i="33" s="1"/>
  <c r="P87" i="33"/>
  <c r="E87" i="33" s="1"/>
  <c r="P57" i="33"/>
  <c r="P40" i="33"/>
  <c r="P12" i="33"/>
  <c r="P9" i="33"/>
  <c r="P42" i="33"/>
  <c r="P69" i="33"/>
  <c r="E69" i="33" s="1"/>
  <c r="P86" i="33"/>
  <c r="E86" i="33" s="1"/>
  <c r="P11" i="33"/>
  <c r="P71" i="33"/>
  <c r="E71" i="33" s="1"/>
  <c r="P55" i="33"/>
  <c r="E55" i="33" s="1"/>
  <c r="P56" i="38"/>
  <c r="P8" i="38"/>
  <c r="P72" i="38"/>
  <c r="P104" i="38"/>
  <c r="E104" i="38" s="1"/>
  <c r="P40" i="38"/>
  <c r="E40" i="38" s="1"/>
  <c r="P88" i="38"/>
  <c r="P1" i="38"/>
  <c r="F126" i="2"/>
  <c r="D162" i="2" s="1"/>
  <c r="Q82" i="11" s="1"/>
  <c r="Q84" i="11" s="1"/>
  <c r="Q85" i="11" s="1"/>
  <c r="AI82" i="11"/>
  <c r="AB82" i="11"/>
  <c r="AM82" i="11"/>
  <c r="AM84" i="11" s="1"/>
  <c r="AM85" i="11" s="1"/>
  <c r="AE209" i="65"/>
  <c r="J209" i="65"/>
  <c r="T53" i="59"/>
  <c r="AA89" i="65"/>
  <c r="AK89" i="65"/>
  <c r="D89" i="65"/>
  <c r="Q128" i="48"/>
  <c r="I120" i="48"/>
  <c r="C9" i="46"/>
  <c r="I126" i="37"/>
  <c r="P127" i="48"/>
  <c r="O25" i="33"/>
  <c r="O24" i="38"/>
  <c r="H96" i="39"/>
  <c r="E114" i="2"/>
  <c r="D130" i="2" s="1"/>
  <c r="F130" i="2" s="1"/>
  <c r="D166" i="2" s="1"/>
  <c r="P71" i="11"/>
  <c r="U82" i="59"/>
  <c r="U1" i="59"/>
  <c r="U83" i="59" s="1"/>
  <c r="V5" i="59"/>
  <c r="U38" i="59"/>
  <c r="U37" i="59"/>
  <c r="J9" i="65"/>
  <c r="AE49" i="65"/>
  <c r="AE9" i="65"/>
  <c r="W5" i="52"/>
  <c r="W125" i="46"/>
  <c r="X5" i="46"/>
  <c r="W68" i="46"/>
  <c r="W1" i="46"/>
  <c r="W112" i="46" s="1"/>
  <c r="W23" i="46"/>
  <c r="I122" i="37"/>
  <c r="P23" i="33"/>
  <c r="E38" i="33"/>
  <c r="O26" i="33"/>
  <c r="U25" i="33"/>
  <c r="N127" i="37"/>
  <c r="T52" i="59"/>
  <c r="AC49" i="65"/>
  <c r="AC9" i="65"/>
  <c r="F9" i="65"/>
  <c r="O122" i="37"/>
  <c r="V23" i="33"/>
  <c r="U24" i="33"/>
  <c r="AQ89" i="65"/>
  <c r="L89" i="65"/>
  <c r="AG89" i="65"/>
  <c r="T68" i="59"/>
  <c r="H113" i="48"/>
  <c r="H112" i="37"/>
  <c r="H118" i="37" s="1"/>
  <c r="N25" i="38"/>
  <c r="U26" i="33"/>
  <c r="T82" i="59"/>
  <c r="P120" i="48"/>
  <c r="Q119" i="48"/>
  <c r="E98" i="33"/>
  <c r="K10" i="18"/>
  <c r="E10" i="9"/>
  <c r="K10" i="8"/>
  <c r="K10" i="35"/>
  <c r="P10" i="35"/>
  <c r="Q10" i="35"/>
  <c r="K15" i="11"/>
  <c r="T112" i="59"/>
  <c r="N101" i="39"/>
  <c r="H127" i="37"/>
  <c r="E57" i="33"/>
  <c r="O92" i="38"/>
  <c r="O90" i="38"/>
  <c r="O73" i="38"/>
  <c r="O76" i="38"/>
  <c r="O41" i="38"/>
  <c r="O25" i="38" s="1"/>
  <c r="H87" i="39" s="1"/>
  <c r="O75" i="38"/>
  <c r="O60" i="38"/>
  <c r="O57" i="38"/>
  <c r="O89" i="38"/>
  <c r="O9" i="38"/>
  <c r="O58" i="38"/>
  <c r="O107" i="38"/>
  <c r="O59" i="38"/>
  <c r="O105" i="38"/>
  <c r="O74" i="38"/>
  <c r="O42" i="38"/>
  <c r="O26" i="38" s="1"/>
  <c r="H88" i="39" s="1"/>
  <c r="O43" i="38"/>
  <c r="O108" i="38"/>
  <c r="O44" i="38"/>
  <c r="O91" i="38"/>
  <c r="O11" i="38"/>
  <c r="O10" i="38"/>
  <c r="O106" i="38"/>
  <c r="O12" i="38"/>
  <c r="AA129" i="65"/>
  <c r="D129" i="65"/>
  <c r="Z129" i="65" s="1"/>
  <c r="G86" i="39"/>
  <c r="G92" i="39" s="1"/>
  <c r="O24" i="33"/>
  <c r="V60" i="38"/>
  <c r="V58" i="38"/>
  <c r="V10" i="38"/>
  <c r="V75" i="38"/>
  <c r="V43" i="38"/>
  <c r="V92" i="38"/>
  <c r="V108" i="38"/>
  <c r="V105" i="38"/>
  <c r="V107" i="38"/>
  <c r="V73" i="38"/>
  <c r="V59" i="38"/>
  <c r="V41" i="38"/>
  <c r="V90" i="38"/>
  <c r="V74" i="38"/>
  <c r="V42" i="38"/>
  <c r="V12" i="38"/>
  <c r="V44" i="38"/>
  <c r="V91" i="38"/>
  <c r="V106" i="38"/>
  <c r="V76" i="38"/>
  <c r="V11" i="38"/>
  <c r="V9" i="38"/>
  <c r="V57" i="38"/>
  <c r="V89" i="38"/>
  <c r="N97" i="39"/>
  <c r="U28" i="38"/>
  <c r="V38" i="46"/>
  <c r="W104" i="38"/>
  <c r="W88" i="38"/>
  <c r="W72" i="38"/>
  <c r="W40" i="38"/>
  <c r="X5" i="38"/>
  <c r="W1" i="38"/>
  <c r="W56" i="38"/>
  <c r="W8" i="38"/>
  <c r="E8" i="33"/>
  <c r="E88" i="38"/>
  <c r="M116" i="48"/>
  <c r="M115" i="37"/>
  <c r="V99" i="33"/>
  <c r="V86" i="33"/>
  <c r="V84" i="33"/>
  <c r="V57" i="33"/>
  <c r="V55" i="33"/>
  <c r="V87" i="33"/>
  <c r="V71" i="33"/>
  <c r="V69" i="33"/>
  <c r="V42" i="33"/>
  <c r="V85" i="33"/>
  <c r="V102" i="33"/>
  <c r="V100" i="33"/>
  <c r="V39" i="33"/>
  <c r="V41" i="33"/>
  <c r="V11" i="33"/>
  <c r="V70" i="33"/>
  <c r="V54" i="33"/>
  <c r="V101" i="33"/>
  <c r="V10" i="33"/>
  <c r="V72" i="33"/>
  <c r="V56" i="33"/>
  <c r="V40" i="33"/>
  <c r="V12" i="33"/>
  <c r="V9" i="33"/>
  <c r="N113" i="48"/>
  <c r="N112" i="37"/>
  <c r="N118" i="37" s="1"/>
  <c r="T9" i="59"/>
  <c r="T98" i="59"/>
  <c r="E8" i="38"/>
  <c r="E54" i="33"/>
  <c r="C112" i="59"/>
  <c r="T125" i="59"/>
  <c r="T37" i="59"/>
  <c r="E83" i="33"/>
  <c r="E53" i="33"/>
  <c r="T126" i="59"/>
  <c r="T67" i="59"/>
  <c r="W1" i="33"/>
  <c r="W53" i="33"/>
  <c r="W83" i="33"/>
  <c r="W98" i="33"/>
  <c r="X5" i="33"/>
  <c r="W68" i="33"/>
  <c r="W8" i="33"/>
  <c r="W38" i="33"/>
  <c r="E99" i="33"/>
  <c r="E11" i="33"/>
  <c r="G119" i="37"/>
  <c r="T22" i="59"/>
  <c r="T83" i="59"/>
  <c r="P119" i="48"/>
  <c r="I119" i="48"/>
  <c r="C8" i="46"/>
  <c r="E41" i="33"/>
  <c r="U26" i="38"/>
  <c r="F93" i="39"/>
  <c r="O100" i="39"/>
  <c r="O126" i="37"/>
  <c r="E56" i="38"/>
  <c r="C113" i="59"/>
  <c r="D134" i="66" l="1"/>
  <c r="D135" i="66"/>
  <c r="C110" i="66"/>
  <c r="C88" i="66"/>
  <c r="C87" i="66"/>
  <c r="D120" i="66"/>
  <c r="D121" i="66" s="1"/>
  <c r="D123" i="66" s="1"/>
  <c r="D144" i="66"/>
  <c r="D83" i="66"/>
  <c r="D133" i="66"/>
  <c r="C103" i="66"/>
  <c r="C107" i="66"/>
  <c r="C111" i="66"/>
  <c r="C104" i="66"/>
  <c r="C181" i="66"/>
  <c r="C68" i="66"/>
  <c r="D68" i="66" s="1"/>
  <c r="D66" i="66"/>
  <c r="D63" i="66"/>
  <c r="D67" i="66"/>
  <c r="D65" i="66"/>
  <c r="D64" i="66"/>
  <c r="C84" i="66"/>
  <c r="H97" i="39"/>
  <c r="O28" i="38"/>
  <c r="P96" i="39"/>
  <c r="W24" i="38"/>
  <c r="V25" i="33"/>
  <c r="O97" i="39"/>
  <c r="V28" i="38"/>
  <c r="O101" i="39"/>
  <c r="V27" i="38"/>
  <c r="H101" i="39"/>
  <c r="W82" i="46"/>
  <c r="W83" i="46"/>
  <c r="R128" i="48" s="1"/>
  <c r="U113" i="59"/>
  <c r="AJ89" i="65"/>
  <c r="Z89" i="65"/>
  <c r="AR82" i="11"/>
  <c r="AR84" i="11" s="1"/>
  <c r="AR85" i="11" s="1"/>
  <c r="V82" i="11"/>
  <c r="V84" i="11" s="1"/>
  <c r="V85" i="11" s="1"/>
  <c r="P26" i="33"/>
  <c r="N87" i="39"/>
  <c r="O123" i="37"/>
  <c r="V27" i="33"/>
  <c r="P100" i="39"/>
  <c r="N114" i="48"/>
  <c r="N113" i="37"/>
  <c r="E72" i="38"/>
  <c r="W98" i="46"/>
  <c r="U97" i="59"/>
  <c r="AN82" i="11"/>
  <c r="AN84" i="11" s="1"/>
  <c r="AN85" i="11" s="1"/>
  <c r="AH82" i="11"/>
  <c r="AH84" i="11" s="1"/>
  <c r="AH85" i="11" s="1"/>
  <c r="W52" i="46"/>
  <c r="U23" i="59"/>
  <c r="AS82" i="11"/>
  <c r="AS84" i="11" s="1"/>
  <c r="AS85" i="11" s="1"/>
  <c r="T82" i="11"/>
  <c r="T84" i="11" s="1"/>
  <c r="T85" i="11" s="1"/>
  <c r="I100" i="39"/>
  <c r="O86" i="39"/>
  <c r="O92" i="39" s="1"/>
  <c r="P126" i="37"/>
  <c r="W91" i="38"/>
  <c r="W89" i="38"/>
  <c r="W107" i="38"/>
  <c r="W92" i="38"/>
  <c r="W43" i="38"/>
  <c r="W57" i="38"/>
  <c r="W10" i="38"/>
  <c r="W74" i="38"/>
  <c r="W108" i="38"/>
  <c r="W106" i="38"/>
  <c r="W90" i="38"/>
  <c r="W73" i="38"/>
  <c r="W58" i="38"/>
  <c r="W59" i="38"/>
  <c r="W41" i="38"/>
  <c r="W42" i="38"/>
  <c r="W105" i="38"/>
  <c r="W60" i="38"/>
  <c r="W12" i="38"/>
  <c r="W75" i="38"/>
  <c r="W44" i="38"/>
  <c r="W76" i="38"/>
  <c r="W11" i="38"/>
  <c r="W9" i="38"/>
  <c r="W86" i="33"/>
  <c r="W84" i="33"/>
  <c r="W11" i="33"/>
  <c r="W9" i="33"/>
  <c r="W57" i="33"/>
  <c r="W55" i="33"/>
  <c r="W87" i="33"/>
  <c r="W101" i="33"/>
  <c r="W42" i="33"/>
  <c r="W41" i="33"/>
  <c r="W69" i="33"/>
  <c r="W99" i="33"/>
  <c r="W102" i="33"/>
  <c r="W71" i="33"/>
  <c r="W70" i="33"/>
  <c r="W54" i="33"/>
  <c r="W10" i="33"/>
  <c r="W72" i="33"/>
  <c r="W56" i="33"/>
  <c r="W40" i="33"/>
  <c r="W100" i="33"/>
  <c r="W85" i="33"/>
  <c r="W12" i="33"/>
  <c r="W39" i="33"/>
  <c r="W24" i="33" s="1"/>
  <c r="X1" i="38"/>
  <c r="X40" i="38"/>
  <c r="X56" i="38"/>
  <c r="Y5" i="38"/>
  <c r="X88" i="38"/>
  <c r="X8" i="38"/>
  <c r="X104" i="38"/>
  <c r="X72" i="38"/>
  <c r="H116" i="48"/>
  <c r="H115" i="37"/>
  <c r="E26" i="33"/>
  <c r="W22" i="46"/>
  <c r="K9" i="65"/>
  <c r="AF9" i="65"/>
  <c r="AF49" i="65"/>
  <c r="U68" i="59"/>
  <c r="H86" i="39"/>
  <c r="H92" i="39" s="1"/>
  <c r="AO82" i="11"/>
  <c r="AO84" i="11" s="1"/>
  <c r="AO85" i="11" s="1"/>
  <c r="AL82" i="11"/>
  <c r="AL84" i="11" s="1"/>
  <c r="AL85" i="11" s="1"/>
  <c r="E72" i="33"/>
  <c r="R124" i="48"/>
  <c r="H115" i="48"/>
  <c r="H114" i="37"/>
  <c r="AC82" i="11"/>
  <c r="AC84" i="11" s="1"/>
  <c r="AC85" i="11" s="1"/>
  <c r="AJ82" i="11"/>
  <c r="AJ84" i="11" s="1"/>
  <c r="AJ85" i="11" s="1"/>
  <c r="G88" i="39"/>
  <c r="G93" i="39"/>
  <c r="O113" i="48"/>
  <c r="O112" i="37"/>
  <c r="O118" i="37" s="1"/>
  <c r="I113" i="48"/>
  <c r="I112" i="37"/>
  <c r="I118" i="37" s="1"/>
  <c r="W113" i="46"/>
  <c r="U126" i="59"/>
  <c r="W82" i="11"/>
  <c r="P82" i="11"/>
  <c r="G89" i="39"/>
  <c r="O127" i="37"/>
  <c r="V26" i="38"/>
  <c r="O27" i="38"/>
  <c r="H89" i="39" s="1"/>
  <c r="N116" i="48"/>
  <c r="N115" i="37"/>
  <c r="U22" i="59"/>
  <c r="AD82" i="11"/>
  <c r="AD84" i="11" s="1"/>
  <c r="AD85" i="11" s="1"/>
  <c r="X82" i="11"/>
  <c r="X84" i="11" s="1"/>
  <c r="X85" i="11" s="1"/>
  <c r="AF169" i="65"/>
  <c r="K169" i="65"/>
  <c r="W9" i="46"/>
  <c r="U125" i="59"/>
  <c r="U53" i="59"/>
  <c r="AA82" i="11"/>
  <c r="AA84" i="11" s="1"/>
  <c r="AA85" i="11" s="1"/>
  <c r="AG82" i="11"/>
  <c r="AG84" i="11" s="1"/>
  <c r="AG85" i="11" s="1"/>
  <c r="AI84" i="11"/>
  <c r="AI85" i="11" s="1"/>
  <c r="N93" i="39"/>
  <c r="V25" i="38"/>
  <c r="H114" i="48"/>
  <c r="H113" i="37"/>
  <c r="E24" i="33"/>
  <c r="E9" i="65"/>
  <c r="AB49" i="65"/>
  <c r="AB9" i="65"/>
  <c r="X112" i="46"/>
  <c r="X98" i="46"/>
  <c r="X5" i="52"/>
  <c r="X23" i="46"/>
  <c r="X68" i="46"/>
  <c r="X37" i="46"/>
  <c r="Y5" i="46"/>
  <c r="X1" i="46"/>
  <c r="X97" i="46" s="1"/>
  <c r="X113" i="46"/>
  <c r="X8" i="46"/>
  <c r="X52" i="46"/>
  <c r="X82" i="46"/>
  <c r="U67" i="59"/>
  <c r="U112" i="59"/>
  <c r="AF209" i="65"/>
  <c r="K209" i="65"/>
  <c r="U82" i="11"/>
  <c r="U84" i="11" s="1"/>
  <c r="U85" i="11" s="1"/>
  <c r="I123" i="37"/>
  <c r="P27" i="33"/>
  <c r="N119" i="37"/>
  <c r="W37" i="46"/>
  <c r="U8" i="59"/>
  <c r="U98" i="59"/>
  <c r="AE82" i="11"/>
  <c r="AE84" i="11" s="1"/>
  <c r="AE85" i="11" s="1"/>
  <c r="Y82" i="11"/>
  <c r="Y84" i="11" s="1"/>
  <c r="Y85" i="11" s="1"/>
  <c r="C183" i="11"/>
  <c r="C185" i="11" s="1"/>
  <c r="C8" i="56"/>
  <c r="E30" i="9"/>
  <c r="E16" i="9"/>
  <c r="V26" i="33"/>
  <c r="AH89" i="65"/>
  <c r="AR89" i="65"/>
  <c r="W53" i="46"/>
  <c r="W126" i="46"/>
  <c r="U9" i="59"/>
  <c r="R82" i="11"/>
  <c r="R84" i="11" s="1"/>
  <c r="R85" i="11" s="1"/>
  <c r="AF82" i="11"/>
  <c r="AF84" i="11" s="1"/>
  <c r="AF85" i="11" s="1"/>
  <c r="P108" i="38"/>
  <c r="P105" i="38"/>
  <c r="E105" i="38" s="1"/>
  <c r="P60" i="38"/>
  <c r="P58" i="38"/>
  <c r="E58" i="38" s="1"/>
  <c r="P10" i="38"/>
  <c r="E10" i="38" s="1"/>
  <c r="P90" i="38"/>
  <c r="E90" i="38" s="1"/>
  <c r="P59" i="38"/>
  <c r="E59" i="38" s="1"/>
  <c r="P76" i="38"/>
  <c r="P41" i="38"/>
  <c r="P89" i="38"/>
  <c r="E89" i="38" s="1"/>
  <c r="P44" i="38"/>
  <c r="E44" i="38" s="1"/>
  <c r="P57" i="38"/>
  <c r="E57" i="38" s="1"/>
  <c r="P9" i="38"/>
  <c r="E9" i="38" s="1"/>
  <c r="P92" i="38"/>
  <c r="P107" i="38"/>
  <c r="E107" i="38" s="1"/>
  <c r="P73" i="38"/>
  <c r="E73" i="38" s="1"/>
  <c r="P74" i="38"/>
  <c r="E74" i="38" s="1"/>
  <c r="P42" i="38"/>
  <c r="P43" i="38"/>
  <c r="P75" i="38"/>
  <c r="E75" i="38" s="1"/>
  <c r="P12" i="38"/>
  <c r="P91" i="38"/>
  <c r="E91" i="38" s="1"/>
  <c r="P11" i="38"/>
  <c r="E11" i="38" s="1"/>
  <c r="P106" i="38"/>
  <c r="E106" i="38" s="1"/>
  <c r="P25" i="33"/>
  <c r="E40" i="33"/>
  <c r="H119" i="37"/>
  <c r="AB84" i="11"/>
  <c r="AB85" i="11" s="1"/>
  <c r="E12" i="33"/>
  <c r="V24" i="33"/>
  <c r="W38" i="46"/>
  <c r="U52" i="59"/>
  <c r="Z82" i="11"/>
  <c r="Z84" i="11" s="1"/>
  <c r="Z85" i="11" s="1"/>
  <c r="S82" i="11"/>
  <c r="S84" i="11" s="1"/>
  <c r="S85" i="11" s="1"/>
  <c r="I127" i="37"/>
  <c r="P122" i="37"/>
  <c r="W23" i="33"/>
  <c r="N115" i="48"/>
  <c r="N114" i="37"/>
  <c r="W97" i="46"/>
  <c r="W67" i="46"/>
  <c r="AP82" i="11"/>
  <c r="AP84" i="11" s="1"/>
  <c r="AP85" i="11" s="1"/>
  <c r="AQ82" i="11"/>
  <c r="AQ84" i="11" s="1"/>
  <c r="AQ85" i="11" s="1"/>
  <c r="I96" i="39"/>
  <c r="P24" i="38"/>
  <c r="AB209" i="65"/>
  <c r="E209" i="65"/>
  <c r="AO5" i="11"/>
  <c r="E23" i="33"/>
  <c r="N88" i="39"/>
  <c r="X98" i="33"/>
  <c r="X1" i="33"/>
  <c r="X53" i="33"/>
  <c r="X83" i="33"/>
  <c r="X38" i="33"/>
  <c r="Y5" i="33"/>
  <c r="X68" i="33"/>
  <c r="X8" i="33"/>
  <c r="E12" i="38"/>
  <c r="G87" i="39"/>
  <c r="W8" i="46"/>
  <c r="V112" i="59"/>
  <c r="V97" i="59"/>
  <c r="V22" i="59"/>
  <c r="V126" i="59"/>
  <c r="V38" i="59"/>
  <c r="V9" i="59"/>
  <c r="V1" i="59"/>
  <c r="V82" i="59" s="1"/>
  <c r="V23" i="59"/>
  <c r="V98" i="59"/>
  <c r="V52" i="59"/>
  <c r="V68" i="59"/>
  <c r="V113" i="59"/>
  <c r="W5" i="59"/>
  <c r="V67" i="59"/>
  <c r="V83" i="59"/>
  <c r="V37" i="59"/>
  <c r="AT82" i="11"/>
  <c r="AT84" i="11" s="1"/>
  <c r="AT85" i="11" s="1"/>
  <c r="AK82" i="11"/>
  <c r="I114" i="48"/>
  <c r="I113" i="37"/>
  <c r="AB169" i="65"/>
  <c r="E169" i="65"/>
  <c r="E39" i="33"/>
  <c r="C113" i="66" l="1"/>
  <c r="C112" i="66"/>
  <c r="C91" i="66"/>
  <c r="D98" i="66"/>
  <c r="C114" i="66" s="1"/>
  <c r="C117" i="66"/>
  <c r="C106" i="66"/>
  <c r="D104" i="66" s="1"/>
  <c r="C160" i="66"/>
  <c r="C145" i="66"/>
  <c r="D88" i="66"/>
  <c r="D87" i="66"/>
  <c r="D138" i="66" s="1"/>
  <c r="D84" i="66"/>
  <c r="D126" i="66"/>
  <c r="D125" i="66"/>
  <c r="C94" i="66"/>
  <c r="C161" i="66"/>
  <c r="I115" i="48"/>
  <c r="I114" i="37"/>
  <c r="E25" i="33"/>
  <c r="P25" i="38"/>
  <c r="E41" i="38"/>
  <c r="E76" i="38"/>
  <c r="X101" i="33"/>
  <c r="X11" i="33"/>
  <c r="X9" i="33"/>
  <c r="X57" i="33"/>
  <c r="X55" i="33"/>
  <c r="X87" i="33"/>
  <c r="X71" i="33"/>
  <c r="X69" i="33"/>
  <c r="X42" i="33"/>
  <c r="X40" i="33"/>
  <c r="X102" i="33"/>
  <c r="X100" i="33"/>
  <c r="X99" i="33"/>
  <c r="X84" i="33"/>
  <c r="X41" i="33"/>
  <c r="X86" i="33"/>
  <c r="X70" i="33"/>
  <c r="X54" i="33"/>
  <c r="X10" i="33"/>
  <c r="X72" i="33"/>
  <c r="X56" i="33"/>
  <c r="X85" i="33"/>
  <c r="X12" i="33"/>
  <c r="X39" i="33"/>
  <c r="AK84" i="11"/>
  <c r="AK85" i="11" s="1"/>
  <c r="R127" i="48"/>
  <c r="S124" i="48"/>
  <c r="Y53" i="33"/>
  <c r="Y83" i="33"/>
  <c r="Y38" i="33"/>
  <c r="Y68" i="33"/>
  <c r="Y8" i="33"/>
  <c r="Y1" i="33"/>
  <c r="Y98" i="33"/>
  <c r="Z5" i="33"/>
  <c r="E108" i="38"/>
  <c r="P27" i="38"/>
  <c r="I89" i="39" s="1"/>
  <c r="E43" i="38"/>
  <c r="I101" i="39"/>
  <c r="E60" i="38"/>
  <c r="D169" i="65"/>
  <c r="Z169" i="65" s="1"/>
  <c r="AA169" i="65"/>
  <c r="P26" i="38"/>
  <c r="E42" i="38"/>
  <c r="AP5" i="11"/>
  <c r="Q126" i="37"/>
  <c r="L209" i="65"/>
  <c r="AH209" i="65" s="1"/>
  <c r="AG209" i="65"/>
  <c r="AA49" i="65"/>
  <c r="AA9" i="65"/>
  <c r="D9" i="65"/>
  <c r="P114" i="48"/>
  <c r="P113" i="37"/>
  <c r="R119" i="48"/>
  <c r="R123" i="48"/>
  <c r="X90" i="38"/>
  <c r="X106" i="38"/>
  <c r="X59" i="38"/>
  <c r="X57" i="38"/>
  <c r="X11" i="38"/>
  <c r="X9" i="38"/>
  <c r="X75" i="38"/>
  <c r="X10" i="38"/>
  <c r="X108" i="38"/>
  <c r="X92" i="38"/>
  <c r="X42" i="38"/>
  <c r="X107" i="38"/>
  <c r="X91" i="38"/>
  <c r="X76" i="38"/>
  <c r="X41" i="38"/>
  <c r="X73" i="38"/>
  <c r="X105" i="38"/>
  <c r="X74" i="38"/>
  <c r="X60" i="38"/>
  <c r="X43" i="38"/>
  <c r="X12" i="38"/>
  <c r="X44" i="38"/>
  <c r="X89" i="38"/>
  <c r="X58" i="38"/>
  <c r="O89" i="39"/>
  <c r="W1" i="59"/>
  <c r="W23" i="59" s="1"/>
  <c r="W125" i="59"/>
  <c r="W98" i="59"/>
  <c r="W83" i="59"/>
  <c r="W67" i="59"/>
  <c r="W22" i="59"/>
  <c r="W52" i="59"/>
  <c r="X5" i="59"/>
  <c r="Q122" i="37"/>
  <c r="X23" i="33"/>
  <c r="AA209" i="65"/>
  <c r="D209" i="65"/>
  <c r="Z209" i="65" s="1"/>
  <c r="I97" i="39"/>
  <c r="P28" i="38"/>
  <c r="X83" i="46"/>
  <c r="X38" i="46"/>
  <c r="X22" i="46"/>
  <c r="L169" i="65"/>
  <c r="AH169" i="65" s="1"/>
  <c r="AG169" i="65"/>
  <c r="W26" i="33"/>
  <c r="P97" i="39"/>
  <c r="W28" i="38"/>
  <c r="W27" i="38"/>
  <c r="H93" i="39"/>
  <c r="S119" i="48"/>
  <c r="P123" i="37"/>
  <c r="W27" i="33"/>
  <c r="P86" i="39"/>
  <c r="P92" i="39" s="1"/>
  <c r="I116" i="48"/>
  <c r="I115" i="37"/>
  <c r="O93" i="39"/>
  <c r="I86" i="39"/>
  <c r="I92" i="39" s="1"/>
  <c r="O114" i="48"/>
  <c r="O113" i="37"/>
  <c r="I119" i="37"/>
  <c r="X67" i="46"/>
  <c r="E24" i="38"/>
  <c r="E27" i="38"/>
  <c r="P101" i="39"/>
  <c r="P113" i="48"/>
  <c r="P112" i="37"/>
  <c r="P118" i="37" s="1"/>
  <c r="C7" i="56"/>
  <c r="K101" i="11"/>
  <c r="X9" i="46"/>
  <c r="P84" i="11"/>
  <c r="P85" i="11" s="1"/>
  <c r="P127" i="37"/>
  <c r="W26" i="38"/>
  <c r="O116" i="48"/>
  <c r="O115" i="37"/>
  <c r="Y5" i="52"/>
  <c r="Y126" i="46"/>
  <c r="Y125" i="46"/>
  <c r="Y23" i="46"/>
  <c r="Y1" i="46"/>
  <c r="Y67" i="46"/>
  <c r="Z5" i="46"/>
  <c r="Y97" i="46"/>
  <c r="Y38" i="46"/>
  <c r="W84" i="11"/>
  <c r="W85" i="11" s="1"/>
  <c r="W25" i="33"/>
  <c r="W25" i="38"/>
  <c r="P87" i="39" s="1"/>
  <c r="O87" i="39"/>
  <c r="O119" i="37"/>
  <c r="O115" i="48"/>
  <c r="O114" i="37"/>
  <c r="X125" i="46"/>
  <c r="V8" i="59"/>
  <c r="V53" i="59"/>
  <c r="E27" i="33"/>
  <c r="X53" i="46"/>
  <c r="X126" i="46"/>
  <c r="O88" i="39"/>
  <c r="Z5" i="38"/>
  <c r="Y104" i="38"/>
  <c r="Y40" i="38"/>
  <c r="Y1" i="38"/>
  <c r="Y88" i="38"/>
  <c r="Y56" i="38"/>
  <c r="Y8" i="38"/>
  <c r="Y72" i="38"/>
  <c r="R120" i="48"/>
  <c r="V125" i="59"/>
  <c r="E92" i="38"/>
  <c r="E85" i="17"/>
  <c r="E34" i="9"/>
  <c r="E32" i="9"/>
  <c r="E29" i="9"/>
  <c r="E31" i="9"/>
  <c r="E35" i="9"/>
  <c r="E33" i="9"/>
  <c r="E28" i="9"/>
  <c r="Q100" i="39"/>
  <c r="AG49" i="65"/>
  <c r="AG9" i="65"/>
  <c r="L9" i="65"/>
  <c r="Q96" i="39"/>
  <c r="X24" i="38"/>
  <c r="D91" i="66" l="1"/>
  <c r="D189" i="66"/>
  <c r="D97" i="66" s="1"/>
  <c r="D105" i="66"/>
  <c r="D102" i="66"/>
  <c r="D103" i="66"/>
  <c r="Y89" i="38"/>
  <c r="Y43" i="38"/>
  <c r="Y57" i="38"/>
  <c r="Y60" i="38"/>
  <c r="Y107" i="38"/>
  <c r="Y106" i="38"/>
  <c r="Y91" i="38"/>
  <c r="Y105" i="38"/>
  <c r="Y59" i="38"/>
  <c r="Y44" i="38"/>
  <c r="Y41" i="38"/>
  <c r="Y74" i="38"/>
  <c r="Y42" i="38"/>
  <c r="Y90" i="38"/>
  <c r="Y12" i="38"/>
  <c r="Y75" i="38"/>
  <c r="Y108" i="38"/>
  <c r="Y76" i="38"/>
  <c r="Y11" i="38"/>
  <c r="Y10" i="38"/>
  <c r="Y92" i="38"/>
  <c r="Y73" i="38"/>
  <c r="Y9" i="38"/>
  <c r="Y58" i="38"/>
  <c r="Y24" i="38"/>
  <c r="R96" i="39"/>
  <c r="Z72" i="38"/>
  <c r="Z56" i="38"/>
  <c r="AA5" i="38"/>
  <c r="Z1" i="38"/>
  <c r="Z88" i="38"/>
  <c r="Z8" i="38"/>
  <c r="Z104" i="38"/>
  <c r="Z40" i="38"/>
  <c r="P115" i="48"/>
  <c r="P114" i="37"/>
  <c r="Q86" i="39"/>
  <c r="Q92" i="39" s="1"/>
  <c r="AH9" i="65"/>
  <c r="AH49" i="65"/>
  <c r="Y22" i="46"/>
  <c r="Y83" i="46"/>
  <c r="Y52" i="46"/>
  <c r="Y112" i="46"/>
  <c r="Y37" i="46"/>
  <c r="Y98" i="46"/>
  <c r="Y8" i="46"/>
  <c r="Y53" i="46"/>
  <c r="X26" i="38"/>
  <c r="T124" i="48"/>
  <c r="P93" i="39"/>
  <c r="Q113" i="48"/>
  <c r="Q112" i="37"/>
  <c r="Q118" i="37" s="1"/>
  <c r="X24" i="33"/>
  <c r="P116" i="48"/>
  <c r="P115" i="37"/>
  <c r="X53" i="59"/>
  <c r="X97" i="59"/>
  <c r="X52" i="59"/>
  <c r="X1" i="59"/>
  <c r="X126" i="59" s="1"/>
  <c r="X113" i="59"/>
  <c r="X125" i="59"/>
  <c r="Y5" i="59"/>
  <c r="X82" i="59"/>
  <c r="X112" i="59"/>
  <c r="X37" i="59"/>
  <c r="X23" i="59"/>
  <c r="X68" i="59"/>
  <c r="X22" i="59"/>
  <c r="X38" i="59"/>
  <c r="X9" i="59"/>
  <c r="X8" i="59"/>
  <c r="X67" i="59"/>
  <c r="X98" i="59"/>
  <c r="X83" i="59"/>
  <c r="X28" i="38"/>
  <c r="Q97" i="39"/>
  <c r="Y99" i="33"/>
  <c r="Y101" i="33"/>
  <c r="Y57" i="33"/>
  <c r="Y55" i="33"/>
  <c r="Y87" i="33"/>
  <c r="Y71" i="33"/>
  <c r="Y69" i="33"/>
  <c r="Y42" i="33"/>
  <c r="Y40" i="33"/>
  <c r="Y86" i="33"/>
  <c r="Y85" i="33"/>
  <c r="Y102" i="33"/>
  <c r="Y100" i="33"/>
  <c r="Y11" i="33"/>
  <c r="Y84" i="33"/>
  <c r="Y70" i="33"/>
  <c r="Y54" i="33"/>
  <c r="Y10" i="33"/>
  <c r="Y72" i="33"/>
  <c r="Y56" i="33"/>
  <c r="Y12" i="33"/>
  <c r="Y39" i="33"/>
  <c r="Y9" i="33"/>
  <c r="Y41" i="33"/>
  <c r="R122" i="37"/>
  <c r="Y23" i="33"/>
  <c r="I88" i="39"/>
  <c r="E26" i="38"/>
  <c r="P88" i="39"/>
  <c r="Y82" i="46"/>
  <c r="I93" i="39"/>
  <c r="E28" i="38"/>
  <c r="W113" i="59"/>
  <c r="W82" i="59"/>
  <c r="W37" i="59"/>
  <c r="W53" i="59"/>
  <c r="W9" i="59"/>
  <c r="W38" i="59"/>
  <c r="W68" i="59"/>
  <c r="W97" i="59"/>
  <c r="W8" i="59"/>
  <c r="W126" i="59"/>
  <c r="W112" i="59"/>
  <c r="X25" i="38"/>
  <c r="Y68" i="46"/>
  <c r="S123" i="48"/>
  <c r="Y9" i="46"/>
  <c r="Z49" i="65"/>
  <c r="Z9" i="65"/>
  <c r="R100" i="39"/>
  <c r="Y113" i="46"/>
  <c r="P89" i="39"/>
  <c r="AQ5" i="11"/>
  <c r="Z98" i="33"/>
  <c r="Z83" i="33"/>
  <c r="Z38" i="33"/>
  <c r="Z8" i="33"/>
  <c r="Z1" i="33"/>
  <c r="Z53" i="33"/>
  <c r="AA5" i="33"/>
  <c r="Z68" i="33"/>
  <c r="Q127" i="37"/>
  <c r="R126" i="37"/>
  <c r="S120" i="48"/>
  <c r="P119" i="37"/>
  <c r="X26" i="33"/>
  <c r="Z67" i="46"/>
  <c r="Z53" i="46"/>
  <c r="Z126" i="46"/>
  <c r="Z5" i="52"/>
  <c r="Z1" i="46"/>
  <c r="Z125" i="46" s="1"/>
  <c r="Z113" i="46"/>
  <c r="Z83" i="46"/>
  <c r="Z112" i="46"/>
  <c r="Z68" i="46"/>
  <c r="Z82" i="46"/>
  <c r="Z52" i="46"/>
  <c r="Z23" i="46"/>
  <c r="Z98" i="46"/>
  <c r="Z37" i="46"/>
  <c r="Z8" i="46"/>
  <c r="AA5" i="46"/>
  <c r="Z97" i="46"/>
  <c r="Z9" i="46"/>
  <c r="X27" i="38"/>
  <c r="Q89" i="39" s="1"/>
  <c r="S128" i="48"/>
  <c r="Q101" i="39"/>
  <c r="I87" i="39"/>
  <c r="E25" i="38"/>
  <c r="N101" i="11"/>
  <c r="M101" i="11"/>
  <c r="M104" i="11" s="1"/>
  <c r="K65" i="8"/>
  <c r="K104" i="11"/>
  <c r="N104" i="11" s="1"/>
  <c r="S127" i="48"/>
  <c r="X25" i="33"/>
  <c r="Q123" i="37"/>
  <c r="X27" i="33"/>
  <c r="D128" i="66" l="1"/>
  <c r="D132" i="66"/>
  <c r="D145" i="66"/>
  <c r="D94" i="66"/>
  <c r="D95" i="66"/>
  <c r="D96" i="66"/>
  <c r="D106" i="66"/>
  <c r="U119" i="48"/>
  <c r="Q119" i="37"/>
  <c r="N65" i="8"/>
  <c r="M65" i="8"/>
  <c r="M70" i="8" s="1"/>
  <c r="K70" i="8"/>
  <c r="Z38" i="46"/>
  <c r="Y25" i="33"/>
  <c r="Y1" i="59"/>
  <c r="Y9" i="59" s="1"/>
  <c r="Y113" i="59"/>
  <c r="Y112" i="59"/>
  <c r="Y125" i="59"/>
  <c r="Y83" i="59"/>
  <c r="Y67" i="59"/>
  <c r="Y126" i="59"/>
  <c r="Y82" i="59"/>
  <c r="Y68" i="59"/>
  <c r="Y98" i="59"/>
  <c r="Y37" i="59"/>
  <c r="Z5" i="59"/>
  <c r="Y8" i="59"/>
  <c r="AA104" i="38"/>
  <c r="AB5" i="38"/>
  <c r="AA1" i="38"/>
  <c r="AA88" i="38"/>
  <c r="AA56" i="38"/>
  <c r="AA72" i="38"/>
  <c r="AA40" i="38"/>
  <c r="AA8" i="38"/>
  <c r="Q116" i="48"/>
  <c r="Q115" i="37"/>
  <c r="Y26" i="33"/>
  <c r="R123" i="37"/>
  <c r="Y27" i="33"/>
  <c r="S100" i="39"/>
  <c r="U120" i="48"/>
  <c r="T120" i="48"/>
  <c r="AA5" i="52"/>
  <c r="AA125" i="46"/>
  <c r="AA68" i="46"/>
  <c r="AA53" i="46"/>
  <c r="AA113" i="46"/>
  <c r="AA112" i="46"/>
  <c r="AA98" i="46"/>
  <c r="AA52" i="46"/>
  <c r="AA38" i="46"/>
  <c r="AA67" i="46"/>
  <c r="AA1" i="46"/>
  <c r="AA23" i="46" s="1"/>
  <c r="AA97" i="46"/>
  <c r="AB5" i="46"/>
  <c r="AA9" i="46"/>
  <c r="AA22" i="46"/>
  <c r="U127" i="48"/>
  <c r="AR5" i="11"/>
  <c r="Q87" i="39"/>
  <c r="Y24" i="33"/>
  <c r="Q114" i="48"/>
  <c r="Q113" i="37"/>
  <c r="Y26" i="38"/>
  <c r="R113" i="48"/>
  <c r="R112" i="37"/>
  <c r="R118" i="37" s="1"/>
  <c r="Y25" i="38"/>
  <c r="R87" i="39" s="1"/>
  <c r="R127" i="37"/>
  <c r="Q88" i="39"/>
  <c r="Y28" i="38"/>
  <c r="R97" i="39"/>
  <c r="R86" i="39"/>
  <c r="R92" i="39" s="1"/>
  <c r="AA38" i="33"/>
  <c r="AA98" i="33"/>
  <c r="AA8" i="33"/>
  <c r="AA1" i="33"/>
  <c r="AA53" i="33"/>
  <c r="AA83" i="33"/>
  <c r="AB5" i="33"/>
  <c r="AA68" i="33"/>
  <c r="T119" i="48"/>
  <c r="U128" i="48"/>
  <c r="Z102" i="33"/>
  <c r="Z100" i="33"/>
  <c r="Z86" i="33"/>
  <c r="Z84" i="33"/>
  <c r="Z87" i="33"/>
  <c r="Z71" i="33"/>
  <c r="Z69" i="33"/>
  <c r="Z42" i="33"/>
  <c r="Z40" i="33"/>
  <c r="Z25" i="33" s="1"/>
  <c r="Z85" i="33"/>
  <c r="Z56" i="33"/>
  <c r="Z54" i="33"/>
  <c r="Z101" i="33"/>
  <c r="Z99" i="33"/>
  <c r="Z11" i="33"/>
  <c r="Z70" i="33"/>
  <c r="Z10" i="33"/>
  <c r="Z72" i="33"/>
  <c r="Z55" i="33"/>
  <c r="Z12" i="33"/>
  <c r="Z39" i="33"/>
  <c r="Z24" i="33" s="1"/>
  <c r="Z9" i="33"/>
  <c r="Z41" i="33"/>
  <c r="Z57" i="33"/>
  <c r="U124" i="48"/>
  <c r="Q93" i="39"/>
  <c r="Z24" i="38"/>
  <c r="S96" i="39"/>
  <c r="R101" i="39"/>
  <c r="S122" i="37"/>
  <c r="Z23" i="33"/>
  <c r="Q115" i="48"/>
  <c r="Q114" i="37"/>
  <c r="T127" i="48"/>
  <c r="T123" i="48"/>
  <c r="Y27" i="38"/>
  <c r="S126" i="37"/>
  <c r="T128" i="48"/>
  <c r="Z22" i="46"/>
  <c r="Z76" i="38"/>
  <c r="Z74" i="38"/>
  <c r="Z43" i="38"/>
  <c r="Z41" i="38"/>
  <c r="Z106" i="38"/>
  <c r="Z10" i="38"/>
  <c r="Z60" i="38"/>
  <c r="Z107" i="38"/>
  <c r="Z91" i="38"/>
  <c r="Z105" i="38"/>
  <c r="Z73" i="38"/>
  <c r="Z89" i="38"/>
  <c r="Z59" i="38"/>
  <c r="Z42" i="38"/>
  <c r="Z90" i="38"/>
  <c r="Z12" i="38"/>
  <c r="Z75" i="38"/>
  <c r="Z44" i="38"/>
  <c r="Z108" i="38"/>
  <c r="Z11" i="38"/>
  <c r="Z9" i="38"/>
  <c r="Z57" i="38"/>
  <c r="Z58" i="38"/>
  <c r="Z92" i="38"/>
  <c r="V124" i="48" l="1"/>
  <c r="R88" i="39"/>
  <c r="AA83" i="46"/>
  <c r="Z1" i="59"/>
  <c r="Z97" i="59" s="1"/>
  <c r="Z125" i="59"/>
  <c r="Z98" i="59"/>
  <c r="Z67" i="59"/>
  <c r="Z37" i="59"/>
  <c r="Z83" i="59"/>
  <c r="AA5" i="59"/>
  <c r="Z22" i="59"/>
  <c r="Z8" i="59"/>
  <c r="R115" i="48"/>
  <c r="R114" i="37"/>
  <c r="R114" i="48"/>
  <c r="R113" i="37"/>
  <c r="S127" i="37"/>
  <c r="S101" i="39"/>
  <c r="Z26" i="38"/>
  <c r="S88" i="39" s="1"/>
  <c r="S113" i="48"/>
  <c r="S112" i="37"/>
  <c r="S118" i="37" s="1"/>
  <c r="R89" i="39"/>
  <c r="S86" i="39"/>
  <c r="S92" i="39" s="1"/>
  <c r="T96" i="39"/>
  <c r="AA24" i="38"/>
  <c r="S115" i="48"/>
  <c r="S114" i="37"/>
  <c r="T100" i="39"/>
  <c r="U123" i="48"/>
  <c r="S123" i="37"/>
  <c r="Z27" i="33"/>
  <c r="AS5" i="11"/>
  <c r="N70" i="8"/>
  <c r="AA107" i="38"/>
  <c r="AA105" i="38"/>
  <c r="AA92" i="38"/>
  <c r="AA89" i="38"/>
  <c r="AA108" i="38"/>
  <c r="AA57" i="38"/>
  <c r="AA74" i="38"/>
  <c r="AA42" i="38"/>
  <c r="AA12" i="38"/>
  <c r="AA106" i="38"/>
  <c r="AA59" i="38"/>
  <c r="AA90" i="38"/>
  <c r="AA58" i="38"/>
  <c r="AA41" i="38"/>
  <c r="AA25" i="38" s="1"/>
  <c r="T87" i="39" s="1"/>
  <c r="AA60" i="38"/>
  <c r="AA75" i="38"/>
  <c r="AA44" i="38"/>
  <c r="AA43" i="38"/>
  <c r="AA11" i="38"/>
  <c r="AA76" i="38"/>
  <c r="AA9" i="38"/>
  <c r="AA91" i="38"/>
  <c r="AA10" i="38"/>
  <c r="AA73" i="38"/>
  <c r="AB40" i="38"/>
  <c r="AB104" i="38"/>
  <c r="AB88" i="38"/>
  <c r="AB56" i="38"/>
  <c r="AB8" i="38"/>
  <c r="AB72" i="38"/>
  <c r="AB1" i="38"/>
  <c r="AC5" i="38"/>
  <c r="V128" i="48"/>
  <c r="R119" i="37"/>
  <c r="T126" i="37"/>
  <c r="Z26" i="33"/>
  <c r="V123" i="48"/>
  <c r="Z25" i="38"/>
  <c r="S87" i="39" s="1"/>
  <c r="AA71" i="33"/>
  <c r="AA69" i="33"/>
  <c r="AA42" i="33"/>
  <c r="AA40" i="33"/>
  <c r="AA86" i="33"/>
  <c r="AA99" i="33"/>
  <c r="AA84" i="33"/>
  <c r="AA87" i="33"/>
  <c r="AA11" i="33"/>
  <c r="AA70" i="33"/>
  <c r="AA54" i="33"/>
  <c r="AA102" i="33"/>
  <c r="AA10" i="33"/>
  <c r="AA72" i="33"/>
  <c r="AA101" i="33"/>
  <c r="AA56" i="33"/>
  <c r="AA55" i="33"/>
  <c r="AA12" i="33"/>
  <c r="AA39" i="33"/>
  <c r="AA85" i="33"/>
  <c r="AA9" i="33"/>
  <c r="AA100" i="33"/>
  <c r="AA41" i="33"/>
  <c r="AA26" i="33" s="1"/>
  <c r="AA57" i="33"/>
  <c r="R93" i="39"/>
  <c r="AB98" i="46"/>
  <c r="D98" i="46" s="1"/>
  <c r="AB126" i="46"/>
  <c r="AB82" i="46"/>
  <c r="AB5" i="52"/>
  <c r="AB68" i="46"/>
  <c r="AB113" i="46"/>
  <c r="AB112" i="46"/>
  <c r="AB125" i="46"/>
  <c r="AB97" i="46"/>
  <c r="AB83" i="46"/>
  <c r="AB67" i="46"/>
  <c r="AB37" i="46"/>
  <c r="AB8" i="46"/>
  <c r="AB1" i="46"/>
  <c r="AB9" i="46" s="1"/>
  <c r="AB38" i="46"/>
  <c r="AB22" i="46"/>
  <c r="D22" i="46" s="1"/>
  <c r="AB52" i="46"/>
  <c r="AB23" i="46"/>
  <c r="Y22" i="59"/>
  <c r="Y53" i="59"/>
  <c r="V120" i="48"/>
  <c r="AA8" i="46"/>
  <c r="AA82" i="46"/>
  <c r="V127" i="48" s="1"/>
  <c r="R116" i="48"/>
  <c r="R115" i="37"/>
  <c r="Y23" i="59"/>
  <c r="Y52" i="59"/>
  <c r="S114" i="48"/>
  <c r="S113" i="37"/>
  <c r="Z27" i="38"/>
  <c r="S89" i="39" s="1"/>
  <c r="S97" i="39"/>
  <c r="Z28" i="38"/>
  <c r="AA37" i="46"/>
  <c r="AA126" i="46"/>
  <c r="Y38" i="59"/>
  <c r="Y97" i="59"/>
  <c r="AB98" i="33"/>
  <c r="AB38" i="33"/>
  <c r="AB53" i="33"/>
  <c r="AB83" i="33"/>
  <c r="AC5" i="33"/>
  <c r="AB68" i="33"/>
  <c r="AB8" i="33"/>
  <c r="AB1" i="33"/>
  <c r="T122" i="37"/>
  <c r="AA23" i="33"/>
  <c r="W120" i="48" l="1"/>
  <c r="F9" i="46"/>
  <c r="D9" i="46"/>
  <c r="AB111" i="46"/>
  <c r="F112" i="46"/>
  <c r="D112" i="46"/>
  <c r="F113" i="46"/>
  <c r="AB24" i="38"/>
  <c r="U96" i="39"/>
  <c r="AB53" i="46"/>
  <c r="AA1" i="59"/>
  <c r="AA23" i="59" s="1"/>
  <c r="AA126" i="59"/>
  <c r="AA98" i="59"/>
  <c r="AB5" i="59"/>
  <c r="AA67" i="59"/>
  <c r="AA83" i="59"/>
  <c r="AA97" i="59"/>
  <c r="AA9" i="59"/>
  <c r="AA22" i="59"/>
  <c r="W128" i="48"/>
  <c r="F68" i="46"/>
  <c r="D68" i="46"/>
  <c r="D113" i="46"/>
  <c r="AA27" i="38"/>
  <c r="T89" i="39" s="1"/>
  <c r="T86" i="39"/>
  <c r="T92" i="39" s="1"/>
  <c r="F37" i="46"/>
  <c r="D37" i="46"/>
  <c r="AB101" i="33"/>
  <c r="AB100" i="33"/>
  <c r="AB71" i="33"/>
  <c r="AB69" i="33"/>
  <c r="AB42" i="33"/>
  <c r="AB40" i="33"/>
  <c r="AB86" i="33"/>
  <c r="AB85" i="33"/>
  <c r="AB56" i="33"/>
  <c r="AB54" i="33"/>
  <c r="AB102" i="33"/>
  <c r="AB99" i="33"/>
  <c r="AB11" i="33"/>
  <c r="AB70" i="33"/>
  <c r="AB84" i="33"/>
  <c r="AB10" i="33"/>
  <c r="AB72" i="33"/>
  <c r="AB55" i="33"/>
  <c r="AB12" i="33"/>
  <c r="AB39" i="33"/>
  <c r="AB9" i="33"/>
  <c r="AB41" i="33"/>
  <c r="AB26" i="33" s="1"/>
  <c r="AB57" i="33"/>
  <c r="AB87" i="33"/>
  <c r="W124" i="48"/>
  <c r="F23" i="46"/>
  <c r="D23" i="46"/>
  <c r="T97" i="39"/>
  <c r="AA28" i="38"/>
  <c r="AB81" i="46"/>
  <c r="W123" i="48"/>
  <c r="AB21" i="46"/>
  <c r="AB29" i="46" s="1"/>
  <c r="F22" i="46"/>
  <c r="F126" i="46"/>
  <c r="D126" i="46"/>
  <c r="T101" i="39"/>
  <c r="AC98" i="33"/>
  <c r="AC38" i="33"/>
  <c r="AC83" i="33"/>
  <c r="AC53" i="33"/>
  <c r="AD5" i="33"/>
  <c r="AC68" i="33"/>
  <c r="AC8" i="33"/>
  <c r="AC1" i="33"/>
  <c r="F98" i="46"/>
  <c r="F38" i="46"/>
  <c r="D38" i="46"/>
  <c r="U126" i="37"/>
  <c r="Z53" i="59"/>
  <c r="F82" i="46"/>
  <c r="D82" i="46"/>
  <c r="W119" i="48"/>
  <c r="AB14" i="46"/>
  <c r="AB7" i="46"/>
  <c r="T127" i="37"/>
  <c r="S116" i="48"/>
  <c r="S115" i="37"/>
  <c r="AC56" i="38"/>
  <c r="AC104" i="38"/>
  <c r="AC72" i="38"/>
  <c r="AC88" i="38"/>
  <c r="AC8" i="38"/>
  <c r="AC1" i="38"/>
  <c r="AC40" i="38"/>
  <c r="AD5" i="38"/>
  <c r="Z82" i="59"/>
  <c r="U122" i="37"/>
  <c r="AB23" i="33"/>
  <c r="AB36" i="46"/>
  <c r="T116" i="48"/>
  <c r="T115" i="37"/>
  <c r="AB106" i="38"/>
  <c r="AB91" i="38"/>
  <c r="AB75" i="38"/>
  <c r="AB73" i="38"/>
  <c r="AB44" i="38"/>
  <c r="AB42" i="38"/>
  <c r="AB60" i="38"/>
  <c r="AB74" i="38"/>
  <c r="AB12" i="38"/>
  <c r="AB108" i="38"/>
  <c r="AB92" i="38"/>
  <c r="AB9" i="38"/>
  <c r="AB105" i="38"/>
  <c r="AB90" i="38"/>
  <c r="AB76" i="38"/>
  <c r="AB107" i="38"/>
  <c r="AB43" i="38"/>
  <c r="AB11" i="38"/>
  <c r="AB10" i="38"/>
  <c r="AB57" i="38"/>
  <c r="AB89" i="38"/>
  <c r="AB58" i="38"/>
  <c r="AB41" i="38"/>
  <c r="AB59" i="38"/>
  <c r="Z112" i="59"/>
  <c r="AB51" i="46"/>
  <c r="AB59" i="46" s="1"/>
  <c r="D52" i="46"/>
  <c r="F52" i="46"/>
  <c r="S93" i="39"/>
  <c r="V119" i="48"/>
  <c r="D8" i="46"/>
  <c r="F8" i="46"/>
  <c r="T113" i="48"/>
  <c r="T112" i="37"/>
  <c r="T118" i="37" s="1"/>
  <c r="W127" i="48"/>
  <c r="AB66" i="46"/>
  <c r="F67" i="46"/>
  <c r="D67" i="46"/>
  <c r="Z23" i="59"/>
  <c r="Z113" i="59"/>
  <c r="F83" i="46"/>
  <c r="D83" i="46"/>
  <c r="AA26" i="38"/>
  <c r="Z9" i="59"/>
  <c r="Z38" i="59"/>
  <c r="AB96" i="46"/>
  <c r="F97" i="46"/>
  <c r="D97" i="46"/>
  <c r="AA25" i="33"/>
  <c r="U100" i="39"/>
  <c r="AT5" i="11"/>
  <c r="I82" i="11"/>
  <c r="C82" i="11"/>
  <c r="Z126" i="59"/>
  <c r="Z52" i="59"/>
  <c r="AB124" i="46"/>
  <c r="F125" i="46"/>
  <c r="D125" i="46"/>
  <c r="AA24" i="33"/>
  <c r="T123" i="37"/>
  <c r="AA27" i="33"/>
  <c r="S119" i="37"/>
  <c r="Z68" i="59"/>
  <c r="U97" i="39" l="1"/>
  <c r="AB28" i="38"/>
  <c r="AC108" i="38"/>
  <c r="AC92" i="38"/>
  <c r="AC42" i="38"/>
  <c r="AC9" i="38"/>
  <c r="AC90" i="38"/>
  <c r="AC73" i="38"/>
  <c r="AC74" i="38"/>
  <c r="AC105" i="38"/>
  <c r="AC60" i="38"/>
  <c r="AC43" i="38"/>
  <c r="AC12" i="38"/>
  <c r="AC75" i="38"/>
  <c r="AC44" i="38"/>
  <c r="AC11" i="38"/>
  <c r="AC76" i="38"/>
  <c r="AC10" i="38"/>
  <c r="AC91" i="38"/>
  <c r="AC106" i="38"/>
  <c r="AC57" i="38"/>
  <c r="AC89" i="38"/>
  <c r="AC58" i="38"/>
  <c r="AC41" i="38"/>
  <c r="AC25" i="38" s="1"/>
  <c r="V87" i="39" s="1"/>
  <c r="AC59" i="38"/>
  <c r="AC107" i="38"/>
  <c r="F89" i="46"/>
  <c r="F81" i="46"/>
  <c r="F86" i="46" s="1"/>
  <c r="U86" i="39"/>
  <c r="U92" i="39" s="1"/>
  <c r="D111" i="46"/>
  <c r="F120" i="46"/>
  <c r="F111" i="46"/>
  <c r="F116" i="46" s="1"/>
  <c r="D14" i="46"/>
  <c r="D7" i="46"/>
  <c r="AB26" i="38"/>
  <c r="U88" i="39" s="1"/>
  <c r="AC24" i="38"/>
  <c r="V96" i="39"/>
  <c r="D81" i="46"/>
  <c r="AB26" i="46"/>
  <c r="AA24" i="46"/>
  <c r="AA21" i="46" s="1"/>
  <c r="AB116" i="46"/>
  <c r="AB120" i="46" s="1"/>
  <c r="AA114" i="46"/>
  <c r="AA111" i="46" s="1"/>
  <c r="U127" i="37"/>
  <c r="AB1" i="59"/>
  <c r="AB125" i="59" s="1"/>
  <c r="AB119" i="46"/>
  <c r="D66" i="46"/>
  <c r="AB25" i="33"/>
  <c r="F66" i="46"/>
  <c r="F71" i="46" s="1"/>
  <c r="T88" i="39"/>
  <c r="AA69" i="46"/>
  <c r="AA66" i="46" s="1"/>
  <c r="AB71" i="46"/>
  <c r="AB75" i="46" s="1"/>
  <c r="U123" i="37"/>
  <c r="AB27" i="33"/>
  <c r="F75" i="46"/>
  <c r="AB27" i="38"/>
  <c r="V100" i="39"/>
  <c r="AB24" i="33"/>
  <c r="U116" i="48"/>
  <c r="U115" i="37"/>
  <c r="AB74" i="46"/>
  <c r="AA84" i="46"/>
  <c r="AA81" i="46" s="1"/>
  <c r="AB86" i="46"/>
  <c r="AB90" i="46" s="1"/>
  <c r="J8" i="11"/>
  <c r="C34" i="11"/>
  <c r="F19" i="11"/>
  <c r="C54" i="11"/>
  <c r="F35" i="11"/>
  <c r="J37" i="11"/>
  <c r="C63" i="11"/>
  <c r="C49" i="11"/>
  <c r="C13" i="11"/>
  <c r="C59" i="11"/>
  <c r="C33" i="11"/>
  <c r="J34" i="11"/>
  <c r="G35" i="11"/>
  <c r="J21" i="11"/>
  <c r="C11" i="11"/>
  <c r="C39" i="11"/>
  <c r="D65" i="11"/>
  <c r="G50" i="11"/>
  <c r="C35" i="11"/>
  <c r="G65" i="11"/>
  <c r="J65" i="11"/>
  <c r="C165" i="11" s="1"/>
  <c r="K65" i="11" s="1"/>
  <c r="C18" i="11"/>
  <c r="C8" i="11"/>
  <c r="C12" i="11"/>
  <c r="C65" i="11"/>
  <c r="G63" i="11"/>
  <c r="F65" i="11"/>
  <c r="I8" i="11"/>
  <c r="D44" i="11"/>
  <c r="G54" i="11"/>
  <c r="I63" i="11"/>
  <c r="D42" i="11"/>
  <c r="C44" i="11"/>
  <c r="I60" i="11"/>
  <c r="C53" i="11"/>
  <c r="C55" i="11"/>
  <c r="D52" i="11"/>
  <c r="J38" i="11"/>
  <c r="C37" i="11"/>
  <c r="C38" i="11"/>
  <c r="G82" i="11"/>
  <c r="C32" i="11"/>
  <c r="G12" i="11"/>
  <c r="C57" i="11"/>
  <c r="D53" i="11"/>
  <c r="F48" i="11"/>
  <c r="C20" i="11"/>
  <c r="C51" i="11"/>
  <c r="G36" i="11"/>
  <c r="F55" i="11"/>
  <c r="C42" i="11"/>
  <c r="J53" i="11"/>
  <c r="J35" i="11"/>
  <c r="J10" i="11"/>
  <c r="D8" i="11"/>
  <c r="J45" i="11"/>
  <c r="D63" i="11"/>
  <c r="G8" i="11"/>
  <c r="F61" i="11"/>
  <c r="F83" i="11" s="1"/>
  <c r="F53" i="11"/>
  <c r="G34" i="11"/>
  <c r="C64" i="11"/>
  <c r="J49" i="11"/>
  <c r="J44" i="11"/>
  <c r="C10" i="11"/>
  <c r="J36" i="11"/>
  <c r="F14" i="11"/>
  <c r="I45" i="11"/>
  <c r="D45" i="11"/>
  <c r="F51" i="11"/>
  <c r="F49" i="11"/>
  <c r="F42" i="11"/>
  <c r="G56" i="11"/>
  <c r="G75" i="11" s="1"/>
  <c r="G59" i="11"/>
  <c r="D38" i="11"/>
  <c r="C60" i="11"/>
  <c r="F36" i="11"/>
  <c r="J54" i="11"/>
  <c r="D48" i="11"/>
  <c r="I39" i="11"/>
  <c r="F50" i="11"/>
  <c r="C61" i="11"/>
  <c r="C83" i="11" s="1"/>
  <c r="C57" i="8" s="1"/>
  <c r="G48" i="11"/>
  <c r="I48" i="11"/>
  <c r="G37" i="11"/>
  <c r="J59" i="11"/>
  <c r="C159" i="11" s="1"/>
  <c r="K59" i="11" s="1"/>
  <c r="G33" i="11"/>
  <c r="I51" i="11"/>
  <c r="I14" i="11"/>
  <c r="C15" i="9" s="1"/>
  <c r="J18" i="11"/>
  <c r="C43" i="11"/>
  <c r="F62" i="11"/>
  <c r="F77" i="11" s="1"/>
  <c r="I58" i="11"/>
  <c r="I76" i="11" s="1"/>
  <c r="C52" i="11"/>
  <c r="J31" i="11"/>
  <c r="D10" i="11"/>
  <c r="F59" i="11"/>
  <c r="I49" i="11"/>
  <c r="J42" i="11"/>
  <c r="G52" i="11"/>
  <c r="I50" i="11"/>
  <c r="D19" i="11"/>
  <c r="D60" i="11"/>
  <c r="C50" i="11"/>
  <c r="D50" i="11"/>
  <c r="G9" i="11"/>
  <c r="J39" i="11"/>
  <c r="J62" i="11"/>
  <c r="C45" i="11"/>
  <c r="I34" i="11"/>
  <c r="D62" i="11"/>
  <c r="D77" i="11" s="1"/>
  <c r="D33" i="11"/>
  <c r="J17" i="11"/>
  <c r="C17" i="11"/>
  <c r="J32" i="11"/>
  <c r="G21" i="11"/>
  <c r="G11" i="11"/>
  <c r="G7" i="11"/>
  <c r="F18" i="11"/>
  <c r="F52" i="11"/>
  <c r="F11" i="11"/>
  <c r="F31" i="11"/>
  <c r="D31" i="11"/>
  <c r="I12" i="11"/>
  <c r="D7" i="11"/>
  <c r="D49" i="11"/>
  <c r="F43" i="11"/>
  <c r="F32" i="11"/>
  <c r="G13" i="11"/>
  <c r="F37" i="11"/>
  <c r="D35" i="11"/>
  <c r="C31" i="11"/>
  <c r="C48" i="11"/>
  <c r="D37" i="11"/>
  <c r="I31" i="11"/>
  <c r="F54" i="11"/>
  <c r="C21" i="11"/>
  <c r="I53" i="11"/>
  <c r="J64" i="11"/>
  <c r="C164" i="11" s="1"/>
  <c r="K64" i="11" s="1"/>
  <c r="I65" i="11"/>
  <c r="F9" i="11"/>
  <c r="J13" i="11"/>
  <c r="I20" i="11"/>
  <c r="C21" i="9" s="1"/>
  <c r="G53" i="11"/>
  <c r="I62" i="11"/>
  <c r="I77" i="11" s="1"/>
  <c r="J63" i="11"/>
  <c r="C162" i="11" s="1"/>
  <c r="K63" i="11" s="1"/>
  <c r="D13" i="11"/>
  <c r="G44" i="11"/>
  <c r="F57" i="11"/>
  <c r="D34" i="11"/>
  <c r="J58" i="11"/>
  <c r="F45" i="11"/>
  <c r="D64" i="11"/>
  <c r="D9" i="11"/>
  <c r="I32" i="11"/>
  <c r="I42" i="11"/>
  <c r="F12" i="11"/>
  <c r="J43" i="11"/>
  <c r="D12" i="11"/>
  <c r="G57" i="11"/>
  <c r="F13" i="11"/>
  <c r="D57" i="11"/>
  <c r="I52" i="11"/>
  <c r="I54" i="11"/>
  <c r="G32" i="11"/>
  <c r="G31" i="11"/>
  <c r="D18" i="11"/>
  <c r="I38" i="11"/>
  <c r="F10" i="11"/>
  <c r="J48" i="11"/>
  <c r="G38" i="11"/>
  <c r="F8" i="11"/>
  <c r="G18" i="11"/>
  <c r="G58" i="11"/>
  <c r="G76" i="11" s="1"/>
  <c r="I21" i="11"/>
  <c r="C22" i="9" s="1"/>
  <c r="I17" i="11"/>
  <c r="D32" i="11"/>
  <c r="G42" i="11"/>
  <c r="D14" i="11"/>
  <c r="J19" i="11"/>
  <c r="D39" i="11"/>
  <c r="C56" i="11"/>
  <c r="C75" i="11" s="1"/>
  <c r="F33" i="11"/>
  <c r="F44" i="11"/>
  <c r="G19" i="11"/>
  <c r="C62" i="11"/>
  <c r="C77" i="11" s="1"/>
  <c r="J56" i="11"/>
  <c r="I37" i="11"/>
  <c r="J60" i="11"/>
  <c r="C9" i="11"/>
  <c r="J33" i="11"/>
  <c r="J61" i="11"/>
  <c r="I19" i="11"/>
  <c r="C20" i="9" s="1"/>
  <c r="D36" i="11"/>
  <c r="G61" i="11"/>
  <c r="G83" i="11" s="1"/>
  <c r="C19" i="11"/>
  <c r="I61" i="11"/>
  <c r="I83" i="11" s="1"/>
  <c r="I57" i="8" s="1"/>
  <c r="I10" i="11"/>
  <c r="I9" i="11"/>
  <c r="D56" i="11"/>
  <c r="D75" i="11" s="1"/>
  <c r="D56" i="8" s="1"/>
  <c r="I33" i="11"/>
  <c r="D20" i="11"/>
  <c r="G10" i="11"/>
  <c r="J12" i="11"/>
  <c r="J9" i="11"/>
  <c r="J55" i="11"/>
  <c r="G62" i="11"/>
  <c r="G77" i="11" s="1"/>
  <c r="D58" i="11"/>
  <c r="D76" i="11" s="1"/>
  <c r="G55" i="11"/>
  <c r="I18" i="11"/>
  <c r="C19" i="9" s="1"/>
  <c r="D43" i="11"/>
  <c r="F63" i="11"/>
  <c r="F60" i="11"/>
  <c r="G14" i="11"/>
  <c r="J11" i="11"/>
  <c r="I35" i="11"/>
  <c r="J51" i="11"/>
  <c r="D54" i="11"/>
  <c r="G20" i="11"/>
  <c r="F56" i="11"/>
  <c r="F75" i="11" s="1"/>
  <c r="I36" i="11"/>
  <c r="F17" i="11"/>
  <c r="F22" i="11" s="1"/>
  <c r="G17" i="11"/>
  <c r="I7" i="11"/>
  <c r="I43" i="11"/>
  <c r="D55" i="11"/>
  <c r="D82" i="11"/>
  <c r="F34" i="11"/>
  <c r="F20" i="11"/>
  <c r="I57" i="11"/>
  <c r="J7" i="11"/>
  <c r="I44" i="11"/>
  <c r="G64" i="11"/>
  <c r="F7" i="11"/>
  <c r="I56" i="11"/>
  <c r="I75" i="11" s="1"/>
  <c r="I56" i="8" s="1"/>
  <c r="I59" i="11"/>
  <c r="G43" i="11"/>
  <c r="I64" i="11"/>
  <c r="F64" i="11"/>
  <c r="I55" i="11"/>
  <c r="G45" i="11"/>
  <c r="J50" i="11"/>
  <c r="F21" i="11"/>
  <c r="F38" i="11"/>
  <c r="J52" i="11"/>
  <c r="G39" i="11"/>
  <c r="F39" i="11"/>
  <c r="C36" i="11"/>
  <c r="D61" i="11"/>
  <c r="D83" i="11" s="1"/>
  <c r="D59" i="11"/>
  <c r="D21" i="11"/>
  <c r="J20" i="11"/>
  <c r="J57" i="11"/>
  <c r="C157" i="11" s="1"/>
  <c r="K57" i="11" s="1"/>
  <c r="D11" i="11"/>
  <c r="C14" i="11"/>
  <c r="I11" i="11"/>
  <c r="I13" i="11"/>
  <c r="D51" i="11"/>
  <c r="C58" i="11"/>
  <c r="C76" i="11" s="1"/>
  <c r="J14" i="11"/>
  <c r="C7" i="11"/>
  <c r="G51" i="11"/>
  <c r="G60" i="11"/>
  <c r="G49" i="11"/>
  <c r="F58" i="11"/>
  <c r="F76" i="11" s="1"/>
  <c r="D17" i="11"/>
  <c r="D22" i="11" s="1"/>
  <c r="J82" i="11"/>
  <c r="F82" i="11"/>
  <c r="F57" i="8" s="1"/>
  <c r="AB41" i="46"/>
  <c r="AA39" i="46"/>
  <c r="AA36" i="46" s="1"/>
  <c r="AC71" i="33"/>
  <c r="AC69" i="33"/>
  <c r="AC42" i="33"/>
  <c r="AC40" i="33"/>
  <c r="AC12" i="33"/>
  <c r="AC86" i="33"/>
  <c r="AC85" i="33"/>
  <c r="AC56" i="33"/>
  <c r="AC54" i="33"/>
  <c r="AC102" i="33"/>
  <c r="AC101" i="33"/>
  <c r="AC100" i="33"/>
  <c r="AC87" i="33"/>
  <c r="AC11" i="33"/>
  <c r="AC99" i="33"/>
  <c r="AC70" i="33"/>
  <c r="AC84" i="33"/>
  <c r="AC10" i="33"/>
  <c r="AC72" i="33"/>
  <c r="AC55" i="33"/>
  <c r="AC39" i="33"/>
  <c r="AC9" i="33"/>
  <c r="AC41" i="33"/>
  <c r="AC26" i="33" s="1"/>
  <c r="AC57" i="33"/>
  <c r="AB89" i="46"/>
  <c r="T119" i="37"/>
  <c r="AB44" i="46"/>
  <c r="AA68" i="59"/>
  <c r="AA125" i="59"/>
  <c r="AD68" i="33"/>
  <c r="AD98" i="33"/>
  <c r="AD53" i="33"/>
  <c r="AD38" i="33"/>
  <c r="AD83" i="33"/>
  <c r="AD8" i="33"/>
  <c r="AD1" i="33"/>
  <c r="AA53" i="59"/>
  <c r="AA82" i="59"/>
  <c r="F90" i="46"/>
  <c r="AA54" i="46"/>
  <c r="AA51" i="46" s="1"/>
  <c r="AB56" i="46"/>
  <c r="AB13" i="52" s="1"/>
  <c r="T114" i="48"/>
  <c r="T113" i="37"/>
  <c r="T115" i="48"/>
  <c r="T114" i="37"/>
  <c r="V126" i="37"/>
  <c r="T93" i="39"/>
  <c r="AA8" i="59"/>
  <c r="AA112" i="59"/>
  <c r="U113" i="48"/>
  <c r="U112" i="37"/>
  <c r="U118" i="37" s="1"/>
  <c r="D124" i="46"/>
  <c r="D96" i="46"/>
  <c r="AB12" i="46"/>
  <c r="AB15" i="46" s="1"/>
  <c r="AA10" i="46"/>
  <c r="AA7" i="46" s="1"/>
  <c r="D36" i="46"/>
  <c r="AA37" i="59"/>
  <c r="AA113" i="59"/>
  <c r="D21" i="46"/>
  <c r="V122" i="37"/>
  <c r="AC23" i="33"/>
  <c r="F36" i="46"/>
  <c r="F41" i="46" s="1"/>
  <c r="F12" i="52" s="1"/>
  <c r="AA52" i="59"/>
  <c r="AA38" i="59"/>
  <c r="F7" i="46"/>
  <c r="F12" i="46" s="1"/>
  <c r="F15" i="46" s="1"/>
  <c r="AB25" i="38"/>
  <c r="U101" i="39"/>
  <c r="AD1" i="38"/>
  <c r="AD56" i="38"/>
  <c r="F56" i="38" s="1"/>
  <c r="AD104" i="38"/>
  <c r="AD40" i="38"/>
  <c r="AD88" i="38"/>
  <c r="AD8" i="38"/>
  <c r="AD72" i="38"/>
  <c r="F21" i="46"/>
  <c r="F26" i="46" s="1"/>
  <c r="F11" i="52" s="1"/>
  <c r="F124" i="46"/>
  <c r="F129" i="46" s="1"/>
  <c r="F132" i="46" s="1"/>
  <c r="F96" i="46"/>
  <c r="F101" i="46" s="1"/>
  <c r="F105" i="46" s="1"/>
  <c r="AB129" i="46"/>
  <c r="AB132" i="46" s="1"/>
  <c r="AA127" i="46"/>
  <c r="AA124" i="46" s="1"/>
  <c r="AB101" i="46"/>
  <c r="AB105" i="46" s="1"/>
  <c r="AA99" i="46"/>
  <c r="AA96" i="46" s="1"/>
  <c r="AB131" i="46"/>
  <c r="AB104" i="46"/>
  <c r="AB60" i="46"/>
  <c r="F53" i="46"/>
  <c r="F51" i="46" s="1"/>
  <c r="D53" i="46"/>
  <c r="F125" i="59" l="1"/>
  <c r="F56" i="46"/>
  <c r="F13" i="52" s="1"/>
  <c r="F59" i="46"/>
  <c r="H88" i="38"/>
  <c r="F88" i="38"/>
  <c r="F44" i="46"/>
  <c r="W96" i="39"/>
  <c r="AD24" i="38"/>
  <c r="H40" i="38"/>
  <c r="F40" i="38"/>
  <c r="H98" i="33"/>
  <c r="F98" i="33"/>
  <c r="D12" i="8"/>
  <c r="D12" i="18"/>
  <c r="C155" i="11"/>
  <c r="K55" i="11" s="1"/>
  <c r="J45" i="8"/>
  <c r="D70" i="17" s="1"/>
  <c r="J43" i="18"/>
  <c r="C10" i="18"/>
  <c r="C10" i="8"/>
  <c r="D44" i="17"/>
  <c r="J31" i="18"/>
  <c r="J33" i="8"/>
  <c r="N43" i="11"/>
  <c r="M43" i="11"/>
  <c r="D14" i="9"/>
  <c r="J14" i="18"/>
  <c r="J14" i="8"/>
  <c r="M13" i="11"/>
  <c r="N13" i="11"/>
  <c r="D39" i="8"/>
  <c r="D37" i="18"/>
  <c r="I15" i="35"/>
  <c r="I16" i="35" s="1"/>
  <c r="C11" i="17"/>
  <c r="I22" i="18"/>
  <c r="I24" i="8"/>
  <c r="C40" i="18"/>
  <c r="C42" i="8"/>
  <c r="J44" i="8"/>
  <c r="D69" i="17" s="1"/>
  <c r="J42" i="18"/>
  <c r="F90" i="11"/>
  <c r="F54" i="8" s="1"/>
  <c r="F66" i="11"/>
  <c r="F38" i="8"/>
  <c r="F36" i="18"/>
  <c r="G44" i="8"/>
  <c r="G42" i="18"/>
  <c r="D22" i="9"/>
  <c r="N21" i="11"/>
  <c r="M21" i="11"/>
  <c r="AB53" i="59"/>
  <c r="AC27" i="38"/>
  <c r="V89" i="39" s="1"/>
  <c r="H72" i="38"/>
  <c r="F72" i="38"/>
  <c r="AA12" i="46"/>
  <c r="AA15" i="46" s="1"/>
  <c r="Z10" i="46"/>
  <c r="Z7" i="46" s="1"/>
  <c r="AA14" i="46"/>
  <c r="F68" i="33"/>
  <c r="H68" i="33"/>
  <c r="N57" i="11"/>
  <c r="M57" i="11"/>
  <c r="G31" i="18"/>
  <c r="G33" i="8"/>
  <c r="I20" i="35"/>
  <c r="I36" i="35"/>
  <c r="C13" i="17"/>
  <c r="I24" i="18"/>
  <c r="I26" i="8"/>
  <c r="D10" i="9"/>
  <c r="J10" i="8"/>
  <c r="J10" i="18"/>
  <c r="N9" i="11"/>
  <c r="M9" i="11"/>
  <c r="N60" i="11"/>
  <c r="M60" i="11"/>
  <c r="F13" i="8"/>
  <c r="F13" i="18"/>
  <c r="F10" i="18"/>
  <c r="F10" i="8"/>
  <c r="D8" i="18"/>
  <c r="D15" i="11"/>
  <c r="D8" i="8"/>
  <c r="C33" i="18"/>
  <c r="C35" i="8"/>
  <c r="F24" i="18"/>
  <c r="F26" i="8"/>
  <c r="G22" i="18"/>
  <c r="G24" i="8"/>
  <c r="D43" i="8"/>
  <c r="D41" i="18"/>
  <c r="D32" i="18"/>
  <c r="D34" i="8"/>
  <c r="G25" i="8"/>
  <c r="G23" i="18"/>
  <c r="G88" i="11"/>
  <c r="AB83" i="59"/>
  <c r="V101" i="39"/>
  <c r="H8" i="38"/>
  <c r="F104" i="46"/>
  <c r="D21" i="9"/>
  <c r="N20" i="11"/>
  <c r="M20" i="11"/>
  <c r="F56" i="8"/>
  <c r="D13" i="9"/>
  <c r="J13" i="18"/>
  <c r="J13" i="8"/>
  <c r="N12" i="11"/>
  <c r="M12" i="11"/>
  <c r="I19" i="35"/>
  <c r="C14" i="17"/>
  <c r="I25" i="18"/>
  <c r="I27" i="8"/>
  <c r="F9" i="8"/>
  <c r="F9" i="18"/>
  <c r="C43" i="17"/>
  <c r="I46" i="11"/>
  <c r="I30" i="18"/>
  <c r="I32" i="8"/>
  <c r="C13" i="9"/>
  <c r="I13" i="18"/>
  <c r="I13" i="8"/>
  <c r="C163" i="11"/>
  <c r="K62" i="11" s="1"/>
  <c r="J77" i="11"/>
  <c r="F43" i="8"/>
  <c r="F41" i="18"/>
  <c r="C9" i="9"/>
  <c r="I9" i="18"/>
  <c r="I9" i="8"/>
  <c r="J15" i="35"/>
  <c r="D11" i="17"/>
  <c r="J22" i="18"/>
  <c r="J24" i="8"/>
  <c r="M34" i="11"/>
  <c r="N34" i="11"/>
  <c r="U119" i="37"/>
  <c r="AB67" i="59"/>
  <c r="AA116" i="46"/>
  <c r="AA120" i="46" s="1"/>
  <c r="Z114" i="46"/>
  <c r="Z111" i="46" s="1"/>
  <c r="AA119" i="46"/>
  <c r="W126" i="37"/>
  <c r="H53" i="33"/>
  <c r="F53" i="33"/>
  <c r="U87" i="39"/>
  <c r="K82" i="11"/>
  <c r="G11" i="18"/>
  <c r="G11" i="8"/>
  <c r="J75" i="11"/>
  <c r="C156" i="11"/>
  <c r="K56" i="11" s="1"/>
  <c r="G28" i="8"/>
  <c r="G26" i="18"/>
  <c r="I7" i="35"/>
  <c r="C9" i="17"/>
  <c r="I22" i="8"/>
  <c r="I20" i="18"/>
  <c r="N64" i="11"/>
  <c r="M64" i="11"/>
  <c r="G28" i="35"/>
  <c r="D40" i="11"/>
  <c r="D19" i="18"/>
  <c r="D21" i="8"/>
  <c r="J35" i="35"/>
  <c r="M35" i="35" s="1"/>
  <c r="D16" i="17"/>
  <c r="J27" i="18"/>
  <c r="J29" i="8"/>
  <c r="M39" i="11"/>
  <c r="N39" i="11"/>
  <c r="C31" i="18"/>
  <c r="C33" i="8"/>
  <c r="D26" i="18"/>
  <c r="D28" i="8"/>
  <c r="G13" i="18"/>
  <c r="G13" i="8"/>
  <c r="F8" i="35"/>
  <c r="C21" i="18"/>
  <c r="C23" i="8"/>
  <c r="F8" i="38"/>
  <c r="U115" i="48"/>
  <c r="U114" i="37"/>
  <c r="AB52" i="59"/>
  <c r="F119" i="46"/>
  <c r="H104" i="38"/>
  <c r="F104" i="38"/>
  <c r="V113" i="48"/>
  <c r="V112" i="37"/>
  <c r="V118" i="37" s="1"/>
  <c r="C99" i="46"/>
  <c r="C96" i="46" s="1"/>
  <c r="D101" i="46"/>
  <c r="D105" i="46" s="1"/>
  <c r="AD87" i="33"/>
  <c r="AD85" i="33"/>
  <c r="AD12" i="33"/>
  <c r="AD86" i="33"/>
  <c r="AD56" i="33"/>
  <c r="AD54" i="33"/>
  <c r="AD101" i="33"/>
  <c r="AD100" i="33"/>
  <c r="AD72" i="33"/>
  <c r="AD67" i="33" s="1"/>
  <c r="AD70" i="33"/>
  <c r="AD99" i="33"/>
  <c r="AD84" i="33"/>
  <c r="AD69" i="33"/>
  <c r="AD10" i="33"/>
  <c r="AD102" i="33"/>
  <c r="AD71" i="33"/>
  <c r="AD55" i="33"/>
  <c r="AD39" i="33"/>
  <c r="AD9" i="33"/>
  <c r="AD41" i="33"/>
  <c r="AD57" i="33"/>
  <c r="AD52" i="33" s="1"/>
  <c r="AD40" i="33"/>
  <c r="AD42" i="33"/>
  <c r="AD11" i="33"/>
  <c r="AA101" i="46"/>
  <c r="AA105" i="46" s="1"/>
  <c r="Z99" i="46"/>
  <c r="Z96" i="46" s="1"/>
  <c r="AA104" i="46"/>
  <c r="W100" i="39"/>
  <c r="H56" i="38"/>
  <c r="D104" i="46"/>
  <c r="AD7" i="33"/>
  <c r="AD17" i="33" s="1"/>
  <c r="H8" i="33"/>
  <c r="F8" i="33"/>
  <c r="AD106" i="38"/>
  <c r="AD59" i="38"/>
  <c r="AD57" i="38"/>
  <c r="AD11" i="38"/>
  <c r="AD9" i="38"/>
  <c r="AD91" i="38"/>
  <c r="AD12" i="38"/>
  <c r="AD74" i="38"/>
  <c r="AD108" i="38"/>
  <c r="AD107" i="38"/>
  <c r="AD76" i="38"/>
  <c r="AD41" i="38"/>
  <c r="AD89" i="38"/>
  <c r="AD58" i="38"/>
  <c r="AD75" i="38"/>
  <c r="AD42" i="38"/>
  <c r="AD105" i="38"/>
  <c r="AD90" i="38"/>
  <c r="AD60" i="38"/>
  <c r="AD55" i="38" s="1"/>
  <c r="AD43" i="38"/>
  <c r="AD44" i="38"/>
  <c r="AD10" i="38"/>
  <c r="AD92" i="38"/>
  <c r="AD73" i="38"/>
  <c r="F45" i="46"/>
  <c r="C127" i="46"/>
  <c r="C124" i="46" s="1"/>
  <c r="D129" i="46"/>
  <c r="D132" i="46" s="1"/>
  <c r="D24" i="11"/>
  <c r="F8" i="18"/>
  <c r="F15" i="11"/>
  <c r="F24" i="11" s="1"/>
  <c r="F8" i="8"/>
  <c r="D44" i="8"/>
  <c r="D42" i="18"/>
  <c r="C148" i="11"/>
  <c r="J66" i="11"/>
  <c r="J90" i="11"/>
  <c r="J54" i="8" s="1"/>
  <c r="J36" i="18"/>
  <c r="J38" i="8"/>
  <c r="D63" i="17" s="1"/>
  <c r="D10" i="18"/>
  <c r="D10" i="8"/>
  <c r="I43" i="8"/>
  <c r="C68" i="17" s="1"/>
  <c r="I41" i="18"/>
  <c r="F19" i="18"/>
  <c r="F40" i="11"/>
  <c r="F21" i="8"/>
  <c r="G10" i="8"/>
  <c r="G10" i="18"/>
  <c r="D19" i="9"/>
  <c r="C121" i="11"/>
  <c r="G9" i="8"/>
  <c r="G9" i="18"/>
  <c r="F7" i="35"/>
  <c r="F9" i="35" s="1"/>
  <c r="F10" i="35" s="1"/>
  <c r="C22" i="8"/>
  <c r="C20" i="18"/>
  <c r="F14" i="46"/>
  <c r="C39" i="46"/>
  <c r="C36" i="46" s="1"/>
  <c r="D41" i="46"/>
  <c r="F131" i="46"/>
  <c r="D44" i="46"/>
  <c r="Z54" i="46"/>
  <c r="Z51" i="46" s="1"/>
  <c r="AA56" i="46"/>
  <c r="AA59" i="46"/>
  <c r="F29" i="46"/>
  <c r="C151" i="11"/>
  <c r="K51" i="11" s="1"/>
  <c r="J41" i="8"/>
  <c r="D66" i="17" s="1"/>
  <c r="J39" i="18"/>
  <c r="I8" i="35"/>
  <c r="C10" i="17"/>
  <c r="I23" i="8"/>
  <c r="I21" i="18"/>
  <c r="F11" i="18"/>
  <c r="F11" i="8"/>
  <c r="F12" i="18"/>
  <c r="F12" i="8"/>
  <c r="D38" i="18"/>
  <c r="D40" i="8"/>
  <c r="G56" i="8"/>
  <c r="G57" i="8"/>
  <c r="C14" i="8"/>
  <c r="C14" i="18"/>
  <c r="AB37" i="59"/>
  <c r="V127" i="37"/>
  <c r="G39" i="8"/>
  <c r="G37" i="18"/>
  <c r="F20" i="35"/>
  <c r="C24" i="18"/>
  <c r="C26" i="8"/>
  <c r="C45" i="17"/>
  <c r="I34" i="8"/>
  <c r="I32" i="18"/>
  <c r="I21" i="35"/>
  <c r="I33" i="35" s="1"/>
  <c r="C12" i="17"/>
  <c r="I25" i="8"/>
  <c r="I23" i="18"/>
  <c r="I88" i="11"/>
  <c r="F32" i="18"/>
  <c r="F34" i="8"/>
  <c r="C15" i="17"/>
  <c r="I28" i="8"/>
  <c r="I26" i="18"/>
  <c r="F35" i="8"/>
  <c r="F33" i="18"/>
  <c r="F44" i="8"/>
  <c r="F42" i="18"/>
  <c r="F42" i="8"/>
  <c r="F40" i="18"/>
  <c r="C40" i="8"/>
  <c r="C38" i="18"/>
  <c r="I41" i="8"/>
  <c r="C66" i="17" s="1"/>
  <c r="I39" i="18"/>
  <c r="F46" i="11"/>
  <c r="F30" i="18"/>
  <c r="F32" i="8"/>
  <c r="D46" i="17"/>
  <c r="J35" i="8"/>
  <c r="J33" i="18"/>
  <c r="N45" i="11"/>
  <c r="M45" i="11"/>
  <c r="C26" i="18"/>
  <c r="C28" i="8"/>
  <c r="C13" i="18"/>
  <c r="C13" i="8"/>
  <c r="C39" i="8"/>
  <c r="C37" i="18"/>
  <c r="Z69" i="46"/>
  <c r="Z66" i="46" s="1"/>
  <c r="AA71" i="46"/>
  <c r="AA75" i="46" s="1"/>
  <c r="AA74" i="46"/>
  <c r="D71" i="46"/>
  <c r="D75" i="46" s="1"/>
  <c r="C69" i="46"/>
  <c r="C66" i="46" s="1"/>
  <c r="AB126" i="59"/>
  <c r="V116" i="48"/>
  <c r="V115" i="37"/>
  <c r="F27" i="18"/>
  <c r="F29" i="8"/>
  <c r="D8" i="9"/>
  <c r="J15" i="11"/>
  <c r="N15" i="11" s="1"/>
  <c r="J8" i="18"/>
  <c r="J8" i="8"/>
  <c r="N7" i="11"/>
  <c r="M7" i="11"/>
  <c r="D12" i="9"/>
  <c r="J12" i="8"/>
  <c r="J12" i="18"/>
  <c r="M11" i="11"/>
  <c r="N11" i="11"/>
  <c r="C10" i="9"/>
  <c r="I10" i="8"/>
  <c r="I10" i="18"/>
  <c r="F23" i="8"/>
  <c r="F21" i="18"/>
  <c r="C158" i="11"/>
  <c r="K58" i="11" s="1"/>
  <c r="J76" i="11"/>
  <c r="I28" i="35"/>
  <c r="C8" i="17"/>
  <c r="I40" i="11"/>
  <c r="I19" i="18"/>
  <c r="I21" i="8"/>
  <c r="G23" i="8"/>
  <c r="G21" i="18"/>
  <c r="F37" i="18"/>
  <c r="F39" i="8"/>
  <c r="D9" i="8"/>
  <c r="D9" i="18"/>
  <c r="F19" i="35"/>
  <c r="C27" i="8"/>
  <c r="C25" i="18"/>
  <c r="C9" i="18"/>
  <c r="C9" i="8"/>
  <c r="U114" i="48"/>
  <c r="U113" i="37"/>
  <c r="D74" i="46"/>
  <c r="AB68" i="59"/>
  <c r="Z24" i="46"/>
  <c r="Z21" i="46" s="1"/>
  <c r="AA26" i="46"/>
  <c r="AA29" i="46"/>
  <c r="C114" i="46"/>
  <c r="C111" i="46" s="1"/>
  <c r="D116" i="46"/>
  <c r="D120" i="46" s="1"/>
  <c r="AC26" i="38"/>
  <c r="G41" i="8"/>
  <c r="G39" i="18"/>
  <c r="G27" i="18"/>
  <c r="G29" i="8"/>
  <c r="C11" i="9"/>
  <c r="I11" i="18"/>
  <c r="I11" i="8"/>
  <c r="C56" i="8"/>
  <c r="G40" i="11"/>
  <c r="G19" i="18"/>
  <c r="G21" i="8"/>
  <c r="G15" i="35"/>
  <c r="G16" i="35" s="1"/>
  <c r="D24" i="8"/>
  <c r="D22" i="18"/>
  <c r="G19" i="35"/>
  <c r="D27" i="8"/>
  <c r="D25" i="18"/>
  <c r="G15" i="11"/>
  <c r="G8" i="18"/>
  <c r="G8" i="8"/>
  <c r="N59" i="11"/>
  <c r="M59" i="11"/>
  <c r="F41" i="8"/>
  <c r="F39" i="18"/>
  <c r="D11" i="9"/>
  <c r="J11" i="18"/>
  <c r="J11" i="8"/>
  <c r="M10" i="11"/>
  <c r="N10" i="11"/>
  <c r="D15" i="17"/>
  <c r="J28" i="8"/>
  <c r="J26" i="18"/>
  <c r="N38" i="11"/>
  <c r="M38" i="11"/>
  <c r="J19" i="35"/>
  <c r="D14" i="17"/>
  <c r="M37" i="11"/>
  <c r="J25" i="18"/>
  <c r="J27" i="8"/>
  <c r="N37" i="11"/>
  <c r="AB97" i="59"/>
  <c r="AB11" i="52"/>
  <c r="AB30" i="46"/>
  <c r="D119" i="46"/>
  <c r="D53" i="59"/>
  <c r="AC24" i="33"/>
  <c r="C15" i="11"/>
  <c r="C8" i="8"/>
  <c r="C8" i="18"/>
  <c r="C152" i="11"/>
  <c r="K52" i="11" s="1"/>
  <c r="J42" i="8"/>
  <c r="D67" i="17" s="1"/>
  <c r="J40" i="18"/>
  <c r="G35" i="35"/>
  <c r="D27" i="18"/>
  <c r="D29" i="8"/>
  <c r="G22" i="8"/>
  <c r="G20" i="18"/>
  <c r="C66" i="11"/>
  <c r="C90" i="11"/>
  <c r="C54" i="8" s="1"/>
  <c r="C38" i="8"/>
  <c r="C36" i="18"/>
  <c r="G12" i="8"/>
  <c r="G12" i="18"/>
  <c r="I40" i="8"/>
  <c r="C65" i="17" s="1"/>
  <c r="I38" i="18"/>
  <c r="G25" i="18"/>
  <c r="G27" i="8"/>
  <c r="D35" i="8"/>
  <c r="D33" i="18"/>
  <c r="J21" i="35"/>
  <c r="D12" i="17"/>
  <c r="C131" i="11"/>
  <c r="J25" i="8"/>
  <c r="J23" i="18"/>
  <c r="J88" i="11"/>
  <c r="D42" i="8"/>
  <c r="D40" i="18"/>
  <c r="N65" i="11"/>
  <c r="M65" i="11"/>
  <c r="F88" i="11"/>
  <c r="F25" i="8"/>
  <c r="F23" i="18"/>
  <c r="AB98" i="59"/>
  <c r="C84" i="46"/>
  <c r="C81" i="46" s="1"/>
  <c r="D86" i="46"/>
  <c r="D90" i="46" s="1"/>
  <c r="AC25" i="33"/>
  <c r="D15" i="9"/>
  <c r="M14" i="11"/>
  <c r="N14" i="11"/>
  <c r="F28" i="8"/>
  <c r="F26" i="18"/>
  <c r="F24" i="8"/>
  <c r="F22" i="18"/>
  <c r="D20" i="9"/>
  <c r="M19" i="11"/>
  <c r="N19" i="11"/>
  <c r="I44" i="8"/>
  <c r="C69" i="17" s="1"/>
  <c r="I42" i="18"/>
  <c r="G32" i="18"/>
  <c r="G34" i="8"/>
  <c r="F28" i="35"/>
  <c r="C40" i="11"/>
  <c r="C19" i="18"/>
  <c r="C21" i="8"/>
  <c r="G42" i="8"/>
  <c r="G40" i="18"/>
  <c r="I90" i="11"/>
  <c r="I54" i="8" s="1"/>
  <c r="I66" i="11"/>
  <c r="I38" i="8"/>
  <c r="C63" i="17" s="1"/>
  <c r="I36" i="18"/>
  <c r="C46" i="17"/>
  <c r="I35" i="8"/>
  <c r="I33" i="18"/>
  <c r="C153" i="11"/>
  <c r="K53" i="11" s="1"/>
  <c r="J43" i="8"/>
  <c r="D68" i="17" s="1"/>
  <c r="J41" i="18"/>
  <c r="C43" i="18"/>
  <c r="C45" i="8"/>
  <c r="C42" i="18"/>
  <c r="C44" i="8"/>
  <c r="AB8" i="59"/>
  <c r="AB82" i="59"/>
  <c r="D89" i="46"/>
  <c r="U93" i="39"/>
  <c r="V123" i="37"/>
  <c r="AC27" i="33"/>
  <c r="D57" i="8"/>
  <c r="D31" i="18"/>
  <c r="D33" i="8"/>
  <c r="I40" i="18"/>
  <c r="I42" i="8"/>
  <c r="C67" i="17" s="1"/>
  <c r="D14" i="8"/>
  <c r="D14" i="18"/>
  <c r="G21" i="35"/>
  <c r="G33" i="35" s="1"/>
  <c r="G37" i="35" s="1"/>
  <c r="D25" i="8"/>
  <c r="D23" i="18"/>
  <c r="D88" i="11"/>
  <c r="J7" i="35"/>
  <c r="D9" i="17"/>
  <c r="J22" i="8"/>
  <c r="J20" i="18"/>
  <c r="M32" i="11"/>
  <c r="N32" i="11"/>
  <c r="D43" i="17"/>
  <c r="J46" i="11"/>
  <c r="N46" i="11" s="1"/>
  <c r="J30" i="18"/>
  <c r="J32" i="8"/>
  <c r="N42" i="11"/>
  <c r="M42" i="11"/>
  <c r="G90" i="11"/>
  <c r="G54" i="8" s="1"/>
  <c r="G66" i="11"/>
  <c r="G38" i="8"/>
  <c r="G36" i="18"/>
  <c r="C46" i="11"/>
  <c r="C30" i="18"/>
  <c r="C32" i="8"/>
  <c r="C43" i="8"/>
  <c r="C41" i="18"/>
  <c r="F21" i="35"/>
  <c r="F33" i="35" s="1"/>
  <c r="C25" i="8"/>
  <c r="C23" i="18"/>
  <c r="C88" i="11"/>
  <c r="AB23" i="59"/>
  <c r="AB112" i="59"/>
  <c r="D41" i="8"/>
  <c r="D39" i="18"/>
  <c r="C150" i="11"/>
  <c r="K50" i="11" s="1"/>
  <c r="J40" i="8"/>
  <c r="D65" i="17" s="1"/>
  <c r="J38" i="18"/>
  <c r="D43" i="18"/>
  <c r="D45" i="8"/>
  <c r="G20" i="35"/>
  <c r="D24" i="18"/>
  <c r="D26" i="8"/>
  <c r="G46" i="11"/>
  <c r="G30" i="18"/>
  <c r="G32" i="8"/>
  <c r="N63" i="11"/>
  <c r="M63" i="11"/>
  <c r="F25" i="18"/>
  <c r="F27" i="8"/>
  <c r="C22" i="11"/>
  <c r="I39" i="8"/>
  <c r="C64" i="17" s="1"/>
  <c r="I37" i="18"/>
  <c r="J20" i="35"/>
  <c r="D13" i="17"/>
  <c r="J26" i="8"/>
  <c r="J24" i="18"/>
  <c r="N36" i="11"/>
  <c r="M36" i="11"/>
  <c r="F43" i="18"/>
  <c r="F45" i="8"/>
  <c r="G38" i="18"/>
  <c r="G40" i="8"/>
  <c r="F15" i="35"/>
  <c r="F16" i="35" s="1"/>
  <c r="C24" i="8"/>
  <c r="C22" i="18"/>
  <c r="U89" i="39"/>
  <c r="AB38" i="59"/>
  <c r="AB113" i="59"/>
  <c r="D113" i="59" s="1"/>
  <c r="D125" i="59"/>
  <c r="F60" i="46"/>
  <c r="C14" i="9"/>
  <c r="I14" i="8"/>
  <c r="I14" i="18"/>
  <c r="G35" i="8"/>
  <c r="G33" i="18"/>
  <c r="C44" i="17"/>
  <c r="I31" i="18"/>
  <c r="I33" i="8"/>
  <c r="G43" i="18"/>
  <c r="G45" i="8"/>
  <c r="G7" i="35"/>
  <c r="G9" i="35" s="1"/>
  <c r="G10" i="35" s="1"/>
  <c r="D22" i="8"/>
  <c r="D20" i="18"/>
  <c r="F14" i="18"/>
  <c r="F14" i="8"/>
  <c r="G14" i="8"/>
  <c r="G14" i="18"/>
  <c r="D18" i="9"/>
  <c r="J22" i="11"/>
  <c r="M17" i="11"/>
  <c r="N17" i="11"/>
  <c r="F38" i="18"/>
  <c r="F40" i="8"/>
  <c r="C11" i="18"/>
  <c r="C11" i="8"/>
  <c r="G24" i="18"/>
  <c r="G26" i="8"/>
  <c r="C32" i="18"/>
  <c r="C34" i="8"/>
  <c r="D9" i="9"/>
  <c r="J9" i="18"/>
  <c r="J9" i="8"/>
  <c r="M8" i="11"/>
  <c r="N8" i="11"/>
  <c r="AB22" i="59"/>
  <c r="V86" i="39"/>
  <c r="V92" i="39" s="1"/>
  <c r="F102" i="33"/>
  <c r="V97" i="39"/>
  <c r="AC28" i="38"/>
  <c r="W122" i="37"/>
  <c r="AD23" i="33"/>
  <c r="F38" i="33"/>
  <c r="H38" i="33"/>
  <c r="D51" i="46"/>
  <c r="AA41" i="46"/>
  <c r="Z39" i="46"/>
  <c r="Z36" i="46" s="1"/>
  <c r="AA44" i="46"/>
  <c r="C12" i="9"/>
  <c r="I12" i="8"/>
  <c r="I12" i="18"/>
  <c r="I43" i="18"/>
  <c r="I45" i="8"/>
  <c r="C70" i="17" s="1"/>
  <c r="C8" i="9"/>
  <c r="I15" i="11"/>
  <c r="I8" i="18"/>
  <c r="I8" i="8"/>
  <c r="J83" i="11"/>
  <c r="K83" i="11" s="1"/>
  <c r="C161" i="11"/>
  <c r="K61" i="11" s="1"/>
  <c r="C18" i="9"/>
  <c r="C23" i="9" s="1"/>
  <c r="I22" i="11"/>
  <c r="G41" i="18"/>
  <c r="G43" i="8"/>
  <c r="F22" i="8"/>
  <c r="F20" i="18"/>
  <c r="G8" i="35"/>
  <c r="D23" i="8"/>
  <c r="D21" i="18"/>
  <c r="D11" i="8"/>
  <c r="D11" i="18"/>
  <c r="I35" i="35"/>
  <c r="C16" i="17"/>
  <c r="I27" i="18"/>
  <c r="I29" i="8"/>
  <c r="D45" i="17"/>
  <c r="J34" i="8"/>
  <c r="J32" i="18"/>
  <c r="N44" i="11"/>
  <c r="M44" i="11"/>
  <c r="C41" i="8"/>
  <c r="C39" i="18"/>
  <c r="D46" i="11"/>
  <c r="D30" i="18"/>
  <c r="D34" i="18" s="1"/>
  <c r="D32" i="8"/>
  <c r="D36" i="8" s="1"/>
  <c r="F35" i="35"/>
  <c r="C27" i="18"/>
  <c r="C29" i="8"/>
  <c r="F74" i="46"/>
  <c r="AB9" i="59"/>
  <c r="AD82" i="33"/>
  <c r="H83" i="33"/>
  <c r="F83" i="33"/>
  <c r="AA129" i="46"/>
  <c r="AA132" i="46" s="1"/>
  <c r="Z127" i="46"/>
  <c r="Z124" i="46" s="1"/>
  <c r="AA131" i="46"/>
  <c r="D131" i="46"/>
  <c r="C24" i="46"/>
  <c r="C21" i="46" s="1"/>
  <c r="D26" i="46"/>
  <c r="D29" i="46"/>
  <c r="AB12" i="52"/>
  <c r="AB45" i="46"/>
  <c r="G22" i="11"/>
  <c r="G24" i="11" s="1"/>
  <c r="J8" i="35"/>
  <c r="M8" i="35" s="1"/>
  <c r="N8" i="35" s="1"/>
  <c r="D10" i="17"/>
  <c r="J23" i="8"/>
  <c r="J21" i="18"/>
  <c r="N33" i="11"/>
  <c r="M33" i="11"/>
  <c r="D13" i="18"/>
  <c r="D13" i="8"/>
  <c r="F31" i="18"/>
  <c r="F33" i="8"/>
  <c r="J28" i="35"/>
  <c r="D8" i="17"/>
  <c r="J40" i="11"/>
  <c r="J21" i="8"/>
  <c r="J19" i="18"/>
  <c r="N31" i="11"/>
  <c r="M31" i="11"/>
  <c r="D66" i="11"/>
  <c r="D90" i="11"/>
  <c r="D54" i="8" s="1"/>
  <c r="D38" i="8"/>
  <c r="D36" i="18"/>
  <c r="C149" i="11"/>
  <c r="K49" i="11" s="1"/>
  <c r="J39" i="8"/>
  <c r="D64" i="17" s="1"/>
  <c r="J37" i="18"/>
  <c r="C12" i="8"/>
  <c r="C12" i="18"/>
  <c r="Z84" i="46"/>
  <c r="Z81" i="46" s="1"/>
  <c r="AA86" i="46"/>
  <c r="AA90" i="46" s="1"/>
  <c r="AA89" i="46"/>
  <c r="C10" i="46"/>
  <c r="C7" i="46" s="1"/>
  <c r="D12" i="46"/>
  <c r="D15" i="46" s="1"/>
  <c r="F30" i="46"/>
  <c r="F12" i="38"/>
  <c r="F68" i="11" l="1"/>
  <c r="F28" i="11"/>
  <c r="F18" i="8" s="1"/>
  <c r="F16" i="8"/>
  <c r="F16" i="18"/>
  <c r="AC73" i="33"/>
  <c r="AC67" i="33" s="1"/>
  <c r="AD75" i="33"/>
  <c r="AD77" i="33"/>
  <c r="AC61" i="38"/>
  <c r="AC55" i="38" s="1"/>
  <c r="AD63" i="38"/>
  <c r="AD66" i="38"/>
  <c r="AC58" i="33"/>
  <c r="AC52" i="33" s="1"/>
  <c r="AD60" i="33"/>
  <c r="AD62" i="33"/>
  <c r="H9" i="33"/>
  <c r="F9" i="33"/>
  <c r="F12" i="33"/>
  <c r="H12" i="33"/>
  <c r="D39" i="17"/>
  <c r="E39" i="17"/>
  <c r="C16" i="9"/>
  <c r="C28" i="9"/>
  <c r="N50" i="11"/>
  <c r="M50" i="11"/>
  <c r="K40" i="8"/>
  <c r="K38" i="18"/>
  <c r="I45" i="18"/>
  <c r="I44" i="18" s="1"/>
  <c r="I47" i="8"/>
  <c r="I46" i="8" s="1"/>
  <c r="C71" i="17" s="1"/>
  <c r="V114" i="48"/>
  <c r="V113" i="37"/>
  <c r="N26" i="18"/>
  <c r="M26" i="18"/>
  <c r="N35" i="8"/>
  <c r="M35" i="8"/>
  <c r="F28" i="18"/>
  <c r="AD25" i="38"/>
  <c r="H41" i="38"/>
  <c r="F41" i="38"/>
  <c r="AD24" i="33"/>
  <c r="H39" i="33"/>
  <c r="F39" i="33"/>
  <c r="H85" i="33"/>
  <c r="F85" i="33"/>
  <c r="D43" i="9"/>
  <c r="E43" i="9"/>
  <c r="G59" i="8"/>
  <c r="F126" i="59"/>
  <c r="F124" i="59" s="1"/>
  <c r="F129" i="59" s="1"/>
  <c r="F132" i="59" s="1"/>
  <c r="D126" i="59"/>
  <c r="D124" i="59" s="1"/>
  <c r="D59" i="17"/>
  <c r="E59" i="17"/>
  <c r="H76" i="38"/>
  <c r="F76" i="38"/>
  <c r="H55" i="33"/>
  <c r="F55" i="33"/>
  <c r="H87" i="33"/>
  <c r="F87" i="33"/>
  <c r="F7" i="38"/>
  <c r="D30" i="8"/>
  <c r="J57" i="8"/>
  <c r="C33" i="9"/>
  <c r="AB81" i="59"/>
  <c r="F82" i="59"/>
  <c r="J59" i="8"/>
  <c r="D38" i="17"/>
  <c r="E38" i="17"/>
  <c r="C71" i="46"/>
  <c r="C75" i="46" s="1"/>
  <c r="C74" i="46"/>
  <c r="F36" i="8"/>
  <c r="C129" i="46"/>
  <c r="C132" i="46" s="1"/>
  <c r="C131" i="46"/>
  <c r="H107" i="38"/>
  <c r="F107" i="38"/>
  <c r="H71" i="33"/>
  <c r="F71" i="33"/>
  <c r="D28" i="18"/>
  <c r="N82" i="11"/>
  <c r="M82" i="11"/>
  <c r="K57" i="8"/>
  <c r="I36" i="8"/>
  <c r="F53" i="59"/>
  <c r="AB36" i="59"/>
  <c r="F37" i="59"/>
  <c r="D37" i="59"/>
  <c r="H108" i="38"/>
  <c r="F108" i="38"/>
  <c r="H102" i="33"/>
  <c r="C101" i="46"/>
  <c r="C105" i="46" s="1"/>
  <c r="C104" i="46"/>
  <c r="I34" i="18"/>
  <c r="AB111" i="59"/>
  <c r="F112" i="59"/>
  <c r="C30" i="8"/>
  <c r="M12" i="18"/>
  <c r="N12" i="18"/>
  <c r="I59" i="8"/>
  <c r="H73" i="38"/>
  <c r="F73" i="38"/>
  <c r="H74" i="38"/>
  <c r="F74" i="38"/>
  <c r="H10" i="33"/>
  <c r="F10" i="33"/>
  <c r="N24" i="8"/>
  <c r="M24" i="8"/>
  <c r="K43" i="18"/>
  <c r="N55" i="11"/>
  <c r="M55" i="11"/>
  <c r="K45" i="8"/>
  <c r="F9" i="59"/>
  <c r="D9" i="59"/>
  <c r="W113" i="48"/>
  <c r="W112" i="37"/>
  <c r="W118" i="37" s="1"/>
  <c r="H23" i="33"/>
  <c r="F23" i="33"/>
  <c r="J28" i="18"/>
  <c r="N19" i="18"/>
  <c r="M19" i="18"/>
  <c r="Z56" i="46"/>
  <c r="Y54" i="46"/>
  <c r="Y51" i="46" s="1"/>
  <c r="Z59" i="46"/>
  <c r="C41" i="46"/>
  <c r="C44" i="46"/>
  <c r="F30" i="8"/>
  <c r="H17" i="33"/>
  <c r="H7" i="33"/>
  <c r="F23" i="59"/>
  <c r="D23" i="59"/>
  <c r="J36" i="8"/>
  <c r="N36" i="8" s="1"/>
  <c r="N32" i="8"/>
  <c r="M32" i="8"/>
  <c r="C28" i="18"/>
  <c r="D45" i="9"/>
  <c r="E45" i="9"/>
  <c r="K35" i="11"/>
  <c r="C138" i="11"/>
  <c r="M11" i="8"/>
  <c r="N11" i="8"/>
  <c r="G30" i="8"/>
  <c r="AA11" i="52"/>
  <c r="AA30" i="46"/>
  <c r="M12" i="8"/>
  <c r="N12" i="8"/>
  <c r="N51" i="11"/>
  <c r="M51" i="11"/>
  <c r="K41" i="8"/>
  <c r="K39" i="18"/>
  <c r="D72" i="17"/>
  <c r="H92" i="38"/>
  <c r="F92" i="38"/>
  <c r="H12" i="38"/>
  <c r="H69" i="33"/>
  <c r="F69" i="33"/>
  <c r="M22" i="18"/>
  <c r="N22" i="18"/>
  <c r="C47" i="17"/>
  <c r="AD87" i="38"/>
  <c r="AB7" i="59"/>
  <c r="AB14" i="59" s="1"/>
  <c r="F8" i="59"/>
  <c r="D8" i="59"/>
  <c r="C45" i="18"/>
  <c r="C44" i="18" s="1"/>
  <c r="C47" i="8"/>
  <c r="C46" i="8" s="1"/>
  <c r="C116" i="46"/>
  <c r="C120" i="46" s="1"/>
  <c r="C119" i="46"/>
  <c r="F34" i="18"/>
  <c r="D82" i="59"/>
  <c r="C32" i="9"/>
  <c r="Z129" i="46"/>
  <c r="Z132" i="46" s="1"/>
  <c r="Y127" i="46"/>
  <c r="Y124" i="46" s="1"/>
  <c r="Z131" i="46"/>
  <c r="G36" i="8"/>
  <c r="C59" i="8"/>
  <c r="J34" i="18"/>
  <c r="N34" i="18" s="1"/>
  <c r="M30" i="18"/>
  <c r="N30" i="18"/>
  <c r="V115" i="48"/>
  <c r="V114" i="37"/>
  <c r="D35" i="17"/>
  <c r="N11" i="18"/>
  <c r="M11" i="18"/>
  <c r="G28" i="18"/>
  <c r="Y24" i="46"/>
  <c r="Y21" i="46" s="1"/>
  <c r="Z26" i="46"/>
  <c r="Z29" i="46"/>
  <c r="I30" i="8"/>
  <c r="D42" i="9"/>
  <c r="E42" i="9"/>
  <c r="Y69" i="46"/>
  <c r="Y66" i="46" s="1"/>
  <c r="Z71" i="46"/>
  <c r="Z75" i="46" s="1"/>
  <c r="Z74" i="46"/>
  <c r="H10" i="38"/>
  <c r="F10" i="38"/>
  <c r="H91" i="38"/>
  <c r="F91" i="38"/>
  <c r="H84" i="33"/>
  <c r="F84" i="33"/>
  <c r="D34" i="17"/>
  <c r="E34" i="17"/>
  <c r="H86" i="33"/>
  <c r="F86" i="33"/>
  <c r="C12" i="46"/>
  <c r="C15" i="46" s="1"/>
  <c r="C14" i="46"/>
  <c r="J30" i="8"/>
  <c r="N21" i="8"/>
  <c r="M21" i="8"/>
  <c r="D59" i="8"/>
  <c r="C72" i="17"/>
  <c r="F22" i="35"/>
  <c r="N33" i="18"/>
  <c r="M33" i="18"/>
  <c r="D112" i="59"/>
  <c r="D68" i="11"/>
  <c r="D28" i="11"/>
  <c r="D18" i="8" s="1"/>
  <c r="D16" i="18"/>
  <c r="D16" i="8"/>
  <c r="H89" i="38"/>
  <c r="F89" i="38"/>
  <c r="AC13" i="33"/>
  <c r="AC7" i="33" s="1"/>
  <c r="AD15" i="33"/>
  <c r="C52" i="55" s="1"/>
  <c r="D31" i="17"/>
  <c r="D17" i="17"/>
  <c r="E31" i="17"/>
  <c r="D11" i="52"/>
  <c r="D30" i="46"/>
  <c r="C24" i="11"/>
  <c r="G45" i="18"/>
  <c r="G44" i="18" s="1"/>
  <c r="G47" i="8"/>
  <c r="G46" i="8" s="1"/>
  <c r="N28" i="8"/>
  <c r="M28" i="8"/>
  <c r="G22" i="35"/>
  <c r="G30" i="35" s="1"/>
  <c r="G39" i="35" s="1"/>
  <c r="G40" i="35" s="1"/>
  <c r="V88" i="39"/>
  <c r="C30" i="9"/>
  <c r="Y84" i="46"/>
  <c r="Y81" i="46" s="1"/>
  <c r="Z86" i="46"/>
  <c r="Z90" i="46" s="1"/>
  <c r="Z89" i="46"/>
  <c r="J30" i="35"/>
  <c r="M28" i="35"/>
  <c r="C26" i="46"/>
  <c r="C29" i="46"/>
  <c r="V93" i="39"/>
  <c r="M46" i="11"/>
  <c r="N49" i="11"/>
  <c r="M49" i="11"/>
  <c r="K39" i="8"/>
  <c r="K37" i="18"/>
  <c r="Z41" i="46"/>
  <c r="Y39" i="46"/>
  <c r="Y36" i="46" s="1"/>
  <c r="Z44" i="46"/>
  <c r="F68" i="59"/>
  <c r="I28" i="18"/>
  <c r="M15" i="11"/>
  <c r="W97" i="39"/>
  <c r="AD28" i="38"/>
  <c r="H44" i="38"/>
  <c r="F44" i="38"/>
  <c r="H9" i="38"/>
  <c r="F9" i="38"/>
  <c r="Z101" i="46"/>
  <c r="Z105" i="46" s="1"/>
  <c r="Y99" i="46"/>
  <c r="Y96" i="46" s="1"/>
  <c r="Z104" i="46"/>
  <c r="H99" i="33"/>
  <c r="F99" i="33"/>
  <c r="J16" i="35"/>
  <c r="M15" i="35"/>
  <c r="N15" i="35" s="1"/>
  <c r="AB21" i="59"/>
  <c r="F22" i="59"/>
  <c r="D22" i="59"/>
  <c r="J24" i="11"/>
  <c r="G34" i="18"/>
  <c r="F30" i="35"/>
  <c r="J33" i="35"/>
  <c r="K21" i="35"/>
  <c r="H70" i="33"/>
  <c r="F70" i="33"/>
  <c r="N10" i="18"/>
  <c r="M10" i="18"/>
  <c r="N14" i="8"/>
  <c r="M14" i="8"/>
  <c r="F107" i="33"/>
  <c r="F97" i="33"/>
  <c r="AB96" i="59"/>
  <c r="D97" i="59"/>
  <c r="F97" i="59"/>
  <c r="D41" i="9"/>
  <c r="E41" i="9"/>
  <c r="AA12" i="52"/>
  <c r="AA45" i="46"/>
  <c r="D23" i="9"/>
  <c r="D56" i="17"/>
  <c r="D47" i="17"/>
  <c r="E56" i="17"/>
  <c r="I37" i="35"/>
  <c r="J47" i="8"/>
  <c r="J46" i="8" s="1"/>
  <c r="D71" i="17" s="1"/>
  <c r="J45" i="18"/>
  <c r="J44" i="18" s="1"/>
  <c r="AD27" i="38"/>
  <c r="H43" i="38"/>
  <c r="F43" i="38"/>
  <c r="H11" i="38"/>
  <c r="F11" i="38"/>
  <c r="N21" i="18"/>
  <c r="M21" i="18"/>
  <c r="F92" i="33"/>
  <c r="F82" i="33"/>
  <c r="N32" i="18"/>
  <c r="M32" i="18"/>
  <c r="I24" i="11"/>
  <c r="C54" i="46"/>
  <c r="C51" i="46" s="1"/>
  <c r="D56" i="46"/>
  <c r="D59" i="46"/>
  <c r="C34" i="9"/>
  <c r="F37" i="35"/>
  <c r="F39" i="35" s="1"/>
  <c r="F40" i="35" s="1"/>
  <c r="C86" i="46"/>
  <c r="C90" i="46" s="1"/>
  <c r="C89" i="46"/>
  <c r="N27" i="8"/>
  <c r="M27" i="8"/>
  <c r="C17" i="17"/>
  <c r="C20" i="17"/>
  <c r="N8" i="8"/>
  <c r="M8" i="8"/>
  <c r="K48" i="11"/>
  <c r="C169" i="11"/>
  <c r="AD67" i="38"/>
  <c r="W101" i="39"/>
  <c r="H60" i="38"/>
  <c r="H55" i="38" s="1"/>
  <c r="F60" i="38"/>
  <c r="H57" i="38"/>
  <c r="F57" i="38"/>
  <c r="AD78" i="33"/>
  <c r="H72" i="33"/>
  <c r="F72" i="33"/>
  <c r="F67" i="33" s="1"/>
  <c r="AD103" i="38"/>
  <c r="C21" i="17"/>
  <c r="N10" i="8"/>
  <c r="M10" i="8"/>
  <c r="N14" i="18"/>
  <c r="M14" i="18"/>
  <c r="H97" i="33"/>
  <c r="H105" i="33" s="1"/>
  <c r="D98" i="59"/>
  <c r="F98" i="59"/>
  <c r="N25" i="18"/>
  <c r="M25" i="18"/>
  <c r="N8" i="18"/>
  <c r="M8" i="18"/>
  <c r="C154" i="11"/>
  <c r="K54" i="11" s="1"/>
  <c r="C126" i="11"/>
  <c r="K18" i="11"/>
  <c r="H90" i="38"/>
  <c r="F90" i="38"/>
  <c r="H59" i="38"/>
  <c r="F59" i="38"/>
  <c r="H11" i="33"/>
  <c r="F11" i="33"/>
  <c r="H100" i="33"/>
  <c r="F100" i="33"/>
  <c r="I9" i="35"/>
  <c r="I10" i="35" s="1"/>
  <c r="C29" i="9"/>
  <c r="C26" i="17"/>
  <c r="H7" i="38"/>
  <c r="H15" i="38" s="1"/>
  <c r="D40" i="9"/>
  <c r="E40" i="9"/>
  <c r="Z12" i="46"/>
  <c r="Z15" i="46" s="1"/>
  <c r="Y10" i="46"/>
  <c r="Y7" i="46" s="1"/>
  <c r="Z14" i="46"/>
  <c r="F45" i="18"/>
  <c r="F44" i="18" s="1"/>
  <c r="F47" i="8"/>
  <c r="F46" i="8" s="1"/>
  <c r="D44" i="9"/>
  <c r="E44" i="9"/>
  <c r="AD97" i="33"/>
  <c r="F38" i="59"/>
  <c r="D38" i="59"/>
  <c r="P20" i="35"/>
  <c r="M20" i="35"/>
  <c r="J9" i="35"/>
  <c r="M7" i="35"/>
  <c r="N7" i="35" s="1"/>
  <c r="W123" i="37"/>
  <c r="AD27" i="33"/>
  <c r="H42" i="33"/>
  <c r="F42" i="33"/>
  <c r="H101" i="33"/>
  <c r="F101" i="33"/>
  <c r="I22" i="35"/>
  <c r="I30" i="35" s="1"/>
  <c r="AD7" i="38"/>
  <c r="AD26" i="33"/>
  <c r="H41" i="33"/>
  <c r="F41" i="33"/>
  <c r="N23" i="8"/>
  <c r="M23" i="8"/>
  <c r="H82" i="33"/>
  <c r="H90" i="33" s="1"/>
  <c r="N34" i="8"/>
  <c r="M34" i="8"/>
  <c r="C25" i="9"/>
  <c r="C86" i="17" s="1"/>
  <c r="C82" i="17" s="1"/>
  <c r="H37" i="33"/>
  <c r="H45" i="33" s="1"/>
  <c r="N9" i="8"/>
  <c r="M9" i="8"/>
  <c r="N24" i="18"/>
  <c r="M24" i="18"/>
  <c r="V119" i="37"/>
  <c r="F27" i="33"/>
  <c r="N53" i="11"/>
  <c r="M53" i="11"/>
  <c r="K41" i="18"/>
  <c r="K43" i="8"/>
  <c r="D45" i="18"/>
  <c r="D44" i="18" s="1"/>
  <c r="D47" i="8"/>
  <c r="D46" i="8" s="1"/>
  <c r="D33" i="17"/>
  <c r="E33" i="17"/>
  <c r="AD90" i="33"/>
  <c r="AD93" i="33" s="1"/>
  <c r="AC88" i="33"/>
  <c r="AC82" i="33" s="1"/>
  <c r="D58" i="17"/>
  <c r="E58" i="17"/>
  <c r="N61" i="11"/>
  <c r="M61" i="11"/>
  <c r="F37" i="33"/>
  <c r="N9" i="18"/>
  <c r="M9" i="18"/>
  <c r="N26" i="8"/>
  <c r="M26" i="8"/>
  <c r="N20" i="18"/>
  <c r="M20" i="18"/>
  <c r="C81" i="17"/>
  <c r="N52" i="11"/>
  <c r="M52" i="11"/>
  <c r="K42" i="8"/>
  <c r="K40" i="18"/>
  <c r="C31" i="9"/>
  <c r="C52" i="17"/>
  <c r="H105" i="38"/>
  <c r="F105" i="38"/>
  <c r="H106" i="38"/>
  <c r="F106" i="38"/>
  <c r="AD92" i="33"/>
  <c r="N83" i="11"/>
  <c r="M83" i="11"/>
  <c r="AD37" i="33"/>
  <c r="D29" i="9"/>
  <c r="D39" i="9"/>
  <c r="E39" i="9"/>
  <c r="D36" i="17"/>
  <c r="E36" i="17"/>
  <c r="C36" i="8"/>
  <c r="N22" i="8"/>
  <c r="M22" i="8"/>
  <c r="D37" i="17"/>
  <c r="E37" i="17"/>
  <c r="K76" i="11"/>
  <c r="N58" i="11"/>
  <c r="M58" i="11"/>
  <c r="D16" i="9"/>
  <c r="D35" i="9" s="1"/>
  <c r="D28" i="9"/>
  <c r="D38" i="9"/>
  <c r="E38" i="9"/>
  <c r="AD26" i="38"/>
  <c r="H42" i="38"/>
  <c r="F42" i="38"/>
  <c r="AD25" i="33"/>
  <c r="H40" i="33"/>
  <c r="F40" i="33"/>
  <c r="H54" i="33"/>
  <c r="F54" i="33"/>
  <c r="F82" i="38"/>
  <c r="F71" i="38"/>
  <c r="F39" i="38"/>
  <c r="F50" i="38" s="1"/>
  <c r="F113" i="59"/>
  <c r="J36" i="35"/>
  <c r="M36" i="35" s="1"/>
  <c r="C34" i="18"/>
  <c r="D32" i="17"/>
  <c r="E32" i="17"/>
  <c r="C53" i="17"/>
  <c r="F59" i="8"/>
  <c r="C77" i="17"/>
  <c r="J22" i="35"/>
  <c r="M19" i="35"/>
  <c r="N19" i="35" s="1"/>
  <c r="AA13" i="52"/>
  <c r="AA60" i="46"/>
  <c r="D12" i="52"/>
  <c r="D45" i="46"/>
  <c r="H75" i="38"/>
  <c r="F75" i="38"/>
  <c r="F7" i="33"/>
  <c r="W127" i="37"/>
  <c r="AD63" i="33"/>
  <c r="H57" i="33"/>
  <c r="H52" i="33" s="1"/>
  <c r="F57" i="33"/>
  <c r="F52" i="33" s="1"/>
  <c r="H56" i="33"/>
  <c r="F56" i="33"/>
  <c r="N29" i="8"/>
  <c r="M29" i="8"/>
  <c r="K75" i="11"/>
  <c r="N56" i="11"/>
  <c r="M56" i="11"/>
  <c r="Y114" i="46"/>
  <c r="Y111" i="46" s="1"/>
  <c r="Z116" i="46"/>
  <c r="Z120" i="46" s="1"/>
  <c r="Z119" i="46"/>
  <c r="C25" i="17"/>
  <c r="H82" i="38"/>
  <c r="H71" i="38"/>
  <c r="H79" i="38" s="1"/>
  <c r="N33" i="8"/>
  <c r="M33" i="8"/>
  <c r="H39" i="38"/>
  <c r="H47" i="38" s="1"/>
  <c r="H48" i="38" s="1"/>
  <c r="G68" i="11"/>
  <c r="G28" i="11"/>
  <c r="G18" i="8" s="1"/>
  <c r="G16" i="18"/>
  <c r="G16" i="8"/>
  <c r="H58" i="38"/>
  <c r="F58" i="38"/>
  <c r="AB51" i="59"/>
  <c r="F52" i="59"/>
  <c r="D52" i="59"/>
  <c r="D51" i="59" s="1"/>
  <c r="N27" i="18"/>
  <c r="M27" i="18"/>
  <c r="J56" i="8"/>
  <c r="N62" i="11"/>
  <c r="M62" i="11"/>
  <c r="K77" i="11"/>
  <c r="N13" i="8"/>
  <c r="M13" i="8"/>
  <c r="AD71" i="38"/>
  <c r="N31" i="18"/>
  <c r="M31" i="18"/>
  <c r="AD39" i="38"/>
  <c r="AB124" i="59"/>
  <c r="AB66" i="59"/>
  <c r="AB74" i="59" s="1"/>
  <c r="F67" i="59"/>
  <c r="D67" i="59"/>
  <c r="N13" i="18"/>
  <c r="M13" i="18"/>
  <c r="F83" i="59"/>
  <c r="D83" i="59"/>
  <c r="D57" i="17"/>
  <c r="E57" i="17"/>
  <c r="W86" i="39"/>
  <c r="W92" i="39" s="1"/>
  <c r="AD23" i="38"/>
  <c r="AD31" i="38" s="1"/>
  <c r="H24" i="38"/>
  <c r="F24" i="38"/>
  <c r="D68" i="59"/>
  <c r="H60" i="33" l="1"/>
  <c r="H62" i="33"/>
  <c r="E73" i="33"/>
  <c r="E67" i="33" s="1"/>
  <c r="F75" i="33"/>
  <c r="F77" i="33"/>
  <c r="F60" i="33"/>
  <c r="E58" i="33"/>
  <c r="E52" i="33" s="1"/>
  <c r="F62" i="33"/>
  <c r="H63" i="38"/>
  <c r="H64" i="38" s="1"/>
  <c r="H66" i="38"/>
  <c r="N40" i="18"/>
  <c r="M40" i="18"/>
  <c r="D66" i="59"/>
  <c r="W115" i="48"/>
  <c r="W114" i="37"/>
  <c r="H25" i="33"/>
  <c r="F25" i="33"/>
  <c r="J10" i="35"/>
  <c r="M9" i="35"/>
  <c r="N9" i="35" s="1"/>
  <c r="D30" i="9"/>
  <c r="N28" i="35"/>
  <c r="D119" i="59"/>
  <c r="D111" i="59"/>
  <c r="X69" i="46"/>
  <c r="X66" i="46" s="1"/>
  <c r="Y71" i="46"/>
  <c r="Y75" i="46" s="1"/>
  <c r="Y74" i="46"/>
  <c r="M34" i="18"/>
  <c r="H19" i="38"/>
  <c r="D33" i="9"/>
  <c r="D19" i="59"/>
  <c r="D19" i="46"/>
  <c r="E13" i="33"/>
  <c r="E7" i="33" s="1"/>
  <c r="F15" i="33"/>
  <c r="N54" i="11"/>
  <c r="M54" i="11"/>
  <c r="K44" i="8"/>
  <c r="K42" i="18"/>
  <c r="H108" i="33"/>
  <c r="C83" i="17"/>
  <c r="F17" i="33"/>
  <c r="S20" i="35"/>
  <c r="P36" i="35"/>
  <c r="S36" i="35" s="1"/>
  <c r="AD111" i="38"/>
  <c r="AC109" i="38"/>
  <c r="AC103" i="38" s="1"/>
  <c r="AD114" i="38"/>
  <c r="D32" i="9"/>
  <c r="AA54" i="59"/>
  <c r="AA51" i="59" s="1"/>
  <c r="AB56" i="59"/>
  <c r="AB60" i="59" s="1"/>
  <c r="W88" i="39"/>
  <c r="H26" i="38"/>
  <c r="E67" i="17"/>
  <c r="E79" i="17" s="1"/>
  <c r="N42" i="8"/>
  <c r="M42" i="8"/>
  <c r="H18" i="38"/>
  <c r="F78" i="33"/>
  <c r="D31" i="9"/>
  <c r="M21" i="35"/>
  <c r="D21" i="35"/>
  <c r="K33" i="35"/>
  <c r="K22" i="35"/>
  <c r="X39" i="46"/>
  <c r="X36" i="46" s="1"/>
  <c r="Y41" i="46"/>
  <c r="Y44" i="46"/>
  <c r="D7" i="59"/>
  <c r="D14" i="59" s="1"/>
  <c r="P21" i="35"/>
  <c r="Q21" i="35" s="1"/>
  <c r="E12" i="17"/>
  <c r="N35" i="11"/>
  <c r="K25" i="8"/>
  <c r="M35" i="11"/>
  <c r="M40" i="11" s="1"/>
  <c r="K23" i="18"/>
  <c r="K88" i="11"/>
  <c r="K40" i="11"/>
  <c r="N40" i="11" s="1"/>
  <c r="C12" i="52"/>
  <c r="C45" i="46"/>
  <c r="H87" i="38"/>
  <c r="H83" i="38"/>
  <c r="N38" i="18"/>
  <c r="M38" i="18"/>
  <c r="H16" i="38"/>
  <c r="AB129" i="59"/>
  <c r="AB132" i="59" s="1"/>
  <c r="AA127" i="59"/>
  <c r="AA124" i="59" s="1"/>
  <c r="AB131" i="59"/>
  <c r="AB59" i="59"/>
  <c r="W116" i="48"/>
  <c r="W115" i="37"/>
  <c r="H26" i="33"/>
  <c r="F26" i="33"/>
  <c r="J37" i="35"/>
  <c r="J39" i="35" s="1"/>
  <c r="J40" i="35" s="1"/>
  <c r="Y101" i="46"/>
  <c r="Y105" i="46" s="1"/>
  <c r="X99" i="46"/>
  <c r="X96" i="46" s="1"/>
  <c r="Y104" i="46"/>
  <c r="Z12" i="52"/>
  <c r="Z45" i="46"/>
  <c r="X84" i="46"/>
  <c r="X81" i="46" s="1"/>
  <c r="Y86" i="46"/>
  <c r="Y90" i="46" s="1"/>
  <c r="Y89" i="46"/>
  <c r="D40" i="17"/>
  <c r="C75" i="17"/>
  <c r="F7" i="59"/>
  <c r="F12" i="59" s="1"/>
  <c r="F15" i="59" s="1"/>
  <c r="E65" i="17"/>
  <c r="E77" i="17" s="1"/>
  <c r="N40" i="8"/>
  <c r="M40" i="8"/>
  <c r="AB58" i="33"/>
  <c r="AB52" i="33" s="1"/>
  <c r="AC60" i="33"/>
  <c r="AC63" i="33" s="1"/>
  <c r="AC62" i="33"/>
  <c r="AC90" i="33"/>
  <c r="AC93" i="33" s="1"/>
  <c r="AB88" i="33"/>
  <c r="AB82" i="33" s="1"/>
  <c r="AC92" i="33"/>
  <c r="F96" i="59"/>
  <c r="F101" i="59" s="1"/>
  <c r="F105" i="59" s="1"/>
  <c r="N37" i="18"/>
  <c r="M37" i="18"/>
  <c r="Y56" i="46"/>
  <c r="X54" i="46"/>
  <c r="X51" i="46" s="1"/>
  <c r="Y59" i="46"/>
  <c r="E70" i="17"/>
  <c r="E82" i="17" s="1"/>
  <c r="M45" i="8"/>
  <c r="N45" i="8"/>
  <c r="C22" i="17"/>
  <c r="W114" i="48"/>
  <c r="W113" i="37"/>
  <c r="H24" i="33"/>
  <c r="AD105" i="33"/>
  <c r="AD108" i="33" s="1"/>
  <c r="AC103" i="33"/>
  <c r="AC97" i="33" s="1"/>
  <c r="AD107" i="33"/>
  <c r="D96" i="59"/>
  <c r="E64" i="17"/>
  <c r="E76" i="17" s="1"/>
  <c r="N39" i="8"/>
  <c r="M39" i="8"/>
  <c r="F26" i="38"/>
  <c r="Z11" i="52"/>
  <c r="Z30" i="46"/>
  <c r="AB12" i="59"/>
  <c r="AB15" i="59" s="1"/>
  <c r="AA10" i="59"/>
  <c r="AA7" i="59" s="1"/>
  <c r="Z13" i="52"/>
  <c r="Z60" i="46"/>
  <c r="D36" i="59"/>
  <c r="AB86" i="59"/>
  <c r="AB90" i="59" s="1"/>
  <c r="AA84" i="59"/>
  <c r="AA81" i="59" s="1"/>
  <c r="C27" i="17"/>
  <c r="AD64" i="38"/>
  <c r="D85" i="17"/>
  <c r="D46" i="9"/>
  <c r="E46" i="9"/>
  <c r="W89" i="39"/>
  <c r="H27" i="38"/>
  <c r="F27" i="38"/>
  <c r="AB101" i="59"/>
  <c r="AB105" i="59" s="1"/>
  <c r="AA99" i="59"/>
  <c r="AA96" i="59" s="1"/>
  <c r="J68" i="11"/>
  <c r="J16" i="18"/>
  <c r="J28" i="11"/>
  <c r="J18" i="8" s="1"/>
  <c r="J16" i="8"/>
  <c r="AA19" i="59"/>
  <c r="AA19" i="46"/>
  <c r="AB13" i="33"/>
  <c r="AB7" i="33" s="1"/>
  <c r="AC15" i="33"/>
  <c r="AC18" i="33" s="1"/>
  <c r="AC17" i="33"/>
  <c r="Y26" i="46"/>
  <c r="X24" i="46"/>
  <c r="X21" i="46" s="1"/>
  <c r="Y29" i="46"/>
  <c r="Y129" i="46"/>
  <c r="Y132" i="46" s="1"/>
  <c r="X127" i="46"/>
  <c r="X124" i="46" s="1"/>
  <c r="Y131" i="46"/>
  <c r="AD95" i="38"/>
  <c r="AC93" i="38"/>
  <c r="AC87" i="38" s="1"/>
  <c r="AD98" i="38"/>
  <c r="N39" i="18"/>
  <c r="M39" i="18"/>
  <c r="C28" i="17"/>
  <c r="F36" i="59"/>
  <c r="F41" i="59" s="1"/>
  <c r="F45" i="59" s="1"/>
  <c r="AB89" i="59"/>
  <c r="C76" i="17"/>
  <c r="AB61" i="38"/>
  <c r="AB55" i="38" s="1"/>
  <c r="AC63" i="38"/>
  <c r="AC66" i="38"/>
  <c r="AC77" i="38"/>
  <c r="AC71" i="38" s="1"/>
  <c r="AD79" i="38"/>
  <c r="AD82" i="38"/>
  <c r="AB104" i="59"/>
  <c r="AB19" i="46"/>
  <c r="H67" i="33"/>
  <c r="E66" i="17"/>
  <c r="E78" i="17" s="1"/>
  <c r="N41" i="8"/>
  <c r="M41" i="8"/>
  <c r="C79" i="17"/>
  <c r="N43" i="18"/>
  <c r="M43" i="18"/>
  <c r="F119" i="59"/>
  <c r="F111" i="59"/>
  <c r="F116" i="59" s="1"/>
  <c r="F120" i="59" s="1"/>
  <c r="AA39" i="59"/>
  <c r="AA36" i="59" s="1"/>
  <c r="AB41" i="59"/>
  <c r="W87" i="39"/>
  <c r="H25" i="38"/>
  <c r="F25" i="38"/>
  <c r="F66" i="59"/>
  <c r="F71" i="59" s="1"/>
  <c r="F75" i="59" s="1"/>
  <c r="G49" i="8"/>
  <c r="G15" i="8"/>
  <c r="AD45" i="33"/>
  <c r="AD48" i="33" s="1"/>
  <c r="AC43" i="33"/>
  <c r="AD47" i="33"/>
  <c r="F55" i="38"/>
  <c r="H47" i="33"/>
  <c r="D34" i="9"/>
  <c r="H67" i="38"/>
  <c r="D83" i="17"/>
  <c r="E103" i="33"/>
  <c r="E97" i="33" s="1"/>
  <c r="F105" i="33"/>
  <c r="F108" i="33" s="1"/>
  <c r="F21" i="59"/>
  <c r="F26" i="59" s="1"/>
  <c r="F30" i="59" s="1"/>
  <c r="H51" i="38"/>
  <c r="AB19" i="59"/>
  <c r="M36" i="8"/>
  <c r="AB116" i="59"/>
  <c r="AB120" i="59" s="1"/>
  <c r="AA114" i="59"/>
  <c r="AA111" i="59" s="1"/>
  <c r="AB44" i="59"/>
  <c r="C85" i="17"/>
  <c r="C35" i="9"/>
  <c r="X114" i="46"/>
  <c r="X111" i="46" s="1"/>
  <c r="Y116" i="46"/>
  <c r="Y120" i="46" s="1"/>
  <c r="Y119" i="46"/>
  <c r="AD15" i="38"/>
  <c r="AC13" i="38"/>
  <c r="AC7" i="38" s="1"/>
  <c r="AD18" i="38"/>
  <c r="AD34" i="38"/>
  <c r="F47" i="38"/>
  <c r="E45" i="38"/>
  <c r="E39" i="38" s="1"/>
  <c r="G71" i="11"/>
  <c r="G69" i="11"/>
  <c r="G74" i="11"/>
  <c r="G78" i="11" s="1"/>
  <c r="E77" i="38"/>
  <c r="E71" i="38" s="1"/>
  <c r="F79" i="38"/>
  <c r="F80" i="38" s="1"/>
  <c r="N76" i="11"/>
  <c r="M76" i="11"/>
  <c r="F48" i="33"/>
  <c r="D13" i="52"/>
  <c r="D60" i="46"/>
  <c r="I39" i="35"/>
  <c r="I40" i="35" s="1"/>
  <c r="AB29" i="59"/>
  <c r="AA24" i="59"/>
  <c r="AA21" i="59" s="1"/>
  <c r="AB26" i="59"/>
  <c r="AB30" i="59" s="1"/>
  <c r="AB119" i="59"/>
  <c r="C23" i="17"/>
  <c r="C80" i="17"/>
  <c r="AB73" i="33"/>
  <c r="AB67" i="33" s="1"/>
  <c r="AC75" i="33"/>
  <c r="AC78" i="33" s="1"/>
  <c r="AC77" i="33"/>
  <c r="D59" i="59"/>
  <c r="D56" i="59"/>
  <c r="D60" i="59" s="1"/>
  <c r="C54" i="59"/>
  <c r="C51" i="59" s="1"/>
  <c r="F131" i="59"/>
  <c r="N75" i="11"/>
  <c r="M75" i="11"/>
  <c r="K56" i="8"/>
  <c r="M77" i="11"/>
  <c r="N77" i="11"/>
  <c r="D131" i="59"/>
  <c r="C127" i="59"/>
  <c r="C124" i="59" s="1"/>
  <c r="D129" i="59"/>
  <c r="D132" i="59" s="1"/>
  <c r="H48" i="33"/>
  <c r="C56" i="46"/>
  <c r="C59" i="46"/>
  <c r="W93" i="39"/>
  <c r="AD35" i="38"/>
  <c r="H28" i="38"/>
  <c r="F28" i="38"/>
  <c r="C51" i="17"/>
  <c r="C50" i="17"/>
  <c r="F22" i="33"/>
  <c r="F87" i="38"/>
  <c r="F51" i="59"/>
  <c r="F56" i="59" s="1"/>
  <c r="F60" i="59" s="1"/>
  <c r="E13" i="38"/>
  <c r="E7" i="38" s="1"/>
  <c r="F15" i="38"/>
  <c r="AB71" i="59"/>
  <c r="AB75" i="59" s="1"/>
  <c r="AA69" i="59"/>
  <c r="AA66" i="59" s="1"/>
  <c r="H50" i="38"/>
  <c r="H107" i="33"/>
  <c r="K90" i="11"/>
  <c r="AJ90" i="11"/>
  <c r="AJ93" i="11" s="1"/>
  <c r="AJ95" i="11" s="1"/>
  <c r="AM90" i="11"/>
  <c r="AM93" i="11" s="1"/>
  <c r="AM95" i="11" s="1"/>
  <c r="V90" i="11"/>
  <c r="V93" i="11" s="1"/>
  <c r="V95" i="11" s="1"/>
  <c r="S90" i="11"/>
  <c r="S93" i="11" s="1"/>
  <c r="S95" i="11" s="1"/>
  <c r="U90" i="11"/>
  <c r="U93" i="11" s="1"/>
  <c r="U95" i="11" s="1"/>
  <c r="Z90" i="11"/>
  <c r="Z93" i="11" s="1"/>
  <c r="Z95" i="11" s="1"/>
  <c r="AO90" i="11"/>
  <c r="AO93" i="11" s="1"/>
  <c r="AO95" i="11" s="1"/>
  <c r="AE90" i="11"/>
  <c r="AE93" i="11" s="1"/>
  <c r="AE95" i="11" s="1"/>
  <c r="AH90" i="11"/>
  <c r="AH93" i="11" s="1"/>
  <c r="AH95" i="11" s="1"/>
  <c r="AP90" i="11"/>
  <c r="AP93" i="11" s="1"/>
  <c r="AP95" i="11" s="1"/>
  <c r="AL90" i="11"/>
  <c r="AL93" i="11" s="1"/>
  <c r="AL95" i="11" s="1"/>
  <c r="AA90" i="11"/>
  <c r="AA93" i="11" s="1"/>
  <c r="AA95" i="11" s="1"/>
  <c r="AS90" i="11"/>
  <c r="AS93" i="11" s="1"/>
  <c r="AS95" i="11" s="1"/>
  <c r="Q90" i="11"/>
  <c r="Q93" i="11" s="1"/>
  <c r="Q95" i="11" s="1"/>
  <c r="AI90" i="11"/>
  <c r="AI93" i="11" s="1"/>
  <c r="AI95" i="11" s="1"/>
  <c r="AQ90" i="11"/>
  <c r="AQ93" i="11" s="1"/>
  <c r="AQ95" i="11" s="1"/>
  <c r="AG90" i="11"/>
  <c r="AG93" i="11" s="1"/>
  <c r="AG95" i="11" s="1"/>
  <c r="AT90" i="11"/>
  <c r="AT93" i="11" s="1"/>
  <c r="AT95" i="11" s="1"/>
  <c r="AD90" i="11"/>
  <c r="AD93" i="11" s="1"/>
  <c r="AD95" i="11" s="1"/>
  <c r="AB90" i="11"/>
  <c r="AB93" i="11" s="1"/>
  <c r="AB95" i="11" s="1"/>
  <c r="T90" i="11"/>
  <c r="T93" i="11" s="1"/>
  <c r="T95" i="11" s="1"/>
  <c r="AR90" i="11"/>
  <c r="AR93" i="11" s="1"/>
  <c r="AR95" i="11" s="1"/>
  <c r="P90" i="11"/>
  <c r="P93" i="11" s="1"/>
  <c r="P95" i="11" s="1"/>
  <c r="AF90" i="11"/>
  <c r="AF93" i="11" s="1"/>
  <c r="AF95" i="11" s="1"/>
  <c r="AC90" i="11"/>
  <c r="AC93" i="11" s="1"/>
  <c r="AC95" i="11" s="1"/>
  <c r="Y90" i="11"/>
  <c r="Y93" i="11" s="1"/>
  <c r="Y95" i="11" s="1"/>
  <c r="W90" i="11"/>
  <c r="W93" i="11" s="1"/>
  <c r="W95" i="11" s="1"/>
  <c r="AK90" i="11"/>
  <c r="AK93" i="11" s="1"/>
  <c r="AK95" i="11" s="1"/>
  <c r="X90" i="11"/>
  <c r="X93" i="11" s="1"/>
  <c r="X95" i="11" s="1"/>
  <c r="R90" i="11"/>
  <c r="R93" i="11" s="1"/>
  <c r="R95" i="11" s="1"/>
  <c r="AN90" i="11"/>
  <c r="AN93" i="11" s="1"/>
  <c r="AN95" i="11" s="1"/>
  <c r="I68" i="11"/>
  <c r="I16" i="18"/>
  <c r="I16" i="8"/>
  <c r="I28" i="11"/>
  <c r="I18" i="8" s="1"/>
  <c r="D60" i="17"/>
  <c r="E60" i="17"/>
  <c r="D49" i="8"/>
  <c r="D15" i="8"/>
  <c r="D21" i="59"/>
  <c r="D29" i="59" s="1"/>
  <c r="C185" i="61"/>
  <c r="C201" i="63"/>
  <c r="H22" i="33"/>
  <c r="H32" i="33" s="1"/>
  <c r="F18" i="38"/>
  <c r="F15" i="18"/>
  <c r="F47" i="18"/>
  <c r="F48" i="18" s="1"/>
  <c r="F63" i="33"/>
  <c r="E68" i="17"/>
  <c r="E80" i="17" s="1"/>
  <c r="N43" i="8"/>
  <c r="M43" i="8"/>
  <c r="W119" i="37"/>
  <c r="H27" i="33"/>
  <c r="Y12" i="46"/>
  <c r="Y15" i="46" s="1"/>
  <c r="X10" i="46"/>
  <c r="X7" i="46" s="1"/>
  <c r="Y14" i="46"/>
  <c r="N48" i="11"/>
  <c r="M48" i="11"/>
  <c r="M66" i="11" s="1"/>
  <c r="K66" i="11"/>
  <c r="K36" i="18"/>
  <c r="K38" i="8"/>
  <c r="C24" i="17"/>
  <c r="D15" i="18"/>
  <c r="D47" i="18"/>
  <c r="D48" i="18" s="1"/>
  <c r="C78" i="17"/>
  <c r="AD22" i="33"/>
  <c r="H18" i="33"/>
  <c r="F49" i="8"/>
  <c r="F15" i="8"/>
  <c r="G15" i="18"/>
  <c r="G47" i="18"/>
  <c r="G48" i="18" s="1"/>
  <c r="D81" i="59"/>
  <c r="M41" i="18"/>
  <c r="N41" i="18"/>
  <c r="C68" i="11"/>
  <c r="C28" i="11"/>
  <c r="C18" i="8" s="1"/>
  <c r="C16" i="18"/>
  <c r="C16" i="8"/>
  <c r="M57" i="8"/>
  <c r="N57" i="8"/>
  <c r="H93" i="33"/>
  <c r="F24" i="33"/>
  <c r="F18" i="33"/>
  <c r="AC45" i="38"/>
  <c r="AD47" i="38"/>
  <c r="AD50" i="38"/>
  <c r="F81" i="59"/>
  <c r="F86" i="59" s="1"/>
  <c r="F90" i="59" s="1"/>
  <c r="H63" i="33"/>
  <c r="F45" i="33"/>
  <c r="E43" i="33"/>
  <c r="E37" i="33" s="1"/>
  <c r="H92" i="33"/>
  <c r="F47" i="33"/>
  <c r="E19" i="9"/>
  <c r="E23" i="9" s="1"/>
  <c r="E25" i="9" s="1"/>
  <c r="E86" i="17" s="1"/>
  <c r="N18" i="11"/>
  <c r="M18" i="11"/>
  <c r="M22" i="11" s="1"/>
  <c r="M24" i="11" s="1"/>
  <c r="K22" i="11"/>
  <c r="E88" i="33"/>
  <c r="E82" i="33" s="1"/>
  <c r="F90" i="33"/>
  <c r="F93" i="33" s="1"/>
  <c r="D25" i="9"/>
  <c r="D86" i="17" s="1"/>
  <c r="H103" i="38"/>
  <c r="F103" i="38"/>
  <c r="C11" i="52"/>
  <c r="C30" i="46"/>
  <c r="D71" i="11"/>
  <c r="D69" i="11"/>
  <c r="D74" i="11"/>
  <c r="D78" i="11" s="1"/>
  <c r="F19" i="59"/>
  <c r="F19" i="46"/>
  <c r="H15" i="33"/>
  <c r="AD18" i="33"/>
  <c r="F71" i="11"/>
  <c r="F69" i="11"/>
  <c r="F74" i="11"/>
  <c r="F78" i="11" s="1"/>
  <c r="F44" i="59" l="1"/>
  <c r="F14" i="59"/>
  <c r="F109" i="46"/>
  <c r="F117" i="46" s="1"/>
  <c r="F64" i="46"/>
  <c r="F72" i="46" s="1"/>
  <c r="F7" i="52"/>
  <c r="F94" i="46"/>
  <c r="F102" i="46" s="1"/>
  <c r="F79" i="46"/>
  <c r="F87" i="46" s="1"/>
  <c r="F27" i="46"/>
  <c r="F21" i="52" s="1"/>
  <c r="F49" i="46"/>
  <c r="F57" i="46" s="1"/>
  <c r="F23" i="52" s="1"/>
  <c r="F28" i="52" s="1"/>
  <c r="F34" i="46"/>
  <c r="F42" i="46" s="1"/>
  <c r="F22" i="52" s="1"/>
  <c r="F27" i="52" s="1"/>
  <c r="C15" i="18"/>
  <c r="C47" i="18"/>
  <c r="C48" i="18" s="1"/>
  <c r="AD96" i="11"/>
  <c r="AD106" i="11"/>
  <c r="AD107" i="11" s="1"/>
  <c r="V96" i="11"/>
  <c r="V106" i="11"/>
  <c r="V107" i="11" s="1"/>
  <c r="E105" i="33"/>
  <c r="E108" i="33" s="1"/>
  <c r="E107" i="33"/>
  <c r="AB93" i="38"/>
  <c r="AB87" i="38" s="1"/>
  <c r="AC95" i="38"/>
  <c r="AC98" i="38"/>
  <c r="J71" i="11"/>
  <c r="J69" i="11"/>
  <c r="J74" i="11"/>
  <c r="J78" i="11" s="1"/>
  <c r="E35" i="17"/>
  <c r="E24" i="17"/>
  <c r="E17" i="17"/>
  <c r="E40" i="17" s="1"/>
  <c r="AD96" i="38"/>
  <c r="AD99" i="38"/>
  <c r="AA104" i="59"/>
  <c r="Z99" i="59"/>
  <c r="Z96" i="59" s="1"/>
  <c r="AA101" i="59"/>
  <c r="AA105" i="59" s="1"/>
  <c r="AA14" i="59"/>
  <c r="Z10" i="59"/>
  <c r="Z7" i="59" s="1"/>
  <c r="AA12" i="59"/>
  <c r="AA15" i="59" s="1"/>
  <c r="X101" i="46"/>
  <c r="X105" i="46" s="1"/>
  <c r="W99" i="46"/>
  <c r="W96" i="46" s="1"/>
  <c r="X104" i="46"/>
  <c r="S21" i="35"/>
  <c r="Q22" i="35"/>
  <c r="P22" i="35"/>
  <c r="P30" i="35" s="1"/>
  <c r="C69" i="59"/>
  <c r="C66" i="59" s="1"/>
  <c r="D71" i="59"/>
  <c r="D75" i="59" s="1"/>
  <c r="AG106" i="11"/>
  <c r="AG107" i="11" s="1"/>
  <c r="AG96" i="11"/>
  <c r="F89" i="59"/>
  <c r="AB60" i="33"/>
  <c r="AB63" i="33" s="1"/>
  <c r="AA58" i="33"/>
  <c r="AA52" i="33" s="1"/>
  <c r="AB62" i="33"/>
  <c r="D74" i="59"/>
  <c r="AM106" i="11"/>
  <c r="AM107" i="11" s="1"/>
  <c r="AM96" i="11"/>
  <c r="I15" i="18"/>
  <c r="I47" i="18"/>
  <c r="I48" i="18" s="1"/>
  <c r="I71" i="11"/>
  <c r="I69" i="11"/>
  <c r="I74" i="11"/>
  <c r="I78" i="11" s="1"/>
  <c r="AQ96" i="11"/>
  <c r="AQ106" i="11"/>
  <c r="AQ107" i="11" s="1"/>
  <c r="M90" i="11"/>
  <c r="K54" i="8"/>
  <c r="AA41" i="59"/>
  <c r="AA45" i="59" s="1"/>
  <c r="Z39" i="59"/>
  <c r="Z36" i="59" s="1"/>
  <c r="AA44" i="59"/>
  <c r="AD80" i="38"/>
  <c r="AD83" i="38"/>
  <c r="X129" i="46"/>
  <c r="X132" i="46" s="1"/>
  <c r="W127" i="46"/>
  <c r="W124" i="46" s="1"/>
  <c r="X131" i="46"/>
  <c r="W69" i="46"/>
  <c r="W66" i="46" s="1"/>
  <c r="X71" i="46"/>
  <c r="X75" i="46" s="1"/>
  <c r="X74" i="46"/>
  <c r="I15" i="8"/>
  <c r="I49" i="8"/>
  <c r="D84" i="11"/>
  <c r="D85" i="11" s="1"/>
  <c r="D79" i="11"/>
  <c r="E63" i="17"/>
  <c r="M38" i="8"/>
  <c r="N38" i="8"/>
  <c r="AN106" i="11"/>
  <c r="AN107" i="11" s="1"/>
  <c r="AN96" i="11"/>
  <c r="AI106" i="11"/>
  <c r="AI107" i="11" s="1"/>
  <c r="AI96" i="11"/>
  <c r="AB77" i="38"/>
  <c r="AB71" i="38" s="1"/>
  <c r="AC79" i="38"/>
  <c r="AC82" i="38"/>
  <c r="C10" i="59"/>
  <c r="C7" i="59" s="1"/>
  <c r="D12" i="59"/>
  <c r="D15" i="59" s="1"/>
  <c r="C114" i="59"/>
  <c r="C111" i="59" s="1"/>
  <c r="D116" i="59"/>
  <c r="D120" i="59" s="1"/>
  <c r="Q96" i="11"/>
  <c r="Q106" i="11"/>
  <c r="Q107" i="11" s="1"/>
  <c r="E79" i="38"/>
  <c r="E82" i="38"/>
  <c r="F59" i="59"/>
  <c r="N66" i="11"/>
  <c r="K47" i="8"/>
  <c r="K45" i="18"/>
  <c r="G84" i="11"/>
  <c r="G85" i="11" s="1"/>
  <c r="G79" i="11"/>
  <c r="F63" i="38"/>
  <c r="E61" i="38"/>
  <c r="E55" i="38" s="1"/>
  <c r="F66" i="38"/>
  <c r="AC64" i="38"/>
  <c r="AC67" i="38"/>
  <c r="X26" i="46"/>
  <c r="W24" i="46"/>
  <c r="W21" i="46" s="1"/>
  <c r="X29" i="46"/>
  <c r="Y12" i="52"/>
  <c r="Y45" i="46"/>
  <c r="AA56" i="59"/>
  <c r="AA60" i="59" s="1"/>
  <c r="Z54" i="59"/>
  <c r="Z51" i="59" s="1"/>
  <c r="AA59" i="59"/>
  <c r="N42" i="18"/>
  <c r="M42" i="18"/>
  <c r="R106" i="11"/>
  <c r="R107" i="11" s="1"/>
  <c r="R96" i="11"/>
  <c r="AA73" i="33"/>
  <c r="AA67" i="33" s="1"/>
  <c r="AB75" i="33"/>
  <c r="AB78" i="33" s="1"/>
  <c r="AB77" i="33"/>
  <c r="AA116" i="59"/>
  <c r="AA120" i="59" s="1"/>
  <c r="Z114" i="59"/>
  <c r="Z111" i="59" s="1"/>
  <c r="AA119" i="59"/>
  <c r="AB63" i="38"/>
  <c r="AA61" i="38"/>
  <c r="AA55" i="38" s="1"/>
  <c r="AB66" i="38"/>
  <c r="Y11" i="52"/>
  <c r="Y30" i="46"/>
  <c r="W54" i="46"/>
  <c r="W51" i="46" s="1"/>
  <c r="X56" i="46"/>
  <c r="X59" i="46"/>
  <c r="H95" i="38"/>
  <c r="H98" i="38"/>
  <c r="X41" i="46"/>
  <c r="W39" i="46"/>
  <c r="W36" i="46" s="1"/>
  <c r="X44" i="46"/>
  <c r="F23" i="38"/>
  <c r="E69" i="17"/>
  <c r="E81" i="17" s="1"/>
  <c r="N44" i="8"/>
  <c r="M44" i="8"/>
  <c r="C74" i="11"/>
  <c r="C78" i="11" s="1"/>
  <c r="C71" i="11"/>
  <c r="C69" i="11"/>
  <c r="Y13" i="52"/>
  <c r="Y60" i="46"/>
  <c r="D22" i="35"/>
  <c r="M22" i="35"/>
  <c r="M30" i="35" s="1"/>
  <c r="K30" i="35"/>
  <c r="D30" i="35" s="1"/>
  <c r="F79" i="59"/>
  <c r="F87" i="59" s="1"/>
  <c r="F109" i="59"/>
  <c r="F117" i="59" s="1"/>
  <c r="F64" i="59"/>
  <c r="F49" i="59"/>
  <c r="F57" i="59" s="1"/>
  <c r="F34" i="59"/>
  <c r="F94" i="59"/>
  <c r="F102" i="59" s="1"/>
  <c r="F27" i="59"/>
  <c r="AB42" i="59"/>
  <c r="AB45" i="59"/>
  <c r="N36" i="18"/>
  <c r="M36" i="18"/>
  <c r="C13" i="52"/>
  <c r="C60" i="46"/>
  <c r="C84" i="59"/>
  <c r="C81" i="59" s="1"/>
  <c r="D86" i="59"/>
  <c r="D27" i="17"/>
  <c r="D81" i="17"/>
  <c r="D82" i="17"/>
  <c r="D50" i="17"/>
  <c r="D26" i="17"/>
  <c r="D28" i="17"/>
  <c r="D24" i="17"/>
  <c r="D22" i="17"/>
  <c r="D53" i="17"/>
  <c r="D76" i="17"/>
  <c r="D51" i="17"/>
  <c r="D21" i="17"/>
  <c r="D77" i="17"/>
  <c r="D79" i="17"/>
  <c r="D75" i="17"/>
  <c r="D80" i="17"/>
  <c r="D52" i="17"/>
  <c r="D23" i="17"/>
  <c r="D20" i="17"/>
  <c r="D25" i="17"/>
  <c r="D78" i="17"/>
  <c r="AC29" i="38"/>
  <c r="AC23" i="38" s="1"/>
  <c r="AC39" i="38"/>
  <c r="Y96" i="11"/>
  <c r="Y106" i="11"/>
  <c r="Y107" i="11" s="1"/>
  <c r="AP96" i="11"/>
  <c r="AP106" i="11"/>
  <c r="AP107" i="11" s="1"/>
  <c r="D13" i="38"/>
  <c r="D7" i="38" s="1"/>
  <c r="E15" i="38"/>
  <c r="E18" i="38"/>
  <c r="C129" i="59"/>
  <c r="C132" i="59" s="1"/>
  <c r="C131" i="59"/>
  <c r="AC28" i="33"/>
  <c r="AC22" i="33" s="1"/>
  <c r="AC37" i="33"/>
  <c r="C99" i="59"/>
  <c r="C96" i="59" s="1"/>
  <c r="D101" i="59"/>
  <c r="D105" i="59" s="1"/>
  <c r="K37" i="35"/>
  <c r="K39" i="35" s="1"/>
  <c r="Q33" i="35"/>
  <c r="M33" i="35"/>
  <c r="M37" i="35" s="1"/>
  <c r="M39" i="35" s="1"/>
  <c r="E60" i="33"/>
  <c r="E63" i="33" s="1"/>
  <c r="E62" i="33"/>
  <c r="AT96" i="11"/>
  <c r="AT106" i="11"/>
  <c r="AT107" i="11" s="1"/>
  <c r="AJ106" i="11"/>
  <c r="AJ107" i="11" s="1"/>
  <c r="AJ96" i="11"/>
  <c r="X96" i="11"/>
  <c r="X106" i="11"/>
  <c r="X107" i="11" s="1"/>
  <c r="AK106" i="11"/>
  <c r="AK107" i="11" s="1"/>
  <c r="AK96" i="11"/>
  <c r="F16" i="38"/>
  <c r="F19" i="38"/>
  <c r="X12" i="46"/>
  <c r="X15" i="46" s="1"/>
  <c r="W10" i="46"/>
  <c r="W7" i="46" s="1"/>
  <c r="X14" i="46"/>
  <c r="AC106" i="11"/>
  <c r="AC107" i="11" s="1"/>
  <c r="AC96" i="11"/>
  <c r="AH106" i="11"/>
  <c r="AH107" i="11" s="1"/>
  <c r="AH96" i="11"/>
  <c r="E47" i="38"/>
  <c r="E50" i="38"/>
  <c r="F42" i="59"/>
  <c r="Z19" i="46"/>
  <c r="AA13" i="33"/>
  <c r="AA7" i="33" s="1"/>
  <c r="AB15" i="33"/>
  <c r="AB18" i="33" s="1"/>
  <c r="AB17" i="33"/>
  <c r="D104" i="59"/>
  <c r="F83" i="38"/>
  <c r="N30" i="35"/>
  <c r="N39" i="35" s="1"/>
  <c r="C56" i="59"/>
  <c r="C60" i="59" s="1"/>
  <c r="C59" i="59"/>
  <c r="H111" i="38"/>
  <c r="H114" i="38"/>
  <c r="F50" i="8"/>
  <c r="AE96" i="11"/>
  <c r="AE106" i="11"/>
  <c r="AE107" i="11" s="1"/>
  <c r="F48" i="38"/>
  <c r="AB94" i="59"/>
  <c r="AB102" i="59" s="1"/>
  <c r="AB79" i="59"/>
  <c r="AB87" i="59" s="1"/>
  <c r="AB49" i="59"/>
  <c r="AB57" i="59" s="1"/>
  <c r="AB109" i="59"/>
  <c r="AB117" i="59" s="1"/>
  <c r="AB64" i="59"/>
  <c r="AB72" i="59" s="1"/>
  <c r="AB34" i="59"/>
  <c r="AB27" i="59"/>
  <c r="AA7" i="52"/>
  <c r="AA79" i="46"/>
  <c r="AA87" i="46" s="1"/>
  <c r="AA109" i="46"/>
  <c r="AA117" i="46" s="1"/>
  <c r="AA64" i="46"/>
  <c r="AA72" i="46" s="1"/>
  <c r="AA94" i="46"/>
  <c r="AA102" i="46" s="1"/>
  <c r="AA27" i="46"/>
  <c r="AA21" i="52" s="1"/>
  <c r="AA26" i="52" s="1"/>
  <c r="AA49" i="46"/>
  <c r="AA57" i="46" s="1"/>
  <c r="AA23" i="52" s="1"/>
  <c r="AA28" i="52" s="1"/>
  <c r="AA34" i="46"/>
  <c r="AA42" i="46" s="1"/>
  <c r="AA22" i="52" s="1"/>
  <c r="AA27" i="52" s="1"/>
  <c r="AA86" i="59"/>
  <c r="AA90" i="59" s="1"/>
  <c r="Z84" i="59"/>
  <c r="Z81" i="59" s="1"/>
  <c r="AA89" i="59"/>
  <c r="N88" i="11"/>
  <c r="M88" i="11"/>
  <c r="K59" i="8"/>
  <c r="C19" i="59"/>
  <c r="C19" i="46"/>
  <c r="D13" i="33"/>
  <c r="D7" i="33" s="1"/>
  <c r="E15" i="33"/>
  <c r="E18" i="33" s="1"/>
  <c r="E17" i="33"/>
  <c r="AA71" i="59"/>
  <c r="AA75" i="59" s="1"/>
  <c r="Z69" i="59"/>
  <c r="Z66" i="59" s="1"/>
  <c r="AA74" i="59"/>
  <c r="AL106" i="11"/>
  <c r="AL107" i="11" s="1"/>
  <c r="AL96" i="11"/>
  <c r="E93" i="38"/>
  <c r="E87" i="38" s="1"/>
  <c r="F95" i="38"/>
  <c r="F98" i="38"/>
  <c r="Z24" i="59"/>
  <c r="Z21" i="59" s="1"/>
  <c r="AA26" i="59"/>
  <c r="AA30" i="59" s="1"/>
  <c r="AA29" i="59"/>
  <c r="G50" i="8"/>
  <c r="AA94" i="59"/>
  <c r="AA79" i="59"/>
  <c r="AA87" i="59" s="1"/>
  <c r="AA109" i="59"/>
  <c r="AA117" i="59" s="1"/>
  <c r="AA64" i="59"/>
  <c r="AA72" i="59" s="1"/>
  <c r="AA49" i="59"/>
  <c r="AA34" i="59"/>
  <c r="AB103" i="33"/>
  <c r="AB97" i="33" s="1"/>
  <c r="AC105" i="33"/>
  <c r="AC108" i="33" s="1"/>
  <c r="AC107" i="33"/>
  <c r="F104" i="59"/>
  <c r="N23" i="18"/>
  <c r="M23" i="18"/>
  <c r="M28" i="18" s="1"/>
  <c r="K28" i="18"/>
  <c r="N28" i="18" s="1"/>
  <c r="D109" i="46"/>
  <c r="D117" i="46" s="1"/>
  <c r="D64" i="46"/>
  <c r="D72" i="46" s="1"/>
  <c r="D7" i="52"/>
  <c r="D94" i="46"/>
  <c r="D102" i="46" s="1"/>
  <c r="D34" i="46"/>
  <c r="D42" i="46" s="1"/>
  <c r="D22" i="52" s="1"/>
  <c r="D27" i="52" s="1"/>
  <c r="D79" i="46"/>
  <c r="D87" i="46" s="1"/>
  <c r="D49" i="46"/>
  <c r="D57" i="46" s="1"/>
  <c r="D23" i="52" s="1"/>
  <c r="D28" i="52" s="1"/>
  <c r="D27" i="46"/>
  <c r="D21" i="52" s="1"/>
  <c r="H30" i="33"/>
  <c r="C207" i="63" s="1"/>
  <c r="C210" i="63" s="1"/>
  <c r="C184" i="61"/>
  <c r="C200" i="63"/>
  <c r="E109" i="38"/>
  <c r="E103" i="38" s="1"/>
  <c r="F111" i="38"/>
  <c r="D8" i="52" s="1"/>
  <c r="F114" i="38"/>
  <c r="C186" i="61"/>
  <c r="C202" i="63"/>
  <c r="M68" i="11"/>
  <c r="M74" i="11" s="1"/>
  <c r="M78" i="11" s="1"/>
  <c r="M84" i="11" s="1"/>
  <c r="D50" i="8"/>
  <c r="Z96" i="11"/>
  <c r="Z106" i="11"/>
  <c r="Z107" i="11" s="1"/>
  <c r="E28" i="33"/>
  <c r="E22" i="33" s="1"/>
  <c r="F30" i="33"/>
  <c r="F33" i="33" s="1"/>
  <c r="M56" i="8"/>
  <c r="N56" i="8"/>
  <c r="F72" i="59"/>
  <c r="H75" i="33"/>
  <c r="H77" i="33"/>
  <c r="J15" i="8"/>
  <c r="J49" i="8"/>
  <c r="D41" i="59"/>
  <c r="C39" i="59"/>
  <c r="C36" i="59" s="1"/>
  <c r="X86" i="46"/>
  <c r="X90" i="46" s="1"/>
  <c r="W84" i="46"/>
  <c r="W81" i="46" s="1"/>
  <c r="X89" i="46"/>
  <c r="Z127" i="59"/>
  <c r="Z124" i="59" s="1"/>
  <c r="AA129" i="59"/>
  <c r="AA132" i="59" s="1"/>
  <c r="AA131" i="59"/>
  <c r="D64" i="59"/>
  <c r="D94" i="59"/>
  <c r="D79" i="59"/>
  <c r="D109" i="59"/>
  <c r="D117" i="59" s="1"/>
  <c r="D49" i="59"/>
  <c r="D57" i="59" s="1"/>
  <c r="D34" i="59"/>
  <c r="E75" i="33"/>
  <c r="E78" i="33" s="1"/>
  <c r="E77" i="33"/>
  <c r="W114" i="46"/>
  <c r="W111" i="46" s="1"/>
  <c r="X116" i="46"/>
  <c r="X120" i="46" s="1"/>
  <c r="X119" i="46"/>
  <c r="E90" i="33"/>
  <c r="E93" i="33" s="1"/>
  <c r="E92" i="33"/>
  <c r="C24" i="59"/>
  <c r="C21" i="59" s="1"/>
  <c r="D26" i="59"/>
  <c r="D30" i="59" s="1"/>
  <c r="P96" i="11"/>
  <c r="P106" i="11"/>
  <c r="P107" i="11" s="1"/>
  <c r="F29" i="59"/>
  <c r="AB7" i="52"/>
  <c r="AB79" i="46"/>
  <c r="AB87" i="46" s="1"/>
  <c r="AB109" i="46"/>
  <c r="AB117" i="46" s="1"/>
  <c r="AB64" i="46"/>
  <c r="AB72" i="46" s="1"/>
  <c r="AB94" i="46"/>
  <c r="AB102" i="46" s="1"/>
  <c r="AB27" i="46"/>
  <c r="AB21" i="52" s="1"/>
  <c r="AB49" i="46"/>
  <c r="AB57" i="46" s="1"/>
  <c r="AB23" i="52" s="1"/>
  <c r="AB28" i="52" s="1"/>
  <c r="AB34" i="46"/>
  <c r="AB42" i="46" s="1"/>
  <c r="AB22" i="52" s="1"/>
  <c r="AB27" i="52" s="1"/>
  <c r="AB33" i="52" s="1"/>
  <c r="D44" i="59"/>
  <c r="AB90" i="33"/>
  <c r="AB93" i="33" s="1"/>
  <c r="AA88" i="33"/>
  <c r="AA82" i="33" s="1"/>
  <c r="AB92" i="33"/>
  <c r="M25" i="8"/>
  <c r="M30" i="8" s="1"/>
  <c r="P25" i="8"/>
  <c r="N25" i="8"/>
  <c r="K30" i="8"/>
  <c r="AC111" i="38"/>
  <c r="AB109" i="38"/>
  <c r="AB103" i="38" s="1"/>
  <c r="AC114" i="38"/>
  <c r="E45" i="33"/>
  <c r="E48" i="33" s="1"/>
  <c r="E47" i="33"/>
  <c r="AS106" i="11"/>
  <c r="AS107" i="11" s="1"/>
  <c r="AS96" i="11"/>
  <c r="AA96" i="11"/>
  <c r="AA106" i="11"/>
  <c r="AA107" i="11" s="1"/>
  <c r="AD48" i="38"/>
  <c r="AD51" i="38"/>
  <c r="W96" i="11"/>
  <c r="W106" i="11"/>
  <c r="W107" i="11" s="1"/>
  <c r="F84" i="11"/>
  <c r="F85" i="11" s="1"/>
  <c r="F79" i="11"/>
  <c r="AF96" i="11"/>
  <c r="AF106" i="11"/>
  <c r="AF107" i="11" s="1"/>
  <c r="N22" i="11"/>
  <c r="K24" i="11"/>
  <c r="AO96" i="11"/>
  <c r="AO106" i="11"/>
  <c r="AO107" i="11" s="1"/>
  <c r="AR96" i="11"/>
  <c r="AR106" i="11"/>
  <c r="AR107" i="11" s="1"/>
  <c r="AD30" i="33"/>
  <c r="AD32" i="33"/>
  <c r="T106" i="11"/>
  <c r="T107" i="11" s="1"/>
  <c r="T96" i="11"/>
  <c r="U96" i="11"/>
  <c r="U106" i="11"/>
  <c r="U107" i="11" s="1"/>
  <c r="F32" i="33"/>
  <c r="AB13" i="38"/>
  <c r="AB7" i="38" s="1"/>
  <c r="AC15" i="38"/>
  <c r="AC18" i="38"/>
  <c r="F74" i="59"/>
  <c r="E26" i="17"/>
  <c r="E21" i="17"/>
  <c r="E52" i="17"/>
  <c r="E23" i="17"/>
  <c r="E51" i="17"/>
  <c r="E22" i="17"/>
  <c r="E28" i="17"/>
  <c r="E27" i="17"/>
  <c r="E53" i="17"/>
  <c r="E25" i="17"/>
  <c r="E50" i="17"/>
  <c r="E20" i="17"/>
  <c r="C49" i="8"/>
  <c r="C15" i="8"/>
  <c r="D89" i="59"/>
  <c r="AB96" i="11"/>
  <c r="AB106" i="11"/>
  <c r="AB107" i="11" s="1"/>
  <c r="S106" i="11"/>
  <c r="S107" i="11" s="1"/>
  <c r="S96" i="11"/>
  <c r="AB8" i="52"/>
  <c r="AD16" i="38"/>
  <c r="D46" i="55" s="1"/>
  <c r="C54" i="55"/>
  <c r="AD19" i="38"/>
  <c r="F51" i="38"/>
  <c r="J15" i="18"/>
  <c r="J47" i="18"/>
  <c r="J48" i="18" s="1"/>
  <c r="H23" i="38"/>
  <c r="AD112" i="38"/>
  <c r="AD115" i="38"/>
  <c r="AA27" i="59" l="1"/>
  <c r="D102" i="59"/>
  <c r="AA102" i="59"/>
  <c r="AA42" i="59"/>
  <c r="AA57" i="59"/>
  <c r="D72" i="59"/>
  <c r="C211" i="63"/>
  <c r="V54" i="46"/>
  <c r="V51" i="46" s="1"/>
  <c r="W56" i="46"/>
  <c r="W59" i="46"/>
  <c r="N47" i="8"/>
  <c r="K46" i="8"/>
  <c r="Y10" i="59"/>
  <c r="Y7" i="59" s="1"/>
  <c r="Z12" i="59"/>
  <c r="Z15" i="59" s="1"/>
  <c r="Z14" i="59"/>
  <c r="AA34" i="52"/>
  <c r="E16" i="38"/>
  <c r="E19" i="38"/>
  <c r="Z56" i="59"/>
  <c r="Z60" i="59" s="1"/>
  <c r="Y54" i="59"/>
  <c r="Y51" i="59" s="1"/>
  <c r="Z59" i="59"/>
  <c r="D34" i="52"/>
  <c r="E48" i="38"/>
  <c r="E51" i="38"/>
  <c r="C13" i="38"/>
  <c r="C7" i="38" s="1"/>
  <c r="D15" i="38"/>
  <c r="D18" i="38"/>
  <c r="Z58" i="33"/>
  <c r="Z52" i="33" s="1"/>
  <c r="AA60" i="33"/>
  <c r="AA63" i="33" s="1"/>
  <c r="AA62" i="33"/>
  <c r="H31" i="38"/>
  <c r="H34" i="38"/>
  <c r="C26" i="59"/>
  <c r="C30" i="59" s="1"/>
  <c r="C29" i="59"/>
  <c r="Y39" i="59"/>
  <c r="Y36" i="59" s="1"/>
  <c r="Z41" i="59"/>
  <c r="Z45" i="59" s="1"/>
  <c r="Z44" i="59"/>
  <c r="Y99" i="59"/>
  <c r="Y96" i="59" s="1"/>
  <c r="Z101" i="59"/>
  <c r="Z105" i="59" s="1"/>
  <c r="Z104" i="59"/>
  <c r="Z88" i="33"/>
  <c r="Z82" i="33" s="1"/>
  <c r="AA90" i="33"/>
  <c r="AA93" i="33" s="1"/>
  <c r="AA92" i="33"/>
  <c r="Z129" i="59"/>
  <c r="Z132" i="59" s="1"/>
  <c r="Y127" i="59"/>
  <c r="Y124" i="59" s="1"/>
  <c r="Z131" i="59"/>
  <c r="D33" i="52"/>
  <c r="C79" i="11"/>
  <c r="C84" i="11"/>
  <c r="C85" i="11" s="1"/>
  <c r="Z61" i="38"/>
  <c r="Z55" i="38" s="1"/>
  <c r="AA63" i="38"/>
  <c r="AA66" i="38"/>
  <c r="H112" i="38"/>
  <c r="H115" i="38"/>
  <c r="F8" i="52"/>
  <c r="AB64" i="38"/>
  <c r="AB67" i="38"/>
  <c r="E80" i="38"/>
  <c r="E83" i="38"/>
  <c r="E75" i="17"/>
  <c r="N54" i="8"/>
  <c r="M54" i="8"/>
  <c r="W86" i="46"/>
  <c r="W90" i="46" s="1"/>
  <c r="V84" i="46"/>
  <c r="V81" i="46" s="1"/>
  <c r="W89" i="46"/>
  <c r="C13" i="33"/>
  <c r="C7" i="33" s="1"/>
  <c r="D15" i="33"/>
  <c r="D18" i="33" s="1"/>
  <c r="D17" i="33"/>
  <c r="V24" i="46"/>
  <c r="V21" i="46" s="1"/>
  <c r="W26" i="46"/>
  <c r="W29" i="46"/>
  <c r="AA29" i="52"/>
  <c r="AA35" i="52" s="1"/>
  <c r="AA32" i="52"/>
  <c r="C49" i="46"/>
  <c r="C57" i="46" s="1"/>
  <c r="C23" i="52" s="1"/>
  <c r="C28" i="52" s="1"/>
  <c r="C109" i="46"/>
  <c r="C117" i="46" s="1"/>
  <c r="C79" i="46"/>
  <c r="C87" i="46" s="1"/>
  <c r="C94" i="46"/>
  <c r="C102" i="46" s="1"/>
  <c r="C34" i="46"/>
  <c r="C42" i="46" s="1"/>
  <c r="C22" i="52" s="1"/>
  <c r="C27" i="52" s="1"/>
  <c r="C7" i="52"/>
  <c r="C27" i="46"/>
  <c r="C21" i="52" s="1"/>
  <c r="C64" i="46"/>
  <c r="C72" i="46" s="1"/>
  <c r="AB45" i="38"/>
  <c r="AC47" i="38"/>
  <c r="AC50" i="38"/>
  <c r="Y114" i="59"/>
  <c r="Y111" i="59" s="1"/>
  <c r="Z116" i="59"/>
  <c r="Z120" i="59" s="1"/>
  <c r="Z119" i="59"/>
  <c r="X11" i="52"/>
  <c r="X30" i="46"/>
  <c r="Y69" i="59"/>
  <c r="Y66" i="59" s="1"/>
  <c r="Z71" i="59"/>
  <c r="Z75" i="59" s="1"/>
  <c r="Z74" i="59"/>
  <c r="W12" i="46"/>
  <c r="W15" i="46" s="1"/>
  <c r="V10" i="46"/>
  <c r="V7" i="46" s="1"/>
  <c r="W14" i="46"/>
  <c r="Q37" i="35"/>
  <c r="P33" i="35"/>
  <c r="P37" i="35" s="1"/>
  <c r="P39" i="35" s="1"/>
  <c r="P40" i="35" s="1"/>
  <c r="AC31" i="38"/>
  <c r="AC34" i="38"/>
  <c r="E29" i="38"/>
  <c r="E23" i="38" s="1"/>
  <c r="F31" i="38"/>
  <c r="F34" i="38"/>
  <c r="I50" i="8"/>
  <c r="C74" i="59"/>
  <c r="C71" i="59"/>
  <c r="F33" i="52"/>
  <c r="E30" i="33"/>
  <c r="E33" i="33" s="1"/>
  <c r="E32" i="33"/>
  <c r="AD33" i="33"/>
  <c r="AD32" i="38"/>
  <c r="V114" i="46"/>
  <c r="V111" i="46" s="1"/>
  <c r="W116" i="46"/>
  <c r="W120" i="46" s="1"/>
  <c r="W119" i="46"/>
  <c r="C64" i="59"/>
  <c r="C94" i="59"/>
  <c r="C79" i="59"/>
  <c r="C109" i="59"/>
  <c r="C49" i="59"/>
  <c r="C57" i="59" s="1"/>
  <c r="C34" i="59"/>
  <c r="C36" i="56"/>
  <c r="AB26" i="52"/>
  <c r="D42" i="59"/>
  <c r="D45" i="59"/>
  <c r="N59" i="8"/>
  <c r="M59" i="8"/>
  <c r="K40" i="35"/>
  <c r="D39" i="35"/>
  <c r="C119" i="59"/>
  <c r="C116" i="59"/>
  <c r="C120" i="59" s="1"/>
  <c r="I79" i="11"/>
  <c r="I84" i="11"/>
  <c r="I85" i="11" s="1"/>
  <c r="F34" i="52"/>
  <c r="J50" i="8"/>
  <c r="H33" i="33"/>
  <c r="W41" i="46"/>
  <c r="V39" i="46"/>
  <c r="V36" i="46" s="1"/>
  <c r="W44" i="46"/>
  <c r="S22" i="35"/>
  <c r="S30" i="35" s="1"/>
  <c r="Q30" i="35"/>
  <c r="J79" i="11"/>
  <c r="J84" i="11"/>
  <c r="J85" i="11" s="1"/>
  <c r="C34" i="56"/>
  <c r="F26" i="52"/>
  <c r="C23" i="64"/>
  <c r="AD8" i="52"/>
  <c r="D27" i="59"/>
  <c r="Y24" i="59"/>
  <c r="Y21" i="59" s="1"/>
  <c r="Z26" i="59"/>
  <c r="Z30" i="59" s="1"/>
  <c r="Z29" i="59"/>
  <c r="C101" i="59"/>
  <c r="C105" i="59" s="1"/>
  <c r="C104" i="59"/>
  <c r="X12" i="52"/>
  <c r="X45" i="46"/>
  <c r="Z73" i="33"/>
  <c r="Z67" i="33" s="1"/>
  <c r="AA75" i="33"/>
  <c r="AA78" i="33" s="1"/>
  <c r="AA77" i="33"/>
  <c r="E63" i="38"/>
  <c r="E66" i="38"/>
  <c r="C12" i="59"/>
  <c r="C15" i="59" s="1"/>
  <c r="C14" i="59"/>
  <c r="C33" i="56"/>
  <c r="D26" i="52"/>
  <c r="AC45" i="33"/>
  <c r="AC48" i="33" s="1"/>
  <c r="AB43" i="33"/>
  <c r="AC47" i="33"/>
  <c r="F64" i="38"/>
  <c r="F67" i="38"/>
  <c r="V69" i="46"/>
  <c r="V66" i="46" s="1"/>
  <c r="W71" i="46"/>
  <c r="W75" i="46" s="1"/>
  <c r="W74" i="46"/>
  <c r="C44" i="59"/>
  <c r="C41" i="59"/>
  <c r="AA109" i="38"/>
  <c r="AA103" i="38" s="1"/>
  <c r="AB111" i="38"/>
  <c r="AB114" i="38"/>
  <c r="H78" i="33"/>
  <c r="H80" i="38"/>
  <c r="E111" i="38"/>
  <c r="C8" i="52" s="1"/>
  <c r="E114" i="38"/>
  <c r="F96" i="38"/>
  <c r="F99" i="38"/>
  <c r="Z13" i="33"/>
  <c r="Z7" i="33" s="1"/>
  <c r="AA15" i="33"/>
  <c r="AA18" i="33" s="1"/>
  <c r="AA17" i="33"/>
  <c r="AC30" i="33"/>
  <c r="AC33" i="33" s="1"/>
  <c r="AC32" i="33"/>
  <c r="H96" i="38"/>
  <c r="H99" i="38"/>
  <c r="AC80" i="38"/>
  <c r="AC83" i="38"/>
  <c r="W101" i="46"/>
  <c r="W105" i="46" s="1"/>
  <c r="V99" i="46"/>
  <c r="V96" i="46" s="1"/>
  <c r="W104" i="46"/>
  <c r="F112" i="38"/>
  <c r="F115" i="38"/>
  <c r="Z89" i="59"/>
  <c r="Y84" i="59"/>
  <c r="Y81" i="59" s="1"/>
  <c r="Z86" i="59"/>
  <c r="Z90" i="59" s="1"/>
  <c r="D87" i="59"/>
  <c r="D90" i="59"/>
  <c r="AA77" i="38"/>
  <c r="AA71" i="38" s="1"/>
  <c r="AB79" i="38"/>
  <c r="AB82" i="38"/>
  <c r="V127" i="46"/>
  <c r="V124" i="46" s="1"/>
  <c r="W129" i="46"/>
  <c r="W132" i="46" s="1"/>
  <c r="W131" i="46"/>
  <c r="AC96" i="38"/>
  <c r="AC99" i="38"/>
  <c r="C46" i="55"/>
  <c r="C47" i="55" s="1"/>
  <c r="D47" i="55"/>
  <c r="D48" i="55" s="1"/>
  <c r="AB34" i="52"/>
  <c r="K68" i="11"/>
  <c r="N24" i="11"/>
  <c r="K16" i="18"/>
  <c r="K16" i="8"/>
  <c r="K26" i="11"/>
  <c r="AA8" i="52"/>
  <c r="AA33" i="52" s="1"/>
  <c r="AC16" i="38"/>
  <c r="AC19" i="38"/>
  <c r="AC112" i="38"/>
  <c r="AC115" i="38"/>
  <c r="C203" i="63"/>
  <c r="E95" i="38"/>
  <c r="E98" i="38"/>
  <c r="Z7" i="52"/>
  <c r="Z64" i="46"/>
  <c r="Z72" i="46" s="1"/>
  <c r="Z94" i="46"/>
  <c r="Z102" i="46" s="1"/>
  <c r="Z109" i="46"/>
  <c r="Z117" i="46" s="1"/>
  <c r="Z79" i="46"/>
  <c r="Z87" i="46" s="1"/>
  <c r="Z34" i="46"/>
  <c r="Z42" i="46" s="1"/>
  <c r="Z22" i="52" s="1"/>
  <c r="Z27" i="52" s="1"/>
  <c r="Z27" i="46"/>
  <c r="Z21" i="52" s="1"/>
  <c r="Z26" i="52" s="1"/>
  <c r="Z49" i="46"/>
  <c r="Z57" i="46" s="1"/>
  <c r="Z23" i="52" s="1"/>
  <c r="Z28" i="52" s="1"/>
  <c r="C50" i="8"/>
  <c r="AA13" i="38"/>
  <c r="AA7" i="38" s="1"/>
  <c r="AB15" i="38"/>
  <c r="AB18" i="38"/>
  <c r="P27" i="8"/>
  <c r="N30" i="8"/>
  <c r="P22" i="8"/>
  <c r="P28" i="8"/>
  <c r="P24" i="8"/>
  <c r="P29" i="8"/>
  <c r="P26" i="8"/>
  <c r="P23" i="8"/>
  <c r="P21" i="8"/>
  <c r="C187" i="61"/>
  <c r="C188" i="61" s="1"/>
  <c r="AA103" i="33"/>
  <c r="AA97" i="33" s="1"/>
  <c r="AB105" i="33"/>
  <c r="AB108" i="33" s="1"/>
  <c r="AB107" i="33"/>
  <c r="Z19" i="59"/>
  <c r="C86" i="59"/>
  <c r="C90" i="59" s="1"/>
  <c r="C89" i="59"/>
  <c r="X13" i="52"/>
  <c r="X60" i="46"/>
  <c r="K44" i="18"/>
  <c r="N45" i="18"/>
  <c r="AA93" i="38"/>
  <c r="AA87" i="38" s="1"/>
  <c r="AB95" i="38"/>
  <c r="AB98" i="38"/>
  <c r="C117" i="59" l="1"/>
  <c r="C27" i="59"/>
  <c r="Z103" i="33"/>
  <c r="Z97" i="33" s="1"/>
  <c r="AA105" i="33"/>
  <c r="AA108" i="33" s="1"/>
  <c r="AA107" i="33"/>
  <c r="K17" i="8"/>
  <c r="K28" i="11"/>
  <c r="N26" i="11"/>
  <c r="M26" i="11"/>
  <c r="M28" i="11" s="1"/>
  <c r="Y73" i="33"/>
  <c r="Y67" i="33" s="1"/>
  <c r="Z75" i="33"/>
  <c r="Z78" i="33" s="1"/>
  <c r="Z77" i="33"/>
  <c r="Z63" i="38"/>
  <c r="Y61" i="38"/>
  <c r="Y55" i="38" s="1"/>
  <c r="Z66" i="38"/>
  <c r="U10" i="46"/>
  <c r="U7" i="46" s="1"/>
  <c r="V12" i="46"/>
  <c r="V15" i="46" s="1"/>
  <c r="V14" i="46"/>
  <c r="C33" i="52"/>
  <c r="Y86" i="59"/>
  <c r="Y90" i="59" s="1"/>
  <c r="X84" i="59"/>
  <c r="X81" i="59" s="1"/>
  <c r="Y89" i="59"/>
  <c r="Y19" i="46"/>
  <c r="W12" i="52"/>
  <c r="W45" i="46"/>
  <c r="AB32" i="52"/>
  <c r="AB29" i="52"/>
  <c r="AB35" i="52" s="1"/>
  <c r="C176" i="11" s="1"/>
  <c r="H32" i="38"/>
  <c r="H35" i="38"/>
  <c r="K69" i="11"/>
  <c r="K74" i="11"/>
  <c r="N68" i="11"/>
  <c r="Y19" i="59"/>
  <c r="C72" i="59"/>
  <c r="C75" i="59"/>
  <c r="X69" i="59"/>
  <c r="X66" i="59" s="1"/>
  <c r="Y71" i="59"/>
  <c r="Y75" i="59" s="1"/>
  <c r="Y74" i="59"/>
  <c r="C34" i="52"/>
  <c r="X127" i="59"/>
  <c r="X124" i="59" s="1"/>
  <c r="Y129" i="59"/>
  <c r="Y132" i="59" s="1"/>
  <c r="Y131" i="59"/>
  <c r="AB28" i="33"/>
  <c r="AB22" i="33" s="1"/>
  <c r="AB37" i="33"/>
  <c r="Z60" i="33"/>
  <c r="Z63" i="33" s="1"/>
  <c r="Y58" i="33"/>
  <c r="Y52" i="33" s="1"/>
  <c r="Z62" i="33"/>
  <c r="X24" i="59"/>
  <c r="X21" i="59" s="1"/>
  <c r="Y26" i="59"/>
  <c r="Y30" i="59" s="1"/>
  <c r="Y29" i="59"/>
  <c r="Y14" i="59"/>
  <c r="X10" i="59"/>
  <c r="X7" i="59" s="1"/>
  <c r="Y12" i="59"/>
  <c r="Y15" i="59" s="1"/>
  <c r="E71" i="17"/>
  <c r="N46" i="8"/>
  <c r="M46" i="8"/>
  <c r="M47" i="8" s="1"/>
  <c r="V41" i="46"/>
  <c r="U39" i="46"/>
  <c r="U36" i="46" s="1"/>
  <c r="V44" i="46"/>
  <c r="AB96" i="38"/>
  <c r="AB99" i="38"/>
  <c r="Z93" i="38"/>
  <c r="Z87" i="38" s="1"/>
  <c r="AA95" i="38"/>
  <c r="AA98" i="38"/>
  <c r="D29" i="52"/>
  <c r="D35" i="52" s="1"/>
  <c r="D32" i="52"/>
  <c r="E96" i="38"/>
  <c r="E99" i="38"/>
  <c r="C87" i="59"/>
  <c r="F32" i="38"/>
  <c r="F35" i="38"/>
  <c r="W11" i="52"/>
  <c r="W30" i="46"/>
  <c r="Z90" i="33"/>
  <c r="Z93" i="33" s="1"/>
  <c r="Y88" i="33"/>
  <c r="Y82" i="33" s="1"/>
  <c r="Z92" i="33"/>
  <c r="D16" i="38"/>
  <c r="D19" i="38"/>
  <c r="Z29" i="52"/>
  <c r="Z35" i="52" s="1"/>
  <c r="Z32" i="52"/>
  <c r="E112" i="38"/>
  <c r="E115" i="38"/>
  <c r="C204" i="63"/>
  <c r="C212" i="63"/>
  <c r="C213" i="63" s="1"/>
  <c r="C24" i="63"/>
  <c r="D23" i="64"/>
  <c r="C23" i="61" s="1"/>
  <c r="C102" i="59"/>
  <c r="E31" i="38"/>
  <c r="E34" i="38"/>
  <c r="X114" i="59"/>
  <c r="X111" i="59" s="1"/>
  <c r="Y116" i="59"/>
  <c r="Y120" i="59" s="1"/>
  <c r="Y119" i="59"/>
  <c r="U24" i="46"/>
  <c r="U21" i="46" s="1"/>
  <c r="V26" i="46"/>
  <c r="V29" i="46"/>
  <c r="C15" i="38"/>
  <c r="C18" i="38"/>
  <c r="F29" i="52"/>
  <c r="F35" i="52" s="1"/>
  <c r="F32" i="52"/>
  <c r="W13" i="52"/>
  <c r="W60" i="46"/>
  <c r="C184" i="63"/>
  <c r="C98" i="60"/>
  <c r="K15" i="8"/>
  <c r="K49" i="8"/>
  <c r="N16" i="8"/>
  <c r="C172" i="61"/>
  <c r="N16" i="18"/>
  <c r="K47" i="18"/>
  <c r="K15" i="18"/>
  <c r="N44" i="18"/>
  <c r="M44" i="18"/>
  <c r="M45" i="18" s="1"/>
  <c r="Z8" i="52"/>
  <c r="Z33" i="52" s="1"/>
  <c r="AB16" i="38"/>
  <c r="AB19" i="38"/>
  <c r="AB112" i="38"/>
  <c r="AB115" i="38"/>
  <c r="AC32" i="38"/>
  <c r="AC35" i="38"/>
  <c r="AC48" i="38"/>
  <c r="AC51" i="38"/>
  <c r="Y101" i="59"/>
  <c r="Y105" i="59" s="1"/>
  <c r="X99" i="59"/>
  <c r="X96" i="59" s="1"/>
  <c r="Y104" i="59"/>
  <c r="U54" i="46"/>
  <c r="U51" i="46" s="1"/>
  <c r="V56" i="46"/>
  <c r="V59" i="46"/>
  <c r="U69" i="46"/>
  <c r="U66" i="46" s="1"/>
  <c r="V71" i="46"/>
  <c r="V75" i="46" s="1"/>
  <c r="V74" i="46"/>
  <c r="Z94" i="59"/>
  <c r="Z102" i="59" s="1"/>
  <c r="Z79" i="59"/>
  <c r="Z87" i="59" s="1"/>
  <c r="Z109" i="59"/>
  <c r="Z117" i="59" s="1"/>
  <c r="Z64" i="59"/>
  <c r="Z72" i="59" s="1"/>
  <c r="Z49" i="59"/>
  <c r="Z57" i="59" s="1"/>
  <c r="Z34" i="59"/>
  <c r="Z42" i="59" s="1"/>
  <c r="Z27" i="59"/>
  <c r="Z109" i="38"/>
  <c r="Z103" i="38" s="1"/>
  <c r="AA111" i="38"/>
  <c r="AA114" i="38"/>
  <c r="E64" i="38"/>
  <c r="E67" i="38"/>
  <c r="AB39" i="38"/>
  <c r="AB29" i="38"/>
  <c r="AB23" i="38" s="1"/>
  <c r="C15" i="33"/>
  <c r="C18" i="33" s="1"/>
  <c r="C17" i="33"/>
  <c r="Z34" i="52"/>
  <c r="X19" i="59"/>
  <c r="X19" i="46"/>
  <c r="Z15" i="33"/>
  <c r="Z18" i="33" s="1"/>
  <c r="Y13" i="33"/>
  <c r="Y7" i="33" s="1"/>
  <c r="Z17" i="33"/>
  <c r="U99" i="46"/>
  <c r="U96" i="46" s="1"/>
  <c r="V101" i="46"/>
  <c r="V105" i="46" s="1"/>
  <c r="V104" i="46"/>
  <c r="U127" i="46"/>
  <c r="U124" i="46" s="1"/>
  <c r="V129" i="46"/>
  <c r="V132" i="46" s="1"/>
  <c r="V131" i="46"/>
  <c r="U114" i="46"/>
  <c r="U111" i="46" s="1"/>
  <c r="V116" i="46"/>
  <c r="V120" i="46" s="1"/>
  <c r="V119" i="46"/>
  <c r="S33" i="35"/>
  <c r="S37" i="35" s="1"/>
  <c r="S39" i="35" s="1"/>
  <c r="Z13" i="38"/>
  <c r="Z7" i="38" s="1"/>
  <c r="AA15" i="38"/>
  <c r="AA18" i="38"/>
  <c r="AB80" i="38"/>
  <c r="AB83" i="38"/>
  <c r="C42" i="59"/>
  <c r="C45" i="59"/>
  <c r="Z77" i="38"/>
  <c r="Z71" i="38" s="1"/>
  <c r="AA79" i="38"/>
  <c r="AA82" i="38"/>
  <c r="Q39" i="35"/>
  <c r="Q40" i="35" s="1"/>
  <c r="C32" i="56"/>
  <c r="C26" i="52"/>
  <c r="V86" i="46"/>
  <c r="V90" i="46" s="1"/>
  <c r="U84" i="46"/>
  <c r="U81" i="46" s="1"/>
  <c r="V89" i="46"/>
  <c r="AA64" i="38"/>
  <c r="AA67" i="38"/>
  <c r="Y41" i="59"/>
  <c r="Y45" i="59" s="1"/>
  <c r="X39" i="59"/>
  <c r="X36" i="59" s="1"/>
  <c r="Y44" i="59"/>
  <c r="Y56" i="59"/>
  <c r="Y60" i="59" s="1"/>
  <c r="X54" i="59"/>
  <c r="X51" i="59" s="1"/>
  <c r="Y59" i="59"/>
  <c r="C214" i="63"/>
  <c r="E23" i="64" l="1"/>
  <c r="U116" i="46"/>
  <c r="U120" i="46" s="1"/>
  <c r="T114" i="46"/>
  <c r="T111" i="46" s="1"/>
  <c r="U119" i="46"/>
  <c r="W24" i="59"/>
  <c r="W21" i="59" s="1"/>
  <c r="X26" i="59"/>
  <c r="X30" i="59" s="1"/>
  <c r="X29" i="59"/>
  <c r="N74" i="11"/>
  <c r="K78" i="11"/>
  <c r="T10" i="46"/>
  <c r="T7" i="46" s="1"/>
  <c r="U12" i="46"/>
  <c r="U15" i="46" s="1"/>
  <c r="U14" i="46"/>
  <c r="X61" i="38"/>
  <c r="X55" i="38" s="1"/>
  <c r="Y63" i="38"/>
  <c r="Y66" i="38"/>
  <c r="V13" i="52"/>
  <c r="V60" i="46"/>
  <c r="W99" i="59"/>
  <c r="W96" i="59" s="1"/>
  <c r="X101" i="59"/>
  <c r="X105" i="59" s="1"/>
  <c r="X104" i="59"/>
  <c r="C46" i="61"/>
  <c r="C129" i="61"/>
  <c r="C70" i="61"/>
  <c r="AB45" i="33"/>
  <c r="AB48" i="33" s="1"/>
  <c r="AA43" i="33"/>
  <c r="AA37" i="33" s="1"/>
  <c r="AB47" i="33"/>
  <c r="Z64" i="38"/>
  <c r="Z67" i="38"/>
  <c r="V11" i="52"/>
  <c r="V30" i="46"/>
  <c r="AB30" i="33"/>
  <c r="AB33" i="33" s="1"/>
  <c r="AA28" i="33"/>
  <c r="AA22" i="33" s="1"/>
  <c r="AB32" i="33"/>
  <c r="J91" i="11"/>
  <c r="I92" i="11"/>
  <c r="G92" i="11"/>
  <c r="J89" i="11"/>
  <c r="F92" i="11"/>
  <c r="D92" i="11"/>
  <c r="C92" i="11"/>
  <c r="J92" i="11"/>
  <c r="J55" i="8" s="1"/>
  <c r="U41" i="46"/>
  <c r="T39" i="46"/>
  <c r="T36" i="46" s="1"/>
  <c r="U44" i="46"/>
  <c r="AB47" i="38"/>
  <c r="AA45" i="38"/>
  <c r="AA39" i="38" s="1"/>
  <c r="AB50" i="38"/>
  <c r="AA112" i="38"/>
  <c r="AA115" i="38"/>
  <c r="E32" i="38"/>
  <c r="E35" i="38"/>
  <c r="V12" i="52"/>
  <c r="V45" i="46"/>
  <c r="X73" i="33"/>
  <c r="X67" i="33" s="1"/>
  <c r="Y75" i="33"/>
  <c r="Y78" i="33" s="1"/>
  <c r="Y77" i="33"/>
  <c r="Z95" i="38"/>
  <c r="Y93" i="38"/>
  <c r="Y87" i="38" s="1"/>
  <c r="Z98" i="38"/>
  <c r="W127" i="59"/>
  <c r="W124" i="59" s="1"/>
  <c r="X129" i="59"/>
  <c r="X132" i="59" s="1"/>
  <c r="X131" i="59"/>
  <c r="N47" i="18"/>
  <c r="K48" i="18"/>
  <c r="W114" i="59"/>
  <c r="W111" i="59" s="1"/>
  <c r="X116" i="59"/>
  <c r="X120" i="59" s="1"/>
  <c r="X119" i="59"/>
  <c r="N15" i="8"/>
  <c r="M15" i="8"/>
  <c r="M16" i="8" s="1"/>
  <c r="X41" i="59"/>
  <c r="X45" i="59" s="1"/>
  <c r="W39" i="59"/>
  <c r="W36" i="59" s="1"/>
  <c r="X44" i="59"/>
  <c r="G453" i="65"/>
  <c r="C47" i="63"/>
  <c r="C72" i="63"/>
  <c r="D72" i="63"/>
  <c r="D74" i="63" s="1"/>
  <c r="Y7" i="52"/>
  <c r="Y8" i="52" s="1"/>
  <c r="Y109" i="46"/>
  <c r="Y117" i="46" s="1"/>
  <c r="Y94" i="46"/>
  <c r="Y102" i="46" s="1"/>
  <c r="Y64" i="46"/>
  <c r="Y72" i="46" s="1"/>
  <c r="Y27" i="46"/>
  <c r="Y21" i="52" s="1"/>
  <c r="Y26" i="52" s="1"/>
  <c r="Y79" i="46"/>
  <c r="Y87" i="46" s="1"/>
  <c r="Y49" i="46"/>
  <c r="Y57" i="46" s="1"/>
  <c r="Y23" i="52" s="1"/>
  <c r="Y28" i="52" s="1"/>
  <c r="Y34" i="46"/>
  <c r="Y42" i="46" s="1"/>
  <c r="Y22" i="52" s="1"/>
  <c r="Y27" i="52" s="1"/>
  <c r="N15" i="18"/>
  <c r="M15" i="18"/>
  <c r="M16" i="18" s="1"/>
  <c r="M47" i="18" s="1"/>
  <c r="M48" i="18" s="1"/>
  <c r="U56" i="46"/>
  <c r="T54" i="46"/>
  <c r="T51" i="46" s="1"/>
  <c r="U59" i="46"/>
  <c r="AA80" i="38"/>
  <c r="AA83" i="38"/>
  <c r="X56" i="59"/>
  <c r="X60" i="59" s="1"/>
  <c r="W54" i="59"/>
  <c r="W51" i="59" s="1"/>
  <c r="X59" i="59"/>
  <c r="K50" i="8"/>
  <c r="N49" i="8"/>
  <c r="X7" i="52"/>
  <c r="X109" i="46"/>
  <c r="X117" i="46" s="1"/>
  <c r="X79" i="46"/>
  <c r="X87" i="46" s="1"/>
  <c r="X94" i="46"/>
  <c r="X102" i="46" s="1"/>
  <c r="X64" i="46"/>
  <c r="X72" i="46" s="1"/>
  <c r="X34" i="46"/>
  <c r="X42" i="46" s="1"/>
  <c r="X22" i="52" s="1"/>
  <c r="X27" i="52" s="1"/>
  <c r="X27" i="46"/>
  <c r="X21" i="52" s="1"/>
  <c r="X26" i="52" s="1"/>
  <c r="X49" i="46"/>
  <c r="X57" i="46" s="1"/>
  <c r="X23" i="52" s="1"/>
  <c r="X28" i="52" s="1"/>
  <c r="C33" i="61"/>
  <c r="C35" i="61" s="1"/>
  <c r="C41" i="61" s="1"/>
  <c r="C27" i="61"/>
  <c r="E83" i="17"/>
  <c r="E72" i="17"/>
  <c r="N28" i="11"/>
  <c r="K18" i="8"/>
  <c r="N18" i="8" s="1"/>
  <c r="T24" i="46"/>
  <c r="T21" i="46" s="1"/>
  <c r="U26" i="46"/>
  <c r="U29" i="46"/>
  <c r="Z79" i="38"/>
  <c r="Y77" i="38"/>
  <c r="Y71" i="38" s="1"/>
  <c r="Z82" i="38"/>
  <c r="W19" i="59"/>
  <c r="W19" i="46"/>
  <c r="Y15" i="33"/>
  <c r="Y18" i="33" s="1"/>
  <c r="X13" i="33"/>
  <c r="X7" i="33" s="1"/>
  <c r="Y17" i="33"/>
  <c r="X94" i="59"/>
  <c r="X79" i="59"/>
  <c r="X109" i="59"/>
  <c r="X117" i="59" s="1"/>
  <c r="X34" i="59"/>
  <c r="X64" i="59"/>
  <c r="X49" i="59"/>
  <c r="X27" i="59"/>
  <c r="C34" i="63"/>
  <c r="C36" i="63" s="1"/>
  <c r="G460" i="65"/>
  <c r="C28" i="63"/>
  <c r="X86" i="59"/>
  <c r="X90" i="59" s="1"/>
  <c r="W84" i="59"/>
  <c r="W81" i="59" s="1"/>
  <c r="X89" i="59"/>
  <c r="N17" i="8"/>
  <c r="M17" i="8"/>
  <c r="AA96" i="38"/>
  <c r="AA99" i="38"/>
  <c r="Z111" i="38"/>
  <c r="Y109" i="38"/>
  <c r="Y103" i="38" s="1"/>
  <c r="Z114" i="38"/>
  <c r="T99" i="46"/>
  <c r="T96" i="46" s="1"/>
  <c r="U101" i="46"/>
  <c r="U105" i="46" s="1"/>
  <c r="U104" i="46"/>
  <c r="W10" i="59"/>
  <c r="W7" i="59" s="1"/>
  <c r="X12" i="59"/>
  <c r="X15" i="59" s="1"/>
  <c r="X14" i="59"/>
  <c r="W69" i="59"/>
  <c r="W66" i="59" s="1"/>
  <c r="X71" i="59"/>
  <c r="X74" i="59"/>
  <c r="K92" i="11"/>
  <c r="Z15" i="38"/>
  <c r="Y13" i="38"/>
  <c r="Y7" i="38" s="1"/>
  <c r="Z18" i="38"/>
  <c r="U86" i="46"/>
  <c r="U90" i="46" s="1"/>
  <c r="T84" i="46"/>
  <c r="T81" i="46" s="1"/>
  <c r="U89" i="46"/>
  <c r="Y60" i="33"/>
  <c r="Y63" i="33" s="1"/>
  <c r="X58" i="33"/>
  <c r="X52" i="33" s="1"/>
  <c r="Y62" i="33"/>
  <c r="AA16" i="38"/>
  <c r="AA19" i="38"/>
  <c r="T127" i="46"/>
  <c r="T124" i="46" s="1"/>
  <c r="U129" i="46"/>
  <c r="U132" i="46" s="1"/>
  <c r="U131" i="46"/>
  <c r="Y90" i="33"/>
  <c r="Y93" i="33" s="1"/>
  <c r="X88" i="33"/>
  <c r="X82" i="33" s="1"/>
  <c r="Y92" i="33"/>
  <c r="C32" i="52"/>
  <c r="C29" i="52"/>
  <c r="C35" i="52" s="1"/>
  <c r="AB31" i="38"/>
  <c r="AA29" i="38"/>
  <c r="AA23" i="38" s="1"/>
  <c r="AB34" i="38"/>
  <c r="U71" i="46"/>
  <c r="U75" i="46" s="1"/>
  <c r="T69" i="46"/>
  <c r="T66" i="46" s="1"/>
  <c r="U74" i="46"/>
  <c r="C16" i="38"/>
  <c r="C19" i="38"/>
  <c r="Y94" i="59"/>
  <c r="Y102" i="59" s="1"/>
  <c r="Y79" i="59"/>
  <c r="Y87" i="59" s="1"/>
  <c r="Y109" i="59"/>
  <c r="Y117" i="59" s="1"/>
  <c r="Y34" i="59"/>
  <c r="Y42" i="59" s="1"/>
  <c r="Y64" i="59"/>
  <c r="Y72" i="59" s="1"/>
  <c r="Y49" i="59"/>
  <c r="Y57" i="59" s="1"/>
  <c r="Y27" i="59"/>
  <c r="Z105" i="33"/>
  <c r="Z108" i="33" s="1"/>
  <c r="Y103" i="33"/>
  <c r="Y97" i="33" s="1"/>
  <c r="Z107" i="33"/>
  <c r="X102" i="59" l="1"/>
  <c r="X87" i="59"/>
  <c r="X109" i="38"/>
  <c r="X103" i="38" s="1"/>
  <c r="Y111" i="38"/>
  <c r="Y114" i="38"/>
  <c r="T41" i="46"/>
  <c r="S39" i="46"/>
  <c r="S36" i="46" s="1"/>
  <c r="T44" i="46"/>
  <c r="W61" i="38"/>
  <c r="W55" i="38" s="1"/>
  <c r="X63" i="38"/>
  <c r="X66" i="38"/>
  <c r="V54" i="59"/>
  <c r="V51" i="59" s="1"/>
  <c r="W56" i="59"/>
  <c r="W60" i="59" s="1"/>
  <c r="W59" i="59"/>
  <c r="D11" i="64"/>
  <c r="C103" i="61"/>
  <c r="C105" i="61" s="1"/>
  <c r="U12" i="52"/>
  <c r="U45" i="46"/>
  <c r="T12" i="46"/>
  <c r="T15" i="46" s="1"/>
  <c r="S10" i="46"/>
  <c r="S7" i="46" s="1"/>
  <c r="T14" i="46"/>
  <c r="Z45" i="38"/>
  <c r="Z39" i="38" s="1"/>
  <c r="AA47" i="38"/>
  <c r="AA50" i="38"/>
  <c r="W129" i="59"/>
  <c r="W132" i="59" s="1"/>
  <c r="V127" i="59"/>
  <c r="V124" i="59" s="1"/>
  <c r="W131" i="59"/>
  <c r="Y95" i="38"/>
  <c r="X93" i="38"/>
  <c r="X87" i="38" s="1"/>
  <c r="Y98" i="38"/>
  <c r="D70" i="61"/>
  <c r="D72" i="61" s="1"/>
  <c r="K79" i="11"/>
  <c r="K84" i="11"/>
  <c r="N78" i="11"/>
  <c r="Y64" i="38"/>
  <c r="Y67" i="38"/>
  <c r="W13" i="33"/>
  <c r="W7" i="33" s="1"/>
  <c r="X15" i="33"/>
  <c r="X18" i="33" s="1"/>
  <c r="X17" i="33"/>
  <c r="S54" i="46"/>
  <c r="S51" i="46" s="1"/>
  <c r="T56" i="46"/>
  <c r="T59" i="46"/>
  <c r="X33" i="52"/>
  <c r="V69" i="59"/>
  <c r="V66" i="59" s="1"/>
  <c r="W71" i="59"/>
  <c r="W75" i="59" s="1"/>
  <c r="W74" i="59"/>
  <c r="Y33" i="52"/>
  <c r="X75" i="33"/>
  <c r="X78" i="33" s="1"/>
  <c r="W73" i="33"/>
  <c r="W67" i="33" s="1"/>
  <c r="X77" i="33"/>
  <c r="F55" i="8"/>
  <c r="F60" i="8" s="1"/>
  <c r="F62" i="8" s="1"/>
  <c r="F93" i="11"/>
  <c r="F95" i="11" s="1"/>
  <c r="C173" i="61"/>
  <c r="C76" i="61"/>
  <c r="C77" i="61" s="1"/>
  <c r="C72" i="61"/>
  <c r="Z112" i="38"/>
  <c r="Z115" i="38"/>
  <c r="AB48" i="38"/>
  <c r="AB51" i="38"/>
  <c r="AL334" i="65"/>
  <c r="AL331" i="65"/>
  <c r="AL336" i="65"/>
  <c r="AN93" i="65"/>
  <c r="AL254" i="65"/>
  <c r="AL330" i="65"/>
  <c r="AL173" i="65"/>
  <c r="AL255" i="65"/>
  <c r="AL253" i="65"/>
  <c r="G415" i="65"/>
  <c r="AL333" i="65"/>
  <c r="AL335" i="65"/>
  <c r="AL332" i="65"/>
  <c r="AO93" i="65"/>
  <c r="AL256" i="65"/>
  <c r="AL93" i="65"/>
  <c r="AL252" i="65"/>
  <c r="AP93" i="65"/>
  <c r="AM93" i="65"/>
  <c r="AL170" i="65"/>
  <c r="AL171" i="65"/>
  <c r="AL174" i="65"/>
  <c r="AL175" i="65"/>
  <c r="AK93" i="65"/>
  <c r="AL176" i="65"/>
  <c r="AQ93" i="65"/>
  <c r="AL251" i="65"/>
  <c r="AL250" i="65"/>
  <c r="AJ93" i="65"/>
  <c r="AL172" i="65"/>
  <c r="AR93" i="65"/>
  <c r="X29" i="52"/>
  <c r="X35" i="52" s="1"/>
  <c r="X32" i="52"/>
  <c r="S127" i="46"/>
  <c r="S124" i="46" s="1"/>
  <c r="T129" i="46"/>
  <c r="T132" i="46" s="1"/>
  <c r="T131" i="46"/>
  <c r="AA45" i="33"/>
  <c r="AA48" i="33" s="1"/>
  <c r="Z43" i="33"/>
  <c r="Z37" i="33" s="1"/>
  <c r="AA47" i="33"/>
  <c r="X72" i="59"/>
  <c r="X75" i="59"/>
  <c r="C55" i="8"/>
  <c r="C60" i="8" s="1"/>
  <c r="C62" i="8" s="1"/>
  <c r="C93" i="11"/>
  <c r="C95" i="11" s="1"/>
  <c r="Y34" i="52"/>
  <c r="J58" i="8"/>
  <c r="N89" i="11"/>
  <c r="M89" i="11"/>
  <c r="M93" i="11" s="1"/>
  <c r="M95" i="11" s="1"/>
  <c r="M106" i="11" s="1"/>
  <c r="J93" i="11"/>
  <c r="J95" i="11" s="1"/>
  <c r="C100" i="64"/>
  <c r="C150" i="63"/>
  <c r="G447" i="65"/>
  <c r="D150" i="63"/>
  <c r="C117" i="63"/>
  <c r="D157" i="63"/>
  <c r="C96" i="64"/>
  <c r="X8" i="52"/>
  <c r="Z16" i="38"/>
  <c r="Z19" i="38"/>
  <c r="Z96" i="38"/>
  <c r="Z99" i="38"/>
  <c r="W94" i="59"/>
  <c r="W79" i="59"/>
  <c r="W109" i="59"/>
  <c r="W117" i="59" s="1"/>
  <c r="W34" i="59"/>
  <c r="W49" i="59"/>
  <c r="W64" i="59"/>
  <c r="C114" i="63"/>
  <c r="C116" i="63" s="1"/>
  <c r="C11" i="64"/>
  <c r="G55" i="8"/>
  <c r="G60" i="8" s="1"/>
  <c r="G62" i="8" s="1"/>
  <c r="G93" i="11"/>
  <c r="G95" i="11" s="1"/>
  <c r="W88" i="33"/>
  <c r="W82" i="33" s="1"/>
  <c r="X90" i="33"/>
  <c r="X93" i="33" s="1"/>
  <c r="X92" i="33"/>
  <c r="K55" i="8"/>
  <c r="K93" i="11"/>
  <c r="W109" i="46"/>
  <c r="W117" i="46" s="1"/>
  <c r="W64" i="46"/>
  <c r="W72" i="46" s="1"/>
  <c r="W7" i="52"/>
  <c r="W79" i="46"/>
  <c r="W87" i="46" s="1"/>
  <c r="W94" i="46"/>
  <c r="W102" i="46" s="1"/>
  <c r="W49" i="46"/>
  <c r="W57" i="46" s="1"/>
  <c r="W23" i="52" s="1"/>
  <c r="W28" i="52" s="1"/>
  <c r="W34" i="46"/>
  <c r="W42" i="46" s="1"/>
  <c r="W22" i="52" s="1"/>
  <c r="W27" i="52" s="1"/>
  <c r="W27" i="46"/>
  <c r="W21" i="52" s="1"/>
  <c r="W26" i="52" s="1"/>
  <c r="I55" i="8"/>
  <c r="I60" i="8" s="1"/>
  <c r="I62" i="8" s="1"/>
  <c r="I93" i="11"/>
  <c r="I95" i="11" s="1"/>
  <c r="C47" i="61"/>
  <c r="C49" i="61" s="1"/>
  <c r="W26" i="59"/>
  <c r="W30" i="59" s="1"/>
  <c r="V24" i="59"/>
  <c r="V21" i="59" s="1"/>
  <c r="W29" i="59"/>
  <c r="T86" i="46"/>
  <c r="T90" i="46" s="1"/>
  <c r="S84" i="46"/>
  <c r="S81" i="46" s="1"/>
  <c r="T89" i="46"/>
  <c r="C42" i="61"/>
  <c r="C110" i="61"/>
  <c r="C112" i="61" s="1"/>
  <c r="D12" i="64"/>
  <c r="D76" i="61"/>
  <c r="V84" i="59"/>
  <c r="V81" i="59" s="1"/>
  <c r="W86" i="59"/>
  <c r="W90" i="59" s="1"/>
  <c r="W89" i="59"/>
  <c r="M18" i="8"/>
  <c r="M49" i="8"/>
  <c r="Y79" i="38"/>
  <c r="X77" i="38"/>
  <c r="X71" i="38" s="1"/>
  <c r="Y82" i="38"/>
  <c r="Z80" i="38"/>
  <c r="Z83" i="38"/>
  <c r="V10" i="59"/>
  <c r="V7" i="59" s="1"/>
  <c r="W12" i="59"/>
  <c r="W15" i="59" s="1"/>
  <c r="W14" i="59"/>
  <c r="U11" i="52"/>
  <c r="U30" i="46"/>
  <c r="V114" i="59"/>
  <c r="V111" i="59" s="1"/>
  <c r="W116" i="59"/>
  <c r="W120" i="59" s="1"/>
  <c r="W119" i="59"/>
  <c r="T26" i="46"/>
  <c r="S24" i="46"/>
  <c r="S21" i="46" s="1"/>
  <c r="T29" i="46"/>
  <c r="J53" i="8"/>
  <c r="M91" i="11"/>
  <c r="N91" i="11"/>
  <c r="C74" i="63"/>
  <c r="C185" i="63"/>
  <c r="X13" i="38"/>
  <c r="X7" i="38" s="1"/>
  <c r="Y15" i="38"/>
  <c r="Y18" i="38"/>
  <c r="X34" i="52"/>
  <c r="U13" i="52"/>
  <c r="U60" i="46"/>
  <c r="T71" i="46"/>
  <c r="T75" i="46" s="1"/>
  <c r="S69" i="46"/>
  <c r="S66" i="46" s="1"/>
  <c r="T74" i="46"/>
  <c r="Y29" i="52"/>
  <c r="Y35" i="52" s="1"/>
  <c r="Y32" i="52"/>
  <c r="AA31" i="38"/>
  <c r="Z29" i="38"/>
  <c r="Z23" i="38" s="1"/>
  <c r="AA34" i="38"/>
  <c r="X60" i="33"/>
  <c r="X63" i="33" s="1"/>
  <c r="W58" i="33"/>
  <c r="W52" i="33" s="1"/>
  <c r="X62" i="33"/>
  <c r="X57" i="59"/>
  <c r="X103" i="33"/>
  <c r="X97" i="33" s="1"/>
  <c r="Y105" i="33"/>
  <c r="Y108" i="33" s="1"/>
  <c r="Y107" i="33"/>
  <c r="AB32" i="38"/>
  <c r="AB35" i="38"/>
  <c r="T101" i="46"/>
  <c r="T105" i="46" s="1"/>
  <c r="S99" i="46"/>
  <c r="S96" i="46" s="1"/>
  <c r="T104" i="46"/>
  <c r="T116" i="46"/>
  <c r="T120" i="46" s="1"/>
  <c r="S114" i="46"/>
  <c r="S111" i="46" s="1"/>
  <c r="T119" i="46"/>
  <c r="W41" i="59"/>
  <c r="W45" i="59" s="1"/>
  <c r="V39" i="59"/>
  <c r="V36" i="59" s="1"/>
  <c r="W44" i="59"/>
  <c r="D55" i="8"/>
  <c r="D60" i="8" s="1"/>
  <c r="D62" i="8" s="1"/>
  <c r="D93" i="11"/>
  <c r="D95" i="11" s="1"/>
  <c r="G454" i="65"/>
  <c r="AK333" i="65" s="1"/>
  <c r="C42" i="63"/>
  <c r="C48" i="63" s="1"/>
  <c r="C50" i="63" s="1"/>
  <c r="X42" i="59"/>
  <c r="Z28" i="33"/>
  <c r="Z22" i="33" s="1"/>
  <c r="AA30" i="33"/>
  <c r="AA33" i="33" s="1"/>
  <c r="AA32" i="33"/>
  <c r="V99" i="59"/>
  <c r="V96" i="59" s="1"/>
  <c r="W101" i="59"/>
  <c r="W105" i="59" s="1"/>
  <c r="W104" i="59"/>
  <c r="W42" i="59" l="1"/>
  <c r="W57" i="59"/>
  <c r="W87" i="59"/>
  <c r="W102" i="59"/>
  <c r="G416" i="65"/>
  <c r="G417" i="65" s="1"/>
  <c r="G450" i="65"/>
  <c r="AM90" i="65"/>
  <c r="AN90" i="65"/>
  <c r="R127" i="46"/>
  <c r="R124" i="46" s="1"/>
  <c r="S129" i="46"/>
  <c r="S132" i="46" s="1"/>
  <c r="S131" i="46"/>
  <c r="AQ90" i="65"/>
  <c r="K85" i="11"/>
  <c r="N84" i="11"/>
  <c r="AP90" i="65"/>
  <c r="W13" i="38"/>
  <c r="W7" i="38" s="1"/>
  <c r="X15" i="38"/>
  <c r="X18" i="38"/>
  <c r="J96" i="11"/>
  <c r="J106" i="11"/>
  <c r="J107" i="11" s="1"/>
  <c r="AK254" i="65"/>
  <c r="D100" i="64"/>
  <c r="D103" i="64" s="1"/>
  <c r="D96" i="64"/>
  <c r="D91" i="64" s="1"/>
  <c r="C144" i="61"/>
  <c r="D144" i="61"/>
  <c r="C106" i="61"/>
  <c r="C107" i="61" s="1"/>
  <c r="W60" i="33"/>
  <c r="W63" i="33" s="1"/>
  <c r="V58" i="33"/>
  <c r="V52" i="33" s="1"/>
  <c r="W62" i="33"/>
  <c r="AK251" i="65"/>
  <c r="AL90" i="65"/>
  <c r="V71" i="59"/>
  <c r="V75" i="59" s="1"/>
  <c r="U69" i="59"/>
  <c r="U66" i="59" s="1"/>
  <c r="V74" i="59"/>
  <c r="C121" i="63"/>
  <c r="D77" i="63"/>
  <c r="C43" i="63"/>
  <c r="C12" i="64"/>
  <c r="E12" i="64" s="1"/>
  <c r="D96" i="11"/>
  <c r="D106" i="11"/>
  <c r="D107" i="11" s="1"/>
  <c r="AK256" i="65"/>
  <c r="AK176" i="65"/>
  <c r="W93" i="38"/>
  <c r="W87" i="38" s="1"/>
  <c r="X95" i="38"/>
  <c r="X98" i="38"/>
  <c r="N55" i="8"/>
  <c r="M55" i="8"/>
  <c r="K60" i="8"/>
  <c r="AK90" i="65"/>
  <c r="AK173" i="65"/>
  <c r="Y96" i="38"/>
  <c r="Y99" i="38"/>
  <c r="V59" i="59"/>
  <c r="V56" i="59"/>
  <c r="V60" i="59" s="1"/>
  <c r="U54" i="59"/>
  <c r="U51" i="59" s="1"/>
  <c r="C103" i="64"/>
  <c r="W77" i="38"/>
  <c r="W71" i="38" s="1"/>
  <c r="X79" i="38"/>
  <c r="X82" i="38"/>
  <c r="AO90" i="65"/>
  <c r="T13" i="52"/>
  <c r="T60" i="46"/>
  <c r="V12" i="59"/>
  <c r="V15" i="59" s="1"/>
  <c r="U10" i="59"/>
  <c r="U7" i="59" s="1"/>
  <c r="V14" i="59"/>
  <c r="S116" i="46"/>
  <c r="S120" i="46" s="1"/>
  <c r="R114" i="46"/>
  <c r="R111" i="46" s="1"/>
  <c r="S119" i="46"/>
  <c r="C96" i="11"/>
  <c r="C106" i="11"/>
  <c r="C107" i="11" s="1"/>
  <c r="AK253" i="65"/>
  <c r="AK332" i="65"/>
  <c r="R54" i="46"/>
  <c r="R51" i="46" s="1"/>
  <c r="S56" i="46"/>
  <c r="S59" i="46"/>
  <c r="U127" i="59"/>
  <c r="U124" i="59" s="1"/>
  <c r="V129" i="59"/>
  <c r="V132" i="59" s="1"/>
  <c r="V131" i="59"/>
  <c r="X64" i="38"/>
  <c r="X67" i="38"/>
  <c r="S86" i="46"/>
  <c r="S90" i="46" s="1"/>
  <c r="R84" i="46"/>
  <c r="R81" i="46" s="1"/>
  <c r="S89" i="46"/>
  <c r="AK250" i="65"/>
  <c r="Y80" i="38"/>
  <c r="Y83" i="38"/>
  <c r="M50" i="8"/>
  <c r="V88" i="33"/>
  <c r="V82" i="33" s="1"/>
  <c r="W90" i="33"/>
  <c r="W93" i="33" s="1"/>
  <c r="W92" i="33"/>
  <c r="C63" i="8"/>
  <c r="C72" i="8"/>
  <c r="C73" i="8" s="1"/>
  <c r="V61" i="38"/>
  <c r="V55" i="38" s="1"/>
  <c r="W63" i="38"/>
  <c r="W66" i="38"/>
  <c r="X105" i="33"/>
  <c r="X108" i="33" s="1"/>
  <c r="W103" i="33"/>
  <c r="W97" i="33" s="1"/>
  <c r="X107" i="33"/>
  <c r="Y29" i="38"/>
  <c r="Y23" i="38" s="1"/>
  <c r="Z31" i="38"/>
  <c r="Z34" i="38"/>
  <c r="S26" i="46"/>
  <c r="R24" i="46"/>
  <c r="R21" i="46" s="1"/>
  <c r="S29" i="46"/>
  <c r="G106" i="11"/>
  <c r="G107" i="11" s="1"/>
  <c r="G96" i="11"/>
  <c r="AK171" i="65"/>
  <c r="AK331" i="65"/>
  <c r="AK255" i="65"/>
  <c r="U24" i="59"/>
  <c r="U21" i="59" s="1"/>
  <c r="V29" i="59"/>
  <c r="V26" i="59"/>
  <c r="V30" i="59" s="1"/>
  <c r="AA32" i="38"/>
  <c r="AA35" i="38"/>
  <c r="R99" i="46"/>
  <c r="R96" i="46" s="1"/>
  <c r="S101" i="46"/>
  <c r="S105" i="46" s="1"/>
  <c r="S104" i="46"/>
  <c r="T11" i="52"/>
  <c r="T30" i="46"/>
  <c r="I106" i="11"/>
  <c r="I107" i="11" s="1"/>
  <c r="I96" i="11"/>
  <c r="G63" i="8"/>
  <c r="G72" i="8"/>
  <c r="G73" i="8" s="1"/>
  <c r="AK252" i="65"/>
  <c r="AK174" i="65"/>
  <c r="AK330" i="65"/>
  <c r="D35" i="64"/>
  <c r="C126" i="61"/>
  <c r="C125" i="61"/>
  <c r="C128" i="61" s="1"/>
  <c r="C175" i="61"/>
  <c r="D32" i="64"/>
  <c r="D83" i="64" s="1"/>
  <c r="C159" i="61"/>
  <c r="D159" i="61"/>
  <c r="D199" i="61"/>
  <c r="C177" i="61"/>
  <c r="C180" i="61" s="1"/>
  <c r="W15" i="33"/>
  <c r="W18" i="33" s="1"/>
  <c r="V13" i="33"/>
  <c r="V7" i="33" s="1"/>
  <c r="W17" i="33"/>
  <c r="AA48" i="38"/>
  <c r="AA51" i="38"/>
  <c r="R39" i="46"/>
  <c r="R36" i="46" s="1"/>
  <c r="S41" i="46"/>
  <c r="S44" i="46"/>
  <c r="D63" i="8"/>
  <c r="D72" i="8"/>
  <c r="D73" i="8" s="1"/>
  <c r="K95" i="11"/>
  <c r="N93" i="11"/>
  <c r="J60" i="8"/>
  <c r="J62" i="8" s="1"/>
  <c r="M53" i="8"/>
  <c r="N53" i="8"/>
  <c r="I63" i="8"/>
  <c r="I72" i="8"/>
  <c r="I73" i="8" s="1"/>
  <c r="E11" i="64"/>
  <c r="C91" i="64"/>
  <c r="E96" i="64"/>
  <c r="AK334" i="65"/>
  <c r="AK335" i="65"/>
  <c r="F96" i="11"/>
  <c r="F106" i="11"/>
  <c r="F107" i="11" s="1"/>
  <c r="V19" i="46"/>
  <c r="Z47" i="38"/>
  <c r="Y45" i="38"/>
  <c r="Y39" i="38" s="1"/>
  <c r="Z50" i="38"/>
  <c r="T12" i="52"/>
  <c r="T45" i="46"/>
  <c r="N58" i="8"/>
  <c r="M58" i="8"/>
  <c r="U99" i="59"/>
  <c r="U96" i="59" s="1"/>
  <c r="V101" i="59"/>
  <c r="V105" i="59" s="1"/>
  <c r="V104" i="59"/>
  <c r="V86" i="59"/>
  <c r="V90" i="59" s="1"/>
  <c r="U84" i="59"/>
  <c r="U81" i="59" s="1"/>
  <c r="V89" i="59"/>
  <c r="W29" i="52"/>
  <c r="W35" i="52" s="1"/>
  <c r="W32" i="52"/>
  <c r="Z45" i="33"/>
  <c r="Z48" i="33" s="1"/>
  <c r="Y43" i="33"/>
  <c r="Y37" i="33" s="1"/>
  <c r="Z47" i="33"/>
  <c r="AJ90" i="65"/>
  <c r="AK336" i="65"/>
  <c r="G412" i="65"/>
  <c r="F63" i="8"/>
  <c r="F72" i="8"/>
  <c r="F73" i="8" s="1"/>
  <c r="V19" i="59"/>
  <c r="W27" i="59"/>
  <c r="C118" i="63"/>
  <c r="AK175" i="65"/>
  <c r="AK172" i="65"/>
  <c r="R10" i="46"/>
  <c r="R7" i="46" s="1"/>
  <c r="S12" i="46"/>
  <c r="S15" i="46" s="1"/>
  <c r="S14" i="46"/>
  <c r="Y112" i="38"/>
  <c r="Y115" i="38"/>
  <c r="W8" i="52"/>
  <c r="W34" i="52" s="1"/>
  <c r="Y16" i="38"/>
  <c r="Y19" i="38"/>
  <c r="C77" i="63"/>
  <c r="C32" i="64"/>
  <c r="G430" i="65"/>
  <c r="AM176" i="65" s="1"/>
  <c r="C66" i="63"/>
  <c r="D227" i="63"/>
  <c r="C188" i="63"/>
  <c r="U39" i="59"/>
  <c r="U36" i="59" s="1"/>
  <c r="V41" i="59"/>
  <c r="V45" i="59" s="1"/>
  <c r="V44" i="59"/>
  <c r="AR90" i="65"/>
  <c r="R69" i="46"/>
  <c r="R66" i="46" s="1"/>
  <c r="S71" i="46"/>
  <c r="S75" i="46" s="1"/>
  <c r="S74" i="46"/>
  <c r="Y28" i="33"/>
  <c r="Y22" i="33" s="1"/>
  <c r="Z30" i="33"/>
  <c r="Z33" i="33" s="1"/>
  <c r="Z32" i="33"/>
  <c r="U114" i="59"/>
  <c r="U111" i="59" s="1"/>
  <c r="V116" i="59"/>
  <c r="V120" i="59" s="1"/>
  <c r="V119" i="59"/>
  <c r="W33" i="52"/>
  <c r="C113" i="61"/>
  <c r="C114" i="61" s="1"/>
  <c r="C97" i="61"/>
  <c r="C98" i="61" s="1"/>
  <c r="D56" i="64"/>
  <c r="D77" i="61"/>
  <c r="W72" i="59"/>
  <c r="AK170" i="65"/>
  <c r="W75" i="33"/>
  <c r="W78" i="33" s="1"/>
  <c r="V73" i="33"/>
  <c r="V67" i="33" s="1"/>
  <c r="W77" i="33"/>
  <c r="X111" i="38"/>
  <c r="W109" i="38"/>
  <c r="W103" i="38" s="1"/>
  <c r="X114" i="38"/>
  <c r="AM251" i="65" l="1"/>
  <c r="G442" i="65"/>
  <c r="AN95" i="65"/>
  <c r="G443" i="65"/>
  <c r="AM256" i="65"/>
  <c r="AM95" i="65"/>
  <c r="AM171" i="65"/>
  <c r="AR95" i="65"/>
  <c r="AM255" i="65"/>
  <c r="AM333" i="65"/>
  <c r="AM175" i="65"/>
  <c r="T10" i="59"/>
  <c r="T7" i="59" s="1"/>
  <c r="U14" i="59"/>
  <c r="U12" i="59"/>
  <c r="U15" i="59" s="1"/>
  <c r="W15" i="38"/>
  <c r="V13" i="38"/>
  <c r="V7" i="38" s="1"/>
  <c r="W18" i="38"/>
  <c r="Q99" i="46"/>
  <c r="Q96" i="46" s="1"/>
  <c r="R101" i="46"/>
  <c r="R105" i="46" s="1"/>
  <c r="R104" i="46"/>
  <c r="U131" i="59"/>
  <c r="T127" i="59"/>
  <c r="T124" i="59" s="1"/>
  <c r="U129" i="59"/>
  <c r="U132" i="59" s="1"/>
  <c r="Z48" i="38"/>
  <c r="Z51" i="38"/>
  <c r="C124" i="63"/>
  <c r="D79" i="63"/>
  <c r="G431" i="65"/>
  <c r="D82" i="63"/>
  <c r="C108" i="63"/>
  <c r="C109" i="63" s="1"/>
  <c r="D75" i="64"/>
  <c r="Z32" i="38"/>
  <c r="Z35" i="38"/>
  <c r="U88" i="33"/>
  <c r="U82" i="33" s="1"/>
  <c r="V90" i="33"/>
  <c r="V93" i="33" s="1"/>
  <c r="V92" i="33"/>
  <c r="S13" i="52"/>
  <c r="S60" i="46"/>
  <c r="AO95" i="65"/>
  <c r="N60" i="8"/>
  <c r="K62" i="8"/>
  <c r="C123" i="63"/>
  <c r="C215" i="63"/>
  <c r="G448" i="65"/>
  <c r="D196" i="61"/>
  <c r="AM334" i="65"/>
  <c r="U41" i="59"/>
  <c r="U45" i="59" s="1"/>
  <c r="T39" i="59"/>
  <c r="T36" i="59" s="1"/>
  <c r="U44" i="59"/>
  <c r="C35" i="64"/>
  <c r="E35" i="64" s="1"/>
  <c r="C168" i="63"/>
  <c r="C190" i="63"/>
  <c r="C192" i="63"/>
  <c r="C175" i="63"/>
  <c r="D175" i="63" s="1"/>
  <c r="AM254" i="65"/>
  <c r="AM173" i="65"/>
  <c r="AM335" i="65"/>
  <c r="Q24" i="46"/>
  <c r="Q21" i="46" s="1"/>
  <c r="R26" i="46"/>
  <c r="R29" i="46"/>
  <c r="D37" i="64"/>
  <c r="D160" i="61"/>
  <c r="C64" i="61"/>
  <c r="C160" i="61"/>
  <c r="C93" i="61"/>
  <c r="U29" i="59"/>
  <c r="U26" i="59"/>
  <c r="U30" i="59" s="1"/>
  <c r="T24" i="59"/>
  <c r="T21" i="59" s="1"/>
  <c r="W105" i="33"/>
  <c r="W108" i="33" s="1"/>
  <c r="V103" i="33"/>
  <c r="V97" i="33" s="1"/>
  <c r="W107" i="33"/>
  <c r="U71" i="59"/>
  <c r="U75" i="59" s="1"/>
  <c r="T69" i="59"/>
  <c r="T66" i="59" s="1"/>
  <c r="U74" i="59"/>
  <c r="AP95" i="65"/>
  <c r="V109" i="46"/>
  <c r="V117" i="46" s="1"/>
  <c r="V64" i="46"/>
  <c r="V72" i="46" s="1"/>
  <c r="V7" i="52"/>
  <c r="V49" i="46"/>
  <c r="V57" i="46" s="1"/>
  <c r="V23" i="52" s="1"/>
  <c r="V28" i="52" s="1"/>
  <c r="V34" i="46"/>
  <c r="V42" i="46" s="1"/>
  <c r="V22" i="52" s="1"/>
  <c r="V27" i="52" s="1"/>
  <c r="V79" i="46"/>
  <c r="V87" i="46" s="1"/>
  <c r="V94" i="46"/>
  <c r="V102" i="46" s="1"/>
  <c r="V27" i="46"/>
  <c r="V21" i="52" s="1"/>
  <c r="V26" i="52" s="1"/>
  <c r="R41" i="46"/>
  <c r="Q39" i="46"/>
  <c r="Q36" i="46" s="1"/>
  <c r="R44" i="46"/>
  <c r="AJ95" i="65"/>
  <c r="AM336" i="65"/>
  <c r="E91" i="64"/>
  <c r="X80" i="38"/>
  <c r="X83" i="38"/>
  <c r="X96" i="38"/>
  <c r="X99" i="38"/>
  <c r="Q10" i="46"/>
  <c r="Q7" i="46" s="1"/>
  <c r="R12" i="46"/>
  <c r="R15" i="46" s="1"/>
  <c r="R14" i="46"/>
  <c r="S12" i="52"/>
  <c r="S45" i="46"/>
  <c r="W79" i="38"/>
  <c r="V77" i="38"/>
  <c r="V71" i="38" s="1"/>
  <c r="W82" i="38"/>
  <c r="V93" i="38"/>
  <c r="V87" i="38" s="1"/>
  <c r="W95" i="38"/>
  <c r="W98" i="38"/>
  <c r="AM252" i="65"/>
  <c r="V109" i="38"/>
  <c r="V103" i="38" s="1"/>
  <c r="W111" i="38"/>
  <c r="W114" i="38"/>
  <c r="Q54" i="46"/>
  <c r="Q51" i="46" s="1"/>
  <c r="R56" i="46"/>
  <c r="R59" i="46"/>
  <c r="W64" i="38"/>
  <c r="W67" i="38"/>
  <c r="E100" i="64"/>
  <c r="AM253" i="65"/>
  <c r="AK95" i="65"/>
  <c r="S11" i="52"/>
  <c r="S30" i="46"/>
  <c r="X112" i="38"/>
  <c r="X115" i="38"/>
  <c r="CC120" i="65"/>
  <c r="CD120" i="65"/>
  <c r="P13" i="65"/>
  <c r="R13" i="65" s="1"/>
  <c r="P11" i="65"/>
  <c r="R11" i="65" s="1"/>
  <c r="AA11" i="65" s="1"/>
  <c r="BK37" i="65" s="1"/>
  <c r="P10" i="65"/>
  <c r="R10" i="65" s="1"/>
  <c r="P96" i="65"/>
  <c r="R96" i="65" s="1"/>
  <c r="AD96" i="65" s="1"/>
  <c r="CB122" i="65" s="1"/>
  <c r="P18" i="65"/>
  <c r="R18" i="65" s="1"/>
  <c r="AH334" i="65" s="1"/>
  <c r="P90" i="65"/>
  <c r="R90" i="65" s="1"/>
  <c r="AE90" i="65" s="1"/>
  <c r="P94" i="65"/>
  <c r="R94" i="65" s="1"/>
  <c r="AD94" i="65" s="1"/>
  <c r="CB120" i="65" s="1"/>
  <c r="P93" i="65"/>
  <c r="R93" i="65" s="1"/>
  <c r="AF93" i="65" s="1"/>
  <c r="CO119" i="65" s="1"/>
  <c r="P15" i="65"/>
  <c r="R15" i="65" s="1"/>
  <c r="P14" i="65"/>
  <c r="R14" i="65" s="1"/>
  <c r="P16" i="65"/>
  <c r="R16" i="65" s="1"/>
  <c r="P92" i="65"/>
  <c r="R92" i="65" s="1"/>
  <c r="AF92" i="65" s="1"/>
  <c r="CP118" i="65" s="1"/>
  <c r="P12" i="65"/>
  <c r="R12" i="65" s="1"/>
  <c r="P95" i="65"/>
  <c r="R95" i="65" s="1"/>
  <c r="AG95" i="65" s="1"/>
  <c r="CT121" i="65" s="1"/>
  <c r="P91" i="65"/>
  <c r="R91" i="65" s="1"/>
  <c r="AB91" i="65" s="1"/>
  <c r="BP117" i="65" s="1"/>
  <c r="C82" i="63"/>
  <c r="C79" i="63"/>
  <c r="U19" i="46"/>
  <c r="V63" i="38"/>
  <c r="U61" i="38"/>
  <c r="U55" i="38" s="1"/>
  <c r="V66" i="38"/>
  <c r="R86" i="46"/>
  <c r="R90" i="46" s="1"/>
  <c r="Q84" i="46"/>
  <c r="Q81" i="46" s="1"/>
  <c r="R89" i="46"/>
  <c r="E103" i="64"/>
  <c r="AL95" i="65"/>
  <c r="Q127" i="46"/>
  <c r="Q124" i="46" s="1"/>
  <c r="R129" i="46"/>
  <c r="R132" i="46" s="1"/>
  <c r="R131" i="46"/>
  <c r="AH94" i="65"/>
  <c r="CZ120" i="65" s="1"/>
  <c r="T84" i="59"/>
  <c r="T81" i="59" s="1"/>
  <c r="U86" i="59"/>
  <c r="U90" i="59" s="1"/>
  <c r="U89" i="59"/>
  <c r="V75" i="33"/>
  <c r="V78" i="33" s="1"/>
  <c r="U73" i="33"/>
  <c r="U67" i="33" s="1"/>
  <c r="V77" i="33"/>
  <c r="C83" i="64"/>
  <c r="E32" i="64"/>
  <c r="U116" i="59"/>
  <c r="U120" i="59" s="1"/>
  <c r="T114" i="59"/>
  <c r="T111" i="59" s="1"/>
  <c r="U119" i="59"/>
  <c r="AM250" i="65"/>
  <c r="AM170" i="65"/>
  <c r="U19" i="59"/>
  <c r="AM330" i="65"/>
  <c r="Q114" i="46"/>
  <c r="Q111" i="46" s="1"/>
  <c r="R116" i="46"/>
  <c r="R120" i="46" s="1"/>
  <c r="R119" i="46"/>
  <c r="T54" i="59"/>
  <c r="T51" i="59" s="1"/>
  <c r="U56" i="59"/>
  <c r="U60" i="59" s="1"/>
  <c r="U59" i="59"/>
  <c r="AM331" i="65"/>
  <c r="Y45" i="33"/>
  <c r="Y48" i="33" s="1"/>
  <c r="X43" i="33"/>
  <c r="X37" i="33" s="1"/>
  <c r="Y47" i="33"/>
  <c r="K96" i="11"/>
  <c r="K106" i="11"/>
  <c r="N95" i="11"/>
  <c r="T19" i="59"/>
  <c r="T19" i="46"/>
  <c r="V15" i="33"/>
  <c r="V18" i="33" s="1"/>
  <c r="U13" i="33"/>
  <c r="U7" i="33" s="1"/>
  <c r="V17" i="33"/>
  <c r="Z93" i="65"/>
  <c r="Z94" i="65"/>
  <c r="BH120" i="65" s="1"/>
  <c r="M60" i="8"/>
  <c r="M62" i="8" s="1"/>
  <c r="C178" i="61"/>
  <c r="D153" i="61" s="1"/>
  <c r="AM172" i="65"/>
  <c r="AM332" i="65"/>
  <c r="AQ95" i="65"/>
  <c r="V60" i="33"/>
  <c r="V63" i="33" s="1"/>
  <c r="U58" i="33"/>
  <c r="U52" i="33" s="1"/>
  <c r="V62" i="33"/>
  <c r="Y31" i="38"/>
  <c r="X29" i="38"/>
  <c r="X23" i="38" s="1"/>
  <c r="Y34" i="38"/>
  <c r="V64" i="59"/>
  <c r="V72" i="59" s="1"/>
  <c r="V49" i="59"/>
  <c r="V57" i="59" s="1"/>
  <c r="V94" i="59"/>
  <c r="V102" i="59" s="1"/>
  <c r="V79" i="59"/>
  <c r="V87" i="59" s="1"/>
  <c r="V34" i="59"/>
  <c r="V42" i="59" s="1"/>
  <c r="V109" i="59"/>
  <c r="V117" i="59" s="1"/>
  <c r="V27" i="59"/>
  <c r="T99" i="59"/>
  <c r="T96" i="59" s="1"/>
  <c r="U104" i="59"/>
  <c r="U101" i="59"/>
  <c r="U105" i="59" s="1"/>
  <c r="X28" i="33"/>
  <c r="X22" i="33" s="1"/>
  <c r="Y30" i="33"/>
  <c r="Y33" i="33" s="1"/>
  <c r="Y32" i="33"/>
  <c r="R71" i="46"/>
  <c r="R75" i="46" s="1"/>
  <c r="Q69" i="46"/>
  <c r="Q66" i="46" s="1"/>
  <c r="R74" i="46"/>
  <c r="X45" i="38"/>
  <c r="X39" i="38" s="1"/>
  <c r="Y47" i="38"/>
  <c r="Y50" i="38"/>
  <c r="J63" i="8"/>
  <c r="J72" i="8"/>
  <c r="J73" i="8" s="1"/>
  <c r="AM174" i="65"/>
  <c r="V8" i="52"/>
  <c r="X16" i="38"/>
  <c r="X19" i="38"/>
  <c r="AD93" i="65" l="1"/>
  <c r="CG119" i="65" s="1"/>
  <c r="AC93" i="65"/>
  <c r="BY119" i="65" s="1"/>
  <c r="AC94" i="65"/>
  <c r="BY120" i="65" s="1"/>
  <c r="Z96" i="65"/>
  <c r="BI122" i="65" s="1"/>
  <c r="AC96" i="65"/>
  <c r="BW122" i="65" s="1"/>
  <c r="AD90" i="65"/>
  <c r="CB116" i="65" s="1"/>
  <c r="AH90" i="65"/>
  <c r="CZ116" i="65" s="1"/>
  <c r="AH96" i="65"/>
  <c r="AC90" i="65"/>
  <c r="Z90" i="65"/>
  <c r="BE116" i="65" s="1"/>
  <c r="AH10" i="65"/>
  <c r="DD36" i="65" s="1"/>
  <c r="BO37" i="65"/>
  <c r="AB13" i="65"/>
  <c r="BP39" i="65" s="1"/>
  <c r="DE36" i="65"/>
  <c r="AA12" i="65"/>
  <c r="BJ38" i="65" s="1"/>
  <c r="Z14" i="65"/>
  <c r="BI40" i="65" s="1"/>
  <c r="AH15" i="65"/>
  <c r="DE41" i="65" s="1"/>
  <c r="C125" i="63"/>
  <c r="AF256" i="65"/>
  <c r="J256" i="65" s="1"/>
  <c r="AH176" i="65"/>
  <c r="DB202" i="65" s="1"/>
  <c r="AH171" i="65"/>
  <c r="DD197" i="65" s="1"/>
  <c r="AH336" i="65"/>
  <c r="DE362" i="65" s="1"/>
  <c r="AE256" i="65"/>
  <c r="CI282" i="65" s="1"/>
  <c r="AE176" i="65"/>
  <c r="CK202" i="65" s="1"/>
  <c r="AG171" i="65"/>
  <c r="CX197" i="65" s="1"/>
  <c r="AB336" i="65"/>
  <c r="BP362" i="65" s="1"/>
  <c r="Z176" i="65"/>
  <c r="BD202" i="65" s="1"/>
  <c r="AA256" i="65"/>
  <c r="BJ282" i="65" s="1"/>
  <c r="AC336" i="65"/>
  <c r="BV362" i="65" s="1"/>
  <c r="AG256" i="65"/>
  <c r="CU282" i="65" s="1"/>
  <c r="BN37" i="65"/>
  <c r="BS39" i="65"/>
  <c r="AF170" i="65"/>
  <c r="CN196" i="65" s="1"/>
  <c r="AB251" i="65"/>
  <c r="BP277" i="65" s="1"/>
  <c r="AH331" i="65"/>
  <c r="DC357" i="65" s="1"/>
  <c r="AD330" i="65"/>
  <c r="CE356" i="65" s="1"/>
  <c r="AD170" i="65"/>
  <c r="CF196" i="65" s="1"/>
  <c r="AC172" i="65"/>
  <c r="BW198" i="65" s="1"/>
  <c r="AH251" i="65"/>
  <c r="DB277" i="65" s="1"/>
  <c r="Z331" i="65"/>
  <c r="BE357" i="65" s="1"/>
  <c r="Z330" i="65"/>
  <c r="BF356" i="65" s="1"/>
  <c r="Z256" i="65"/>
  <c r="BF282" i="65" s="1"/>
  <c r="AH170" i="65"/>
  <c r="DC196" i="65" s="1"/>
  <c r="AE172" i="65"/>
  <c r="AE251" i="65"/>
  <c r="CJ277" i="65" s="1"/>
  <c r="AB331" i="65"/>
  <c r="BU357" i="65" s="1"/>
  <c r="AE330" i="65"/>
  <c r="CK356" i="65" s="1"/>
  <c r="Z170" i="65"/>
  <c r="BE196" i="65" s="1"/>
  <c r="AH172" i="65"/>
  <c r="DA198" i="65" s="1"/>
  <c r="AF251" i="65"/>
  <c r="CO277" i="65" s="1"/>
  <c r="AD331" i="65"/>
  <c r="CE357" i="65" s="1"/>
  <c r="AH330" i="65"/>
  <c r="DC356" i="65" s="1"/>
  <c r="AG176" i="65"/>
  <c r="CV202" i="65" s="1"/>
  <c r="AA171" i="65"/>
  <c r="BJ197" i="65" s="1"/>
  <c r="AE170" i="65"/>
  <c r="CM196" i="65" s="1"/>
  <c r="Z172" i="65"/>
  <c r="BH198" i="65" s="1"/>
  <c r="AG251" i="65"/>
  <c r="CU277" i="65" s="1"/>
  <c r="AE331" i="65"/>
  <c r="CL357" i="65" s="1"/>
  <c r="AC330" i="65"/>
  <c r="AC370" i="65" s="1"/>
  <c r="AD176" i="65"/>
  <c r="CE202" i="65" s="1"/>
  <c r="Z171" i="65"/>
  <c r="BG197" i="65" s="1"/>
  <c r="AC170" i="65"/>
  <c r="BV196" i="65" s="1"/>
  <c r="AG172" i="65"/>
  <c r="CY198" i="65" s="1"/>
  <c r="AA251" i="65"/>
  <c r="BM277" i="65" s="1"/>
  <c r="AA331" i="65"/>
  <c r="BL357" i="65" s="1"/>
  <c r="AB330" i="65"/>
  <c r="F343" i="65" s="1"/>
  <c r="AH256" i="65"/>
  <c r="CZ282" i="65" s="1"/>
  <c r="AC176" i="65"/>
  <c r="BV202" i="65" s="1"/>
  <c r="AE171" i="65"/>
  <c r="CJ197" i="65" s="1"/>
  <c r="AB172" i="65"/>
  <c r="BQ198" i="65" s="1"/>
  <c r="Z251" i="65"/>
  <c r="BF277" i="65" s="1"/>
  <c r="AG330" i="65"/>
  <c r="CT356" i="65" s="1"/>
  <c r="AD336" i="65"/>
  <c r="CF362" i="65" s="1"/>
  <c r="AB256" i="65"/>
  <c r="F269" i="65" s="1"/>
  <c r="AA176" i="65"/>
  <c r="BK202" i="65" s="1"/>
  <c r="AC171" i="65"/>
  <c r="BY197" i="65" s="1"/>
  <c r="AA172" i="65"/>
  <c r="BK198" i="65" s="1"/>
  <c r="AD251" i="65"/>
  <c r="CB277" i="65" s="1"/>
  <c r="AE336" i="65"/>
  <c r="I336" i="65" s="1"/>
  <c r="AF330" i="65"/>
  <c r="CR356" i="65" s="1"/>
  <c r="AD256" i="65"/>
  <c r="CB282" i="65" s="1"/>
  <c r="AB176" i="65"/>
  <c r="BP202" i="65" s="1"/>
  <c r="AD171" i="65"/>
  <c r="CE197" i="65" s="1"/>
  <c r="AD172" i="65"/>
  <c r="CD198" i="65" s="1"/>
  <c r="AF336" i="65"/>
  <c r="CO362" i="65" s="1"/>
  <c r="AA330" i="65"/>
  <c r="BK356" i="65" s="1"/>
  <c r="AF171" i="65"/>
  <c r="CN197" i="65" s="1"/>
  <c r="AC256" i="65"/>
  <c r="G269" i="65" s="1"/>
  <c r="AF176" i="65"/>
  <c r="CO202" i="65" s="1"/>
  <c r="AB171" i="65"/>
  <c r="BT197" i="65" s="1"/>
  <c r="AF172" i="65"/>
  <c r="CP198" i="65" s="1"/>
  <c r="AG336" i="65"/>
  <c r="CV362" i="65" s="1"/>
  <c r="BU39" i="65"/>
  <c r="Z91" i="65"/>
  <c r="D104" i="65" s="1"/>
  <c r="BM38" i="65"/>
  <c r="AC92" i="65"/>
  <c r="CA118" i="65" s="1"/>
  <c r="AD92" i="65"/>
  <c r="CF118" i="65" s="1"/>
  <c r="AG170" i="65"/>
  <c r="AG210" i="65" s="1"/>
  <c r="AA170" i="65"/>
  <c r="BL196" i="65" s="1"/>
  <c r="AH91" i="65"/>
  <c r="DB117" i="65" s="1"/>
  <c r="CS119" i="65"/>
  <c r="AC91" i="65"/>
  <c r="BZ117" i="65" s="1"/>
  <c r="AD91" i="65"/>
  <c r="CC117" i="65" s="1"/>
  <c r="AC95" i="65"/>
  <c r="BZ121" i="65" s="1"/>
  <c r="CY121" i="65"/>
  <c r="AH95" i="65"/>
  <c r="DC121" i="65" s="1"/>
  <c r="AD95" i="65"/>
  <c r="CC121" i="65" s="1"/>
  <c r="AH92" i="65"/>
  <c r="DB118" i="65" s="1"/>
  <c r="BI120" i="65"/>
  <c r="CQ118" i="65"/>
  <c r="CR118" i="65"/>
  <c r="CR119" i="65"/>
  <c r="Z92" i="65"/>
  <c r="Z132" i="65" s="1"/>
  <c r="AC251" i="65"/>
  <c r="BX277" i="65" s="1"/>
  <c r="AF331" i="65"/>
  <c r="CN357" i="65" s="1"/>
  <c r="AA336" i="65"/>
  <c r="BK362" i="65" s="1"/>
  <c r="Z95" i="65"/>
  <c r="D95" i="65" s="1"/>
  <c r="AC331" i="65"/>
  <c r="BX357" i="65" s="1"/>
  <c r="Z336" i="65"/>
  <c r="BE362" i="65" s="1"/>
  <c r="CS118" i="65"/>
  <c r="DD120" i="65"/>
  <c r="AH93" i="65"/>
  <c r="DB119" i="65" s="1"/>
  <c r="CG120" i="65"/>
  <c r="DE116" i="65"/>
  <c r="CE120" i="65"/>
  <c r="CF122" i="65"/>
  <c r="BU117" i="65"/>
  <c r="CP119" i="65"/>
  <c r="AG331" i="65"/>
  <c r="CG122" i="65"/>
  <c r="CF120" i="65"/>
  <c r="CD122" i="65"/>
  <c r="I90" i="65"/>
  <c r="I103" i="65"/>
  <c r="AE130" i="65"/>
  <c r="CJ116" i="65"/>
  <c r="CM116" i="65"/>
  <c r="CI116" i="65"/>
  <c r="CL116" i="65"/>
  <c r="CK116" i="65"/>
  <c r="CH116" i="65"/>
  <c r="L347" i="65"/>
  <c r="L334" i="65"/>
  <c r="AH374" i="65"/>
  <c r="DB360" i="65"/>
  <c r="CZ360" i="65"/>
  <c r="DE360" i="65"/>
  <c r="DC360" i="65"/>
  <c r="DD360" i="65"/>
  <c r="DA360" i="65"/>
  <c r="L96" i="65"/>
  <c r="AH136" i="65"/>
  <c r="L109" i="65"/>
  <c r="U49" i="46"/>
  <c r="U57" i="46" s="1"/>
  <c r="U23" i="52" s="1"/>
  <c r="U28" i="52" s="1"/>
  <c r="U109" i="46"/>
  <c r="U117" i="46" s="1"/>
  <c r="U7" i="52"/>
  <c r="U64" i="46"/>
  <c r="U72" i="46" s="1"/>
  <c r="U34" i="46"/>
  <c r="U42" i="46" s="1"/>
  <c r="U22" i="52" s="1"/>
  <c r="U27" i="52" s="1"/>
  <c r="U94" i="46"/>
  <c r="U102" i="46" s="1"/>
  <c r="U79" i="46"/>
  <c r="U87" i="46" s="1"/>
  <c r="U27" i="46"/>
  <c r="U21" i="52" s="1"/>
  <c r="U26" i="52" s="1"/>
  <c r="DD122" i="65"/>
  <c r="BG122" i="65"/>
  <c r="BW119" i="65"/>
  <c r="CU121" i="65"/>
  <c r="CZ197" i="65"/>
  <c r="BE122" i="65"/>
  <c r="AA255" i="65"/>
  <c r="AC173" i="65"/>
  <c r="Z252" i="65"/>
  <c r="AG335" i="65"/>
  <c r="AD254" i="65"/>
  <c r="AE253" i="65"/>
  <c r="R12" i="52"/>
  <c r="R45" i="46"/>
  <c r="U103" i="33"/>
  <c r="U97" i="33" s="1"/>
  <c r="V105" i="33"/>
  <c r="V108" i="33" s="1"/>
  <c r="V107" i="33"/>
  <c r="AE96" i="65"/>
  <c r="AF95" i="65"/>
  <c r="D106" i="65"/>
  <c r="Z133" i="65"/>
  <c r="D93" i="65"/>
  <c r="X45" i="33"/>
  <c r="X48" i="33" s="1"/>
  <c r="W43" i="33"/>
  <c r="W37" i="33" s="1"/>
  <c r="X47" i="33"/>
  <c r="CA122" i="65"/>
  <c r="BH122" i="65"/>
  <c r="L23" i="65"/>
  <c r="AH50" i="65"/>
  <c r="L10" i="65"/>
  <c r="BD120" i="65"/>
  <c r="AG255" i="65"/>
  <c r="Z173" i="65"/>
  <c r="W96" i="38"/>
  <c r="W99" i="38"/>
  <c r="AE252" i="65"/>
  <c r="AF335" i="65"/>
  <c r="AE254" i="65"/>
  <c r="AF253" i="65"/>
  <c r="AB175" i="65"/>
  <c r="AE92" i="65"/>
  <c r="D224" i="63"/>
  <c r="AF90" i="65"/>
  <c r="Y48" i="38"/>
  <c r="Y51" i="38"/>
  <c r="Q116" i="46"/>
  <c r="Q120" i="46" s="1"/>
  <c r="P114" i="46"/>
  <c r="P111" i="46" s="1"/>
  <c r="Q119" i="46"/>
  <c r="T86" i="59"/>
  <c r="T90" i="59" s="1"/>
  <c r="T89" i="59"/>
  <c r="S84" i="59"/>
  <c r="S81" i="59" s="1"/>
  <c r="Q86" i="46"/>
  <c r="Q90" i="46" s="1"/>
  <c r="P84" i="46"/>
  <c r="P81" i="46" s="1"/>
  <c r="Q89" i="46"/>
  <c r="AF376" i="65"/>
  <c r="BZ119" i="65"/>
  <c r="BG116" i="65"/>
  <c r="E24" i="65"/>
  <c r="AA51" i="65"/>
  <c r="E11" i="65"/>
  <c r="CD119" i="65"/>
  <c r="DA117" i="65"/>
  <c r="AC255" i="65"/>
  <c r="AF173" i="65"/>
  <c r="V95" i="38"/>
  <c r="U93" i="38"/>
  <c r="U87" i="38" s="1"/>
  <c r="V98" i="38"/>
  <c r="AD252" i="65"/>
  <c r="AA335" i="65"/>
  <c r="AC254" i="65"/>
  <c r="AC174" i="65"/>
  <c r="AA175" i="65"/>
  <c r="T26" i="59"/>
  <c r="T30" i="59" s="1"/>
  <c r="S24" i="59"/>
  <c r="S21" i="59" s="1"/>
  <c r="T29" i="59"/>
  <c r="AE91" i="65"/>
  <c r="T88" i="33"/>
  <c r="T82" i="33" s="1"/>
  <c r="U90" i="33"/>
  <c r="U93" i="33" s="1"/>
  <c r="U92" i="33"/>
  <c r="D83" i="63"/>
  <c r="C56" i="64"/>
  <c r="AF94" i="65"/>
  <c r="X47" i="38"/>
  <c r="W45" i="38"/>
  <c r="W39" i="38" s="1"/>
  <c r="X50" i="38"/>
  <c r="G185" i="65"/>
  <c r="K95" i="65"/>
  <c r="K108" i="65"/>
  <c r="AG135" i="65"/>
  <c r="BY198" i="65"/>
  <c r="DC120" i="65"/>
  <c r="BX198" i="65"/>
  <c r="BD116" i="65"/>
  <c r="AE255" i="65"/>
  <c r="AH173" i="65"/>
  <c r="AH252" i="65"/>
  <c r="AB254" i="65"/>
  <c r="AF174" i="65"/>
  <c r="AE175" i="65"/>
  <c r="AE93" i="65"/>
  <c r="AG16" i="65"/>
  <c r="G413" i="65"/>
  <c r="G414" i="65" s="1"/>
  <c r="AD16" i="65"/>
  <c r="AE16" i="65"/>
  <c r="AB16" i="65"/>
  <c r="AH14" i="65"/>
  <c r="AD14" i="65"/>
  <c r="AH16" i="65"/>
  <c r="AA16" i="65"/>
  <c r="AC16" i="65"/>
  <c r="Z16" i="65"/>
  <c r="AF16" i="65"/>
  <c r="AE14" i="65"/>
  <c r="AG14" i="65"/>
  <c r="AC14" i="65"/>
  <c r="AB14" i="65"/>
  <c r="AA15" i="65"/>
  <c r="AA14" i="65"/>
  <c r="AF15" i="65"/>
  <c r="AB11" i="65"/>
  <c r="AD11" i="65"/>
  <c r="AC11" i="65"/>
  <c r="AE13" i="65"/>
  <c r="AA10" i="65"/>
  <c r="AA13" i="65"/>
  <c r="AD13" i="65"/>
  <c r="AG10" i="65"/>
  <c r="AC13" i="65"/>
  <c r="AB12" i="65"/>
  <c r="AE10" i="65"/>
  <c r="Z11" i="65"/>
  <c r="AF14" i="65"/>
  <c r="AG12" i="65"/>
  <c r="AG11" i="65"/>
  <c r="AD10" i="65"/>
  <c r="AH12" i="65"/>
  <c r="AH11" i="65"/>
  <c r="Z12" i="65"/>
  <c r="Z15" i="65"/>
  <c r="AG13" i="65"/>
  <c r="AF11" i="65"/>
  <c r="AE15" i="65"/>
  <c r="AB10" i="65"/>
  <c r="AF10" i="65"/>
  <c r="AB15" i="65"/>
  <c r="AC12" i="65"/>
  <c r="G406" i="65"/>
  <c r="AF13" i="65"/>
  <c r="AE11" i="65"/>
  <c r="AC15" i="65"/>
  <c r="AC10" i="65"/>
  <c r="Z10" i="65"/>
  <c r="AE12" i="65"/>
  <c r="AD12" i="65"/>
  <c r="AG15" i="65"/>
  <c r="AH13" i="65"/>
  <c r="AD15" i="65"/>
  <c r="AF12" i="65"/>
  <c r="Z13" i="65"/>
  <c r="AF91" i="65"/>
  <c r="G96" i="65"/>
  <c r="G109" i="65"/>
  <c r="AC136" i="65"/>
  <c r="K189" i="65"/>
  <c r="E171" i="65"/>
  <c r="AA211" i="65"/>
  <c r="E184" i="65"/>
  <c r="AH210" i="65"/>
  <c r="L170" i="65"/>
  <c r="L183" i="65"/>
  <c r="I185" i="65"/>
  <c r="I172" i="65"/>
  <c r="AE212" i="65"/>
  <c r="AA370" i="65"/>
  <c r="E343" i="65"/>
  <c r="CG116" i="65"/>
  <c r="DE122" i="65"/>
  <c r="BZ362" i="65"/>
  <c r="DD116" i="65"/>
  <c r="CE121" i="65"/>
  <c r="DB197" i="65"/>
  <c r="CO118" i="65"/>
  <c r="CB119" i="65"/>
  <c r="AF255" i="65"/>
  <c r="AA173" i="65"/>
  <c r="V79" i="38"/>
  <c r="U77" i="38"/>
  <c r="U71" i="38" s="1"/>
  <c r="V82" i="38"/>
  <c r="AC252" i="65"/>
  <c r="AH254" i="65"/>
  <c r="AA174" i="65"/>
  <c r="Z175" i="65"/>
  <c r="T71" i="59"/>
  <c r="T75" i="59" s="1"/>
  <c r="S69" i="59"/>
  <c r="S66" i="59" s="1"/>
  <c r="T74" i="59"/>
  <c r="AE94" i="65"/>
  <c r="D148" i="63"/>
  <c r="C128" i="63"/>
  <c r="D87" i="63"/>
  <c r="C148" i="63"/>
  <c r="C142" i="63"/>
  <c r="G94" i="65"/>
  <c r="AC134" i="65"/>
  <c r="G107" i="65"/>
  <c r="Q71" i="46"/>
  <c r="Q75" i="46" s="1"/>
  <c r="P69" i="46"/>
  <c r="P66" i="46" s="1"/>
  <c r="Q74" i="46"/>
  <c r="W29" i="38"/>
  <c r="W23" i="38" s="1"/>
  <c r="X31" i="38"/>
  <c r="X34" i="38"/>
  <c r="AE296" i="65"/>
  <c r="I256" i="65"/>
  <c r="I269" i="65"/>
  <c r="H189" i="65"/>
  <c r="AD216" i="65"/>
  <c r="H176" i="65"/>
  <c r="D184" i="65"/>
  <c r="Q129" i="46"/>
  <c r="Q132" i="46" s="1"/>
  <c r="P127" i="46"/>
  <c r="P124" i="46" s="1"/>
  <c r="Q131" i="46"/>
  <c r="T61" i="38"/>
  <c r="T55" i="38" s="1"/>
  <c r="U63" i="38"/>
  <c r="U66" i="38"/>
  <c r="CF119" i="65"/>
  <c r="DD202" i="65"/>
  <c r="BL282" i="65"/>
  <c r="BL197" i="65"/>
  <c r="DB116" i="65"/>
  <c r="BF119" i="65"/>
  <c r="BE119" i="65"/>
  <c r="BQ39" i="65"/>
  <c r="BJ37" i="65"/>
  <c r="CB121" i="65"/>
  <c r="CC122" i="65"/>
  <c r="AB255" i="65"/>
  <c r="AE173" i="65"/>
  <c r="W80" i="38"/>
  <c r="W83" i="38"/>
  <c r="AB252" i="65"/>
  <c r="P10" i="46"/>
  <c r="P7" i="46" s="1"/>
  <c r="Q12" i="46"/>
  <c r="Q15" i="46" s="1"/>
  <c r="Q14" i="46"/>
  <c r="AE174" i="65"/>
  <c r="AC175" i="65"/>
  <c r="C95" i="61"/>
  <c r="C99" i="61" s="1"/>
  <c r="D191" i="61"/>
  <c r="C100" i="61" s="1"/>
  <c r="AE334" i="65"/>
  <c r="T129" i="59"/>
  <c r="T132" i="59" s="1"/>
  <c r="S127" i="59"/>
  <c r="S124" i="59" s="1"/>
  <c r="T131" i="59"/>
  <c r="Y32" i="38"/>
  <c r="Y35" i="38"/>
  <c r="AA296" i="65"/>
  <c r="E269" i="65"/>
  <c r="E256" i="65"/>
  <c r="I184" i="65"/>
  <c r="I170" i="65"/>
  <c r="I183" i="65"/>
  <c r="V64" i="38"/>
  <c r="V67" i="38"/>
  <c r="CW121" i="65"/>
  <c r="CQ362" i="65"/>
  <c r="BX122" i="65"/>
  <c r="CV357" i="65"/>
  <c r="CJ282" i="65"/>
  <c r="BF122" i="65"/>
  <c r="DB36" i="65"/>
  <c r="BW120" i="65"/>
  <c r="CO198" i="65"/>
  <c r="BJ356" i="65"/>
  <c r="CZ36" i="65"/>
  <c r="Z255" i="65"/>
  <c r="AB173" i="65"/>
  <c r="AF250" i="65"/>
  <c r="AG252" i="65"/>
  <c r="AG96" i="65"/>
  <c r="AH174" i="65"/>
  <c r="AF175" i="65"/>
  <c r="AA332" i="65"/>
  <c r="AC334" i="65"/>
  <c r="AA96" i="65"/>
  <c r="G90" i="65"/>
  <c r="AC130" i="65"/>
  <c r="G103" i="65"/>
  <c r="AD130" i="65"/>
  <c r="H103" i="65"/>
  <c r="H90" i="65"/>
  <c r="K256" i="65"/>
  <c r="AG296" i="65"/>
  <c r="K269" i="65"/>
  <c r="E189" i="65"/>
  <c r="AA216" i="65"/>
  <c r="E176" i="65"/>
  <c r="AC211" i="65"/>
  <c r="G184" i="65"/>
  <c r="G171" i="65"/>
  <c r="AC376" i="65"/>
  <c r="G336" i="65"/>
  <c r="G349" i="65"/>
  <c r="CA116" i="65"/>
  <c r="BO356" i="65"/>
  <c r="F104" i="65"/>
  <c r="AB131" i="65"/>
  <c r="F91" i="65"/>
  <c r="DC116" i="65"/>
  <c r="BM202" i="65"/>
  <c r="BX120" i="65"/>
  <c r="DB120" i="65"/>
  <c r="DA116" i="65"/>
  <c r="BE197" i="65"/>
  <c r="CZ122" i="65"/>
  <c r="BW117" i="65"/>
  <c r="CH198" i="65"/>
  <c r="AD255" i="65"/>
  <c r="AG173" i="65"/>
  <c r="Z250" i="65"/>
  <c r="AA252" i="65"/>
  <c r="AG90" i="65"/>
  <c r="AD174" i="65"/>
  <c r="AH175" i="65"/>
  <c r="AF332" i="65"/>
  <c r="C65" i="61"/>
  <c r="D64" i="61" s="1"/>
  <c r="AA90" i="65"/>
  <c r="F185" i="65"/>
  <c r="AB212" i="65"/>
  <c r="F172" i="65"/>
  <c r="CG121" i="65"/>
  <c r="CA356" i="65"/>
  <c r="DE196" i="65"/>
  <c r="BI116" i="65"/>
  <c r="CL197" i="65"/>
  <c r="CL356" i="65"/>
  <c r="BH116" i="65"/>
  <c r="CL198" i="65"/>
  <c r="AB170" i="65"/>
  <c r="AC333" i="65"/>
  <c r="AG333" i="65"/>
  <c r="AD333" i="65"/>
  <c r="G424" i="65"/>
  <c r="AA333" i="65"/>
  <c r="AF333" i="65"/>
  <c r="AB333" i="65"/>
  <c r="Z333" i="65"/>
  <c r="AE333" i="65"/>
  <c r="AH333" i="65"/>
  <c r="BM356" i="65"/>
  <c r="BS117" i="65"/>
  <c r="BR198" i="65"/>
  <c r="CV282" i="65"/>
  <c r="BX362" i="65"/>
  <c r="BL356" i="65"/>
  <c r="CV121" i="65"/>
  <c r="CB202" i="65"/>
  <c r="BP198" i="65"/>
  <c r="AH255" i="65"/>
  <c r="AD173" i="65"/>
  <c r="AG250" i="65"/>
  <c r="AG92" i="65"/>
  <c r="AG174" i="65"/>
  <c r="AD175" i="65"/>
  <c r="Z332" i="65"/>
  <c r="Z334" i="65"/>
  <c r="AA92" i="65"/>
  <c r="AC133" i="65"/>
  <c r="G106" i="65"/>
  <c r="G93" i="65"/>
  <c r="X30" i="33"/>
  <c r="X33" i="33" s="1"/>
  <c r="W28" i="33"/>
  <c r="W22" i="33" s="1"/>
  <c r="X32" i="33"/>
  <c r="H93" i="65"/>
  <c r="AD133" i="65"/>
  <c r="H106" i="65"/>
  <c r="S19" i="59"/>
  <c r="S19" i="46"/>
  <c r="T13" i="33"/>
  <c r="T7" i="33" s="1"/>
  <c r="U15" i="33"/>
  <c r="U18" i="33" s="1"/>
  <c r="U17" i="33"/>
  <c r="T116" i="59"/>
  <c r="T120" i="59" s="1"/>
  <c r="S114" i="59"/>
  <c r="S111" i="59" s="1"/>
  <c r="T119" i="59"/>
  <c r="AA212" i="65"/>
  <c r="E172" i="65"/>
  <c r="AE291" i="65"/>
  <c r="I251" i="65"/>
  <c r="I264" i="65"/>
  <c r="CX121" i="65"/>
  <c r="DD196" i="65"/>
  <c r="BN198" i="65"/>
  <c r="CX282" i="65"/>
  <c r="BG119" i="65"/>
  <c r="CQ198" i="65"/>
  <c r="BS198" i="65"/>
  <c r="DC36" i="65"/>
  <c r="H96" i="65"/>
  <c r="H109" i="65"/>
  <c r="AD136" i="65"/>
  <c r="BY362" i="65"/>
  <c r="BF120" i="65"/>
  <c r="BF116" i="65"/>
  <c r="DA121" i="65"/>
  <c r="CN118" i="65"/>
  <c r="CN198" i="65"/>
  <c r="CI202" i="65"/>
  <c r="BD122" i="65"/>
  <c r="BV197" i="65"/>
  <c r="G418" i="65"/>
  <c r="AC250" i="65"/>
  <c r="AG94" i="65"/>
  <c r="AG253" i="65"/>
  <c r="AB174" i="65"/>
  <c r="AG175" i="65"/>
  <c r="AB332" i="65"/>
  <c r="D53" i="64"/>
  <c r="D39" i="64"/>
  <c r="M53" i="64"/>
  <c r="L53" i="64"/>
  <c r="Q53" i="64"/>
  <c r="P53" i="64"/>
  <c r="N53" i="64"/>
  <c r="O53" i="64"/>
  <c r="C37" i="64"/>
  <c r="C193" i="63"/>
  <c r="C65" i="63"/>
  <c r="C104" i="63"/>
  <c r="AB334" i="65"/>
  <c r="AA93" i="65"/>
  <c r="P99" i="46"/>
  <c r="P96" i="46" s="1"/>
  <c r="Q101" i="46"/>
  <c r="Q105" i="46" s="1"/>
  <c r="Q104" i="46"/>
  <c r="AC131" i="65"/>
  <c r="G91" i="65"/>
  <c r="G104" i="65"/>
  <c r="AD135" i="65"/>
  <c r="H95" i="65"/>
  <c r="H108" i="65"/>
  <c r="H185" i="65"/>
  <c r="K331" i="65"/>
  <c r="AG371" i="65"/>
  <c r="K344" i="65"/>
  <c r="C87" i="63"/>
  <c r="CX362" i="65"/>
  <c r="CF121" i="65"/>
  <c r="BZ122" i="65"/>
  <c r="BN202" i="65"/>
  <c r="CF356" i="65"/>
  <c r="BM198" i="65"/>
  <c r="BF117" i="65"/>
  <c r="BL37" i="65"/>
  <c r="BV122" i="65"/>
  <c r="DA122" i="65"/>
  <c r="BW362" i="65"/>
  <c r="CH277" i="65"/>
  <c r="DA120" i="65"/>
  <c r="BV277" i="65"/>
  <c r="AB90" i="65"/>
  <c r="AE250" i="65"/>
  <c r="Z335" i="65"/>
  <c r="AG93" i="65"/>
  <c r="AH253" i="65"/>
  <c r="Z174" i="65"/>
  <c r="V29" i="52"/>
  <c r="V35" i="52" s="1"/>
  <c r="V32" i="52"/>
  <c r="AG332" i="65"/>
  <c r="AF334" i="65"/>
  <c r="AA95" i="65"/>
  <c r="D178" i="61"/>
  <c r="C140" i="61"/>
  <c r="C141" i="61" s="1"/>
  <c r="C143" i="61" s="1"/>
  <c r="C145" i="61" s="1"/>
  <c r="C161" i="61"/>
  <c r="D149" i="64"/>
  <c r="C130" i="61"/>
  <c r="C78" i="61"/>
  <c r="D155" i="61"/>
  <c r="C136" i="61"/>
  <c r="T94" i="46"/>
  <c r="T102" i="46" s="1"/>
  <c r="T7" i="52"/>
  <c r="T64" i="46"/>
  <c r="T72" i="46" s="1"/>
  <c r="T49" i="46"/>
  <c r="T57" i="46" s="1"/>
  <c r="T23" i="52" s="1"/>
  <c r="T28" i="52" s="1"/>
  <c r="T109" i="46"/>
  <c r="T117" i="46" s="1"/>
  <c r="T34" i="46"/>
  <c r="T42" i="46" s="1"/>
  <c r="T22" i="52" s="1"/>
  <c r="T27" i="52" s="1"/>
  <c r="T27" i="46"/>
  <c r="T21" i="52" s="1"/>
  <c r="T26" i="52" s="1"/>
  <c r="T79" i="46"/>
  <c r="T87" i="46" s="1"/>
  <c r="J185" i="65"/>
  <c r="J172" i="65"/>
  <c r="AF212" i="65"/>
  <c r="C83" i="63"/>
  <c r="BO202" i="65"/>
  <c r="CX198" i="65"/>
  <c r="CE119" i="65"/>
  <c r="J106" i="65"/>
  <c r="J93" i="65"/>
  <c r="AF133" i="65"/>
  <c r="CK282" i="65"/>
  <c r="DB122" i="65"/>
  <c r="DB41" i="65"/>
  <c r="CI198" i="65"/>
  <c r="BD117" i="65"/>
  <c r="BV116" i="65"/>
  <c r="BW197" i="65"/>
  <c r="R13" i="52"/>
  <c r="R60" i="46"/>
  <c r="AB92" i="65"/>
  <c r="AB250" i="65"/>
  <c r="AD335" i="65"/>
  <c r="AG91" i="65"/>
  <c r="AA253" i="65"/>
  <c r="AC332" i="65"/>
  <c r="R11" i="52"/>
  <c r="R30" i="46"/>
  <c r="N62" i="8"/>
  <c r="K63" i="8"/>
  <c r="K72" i="8"/>
  <c r="AG334" i="65"/>
  <c r="AA91" i="65"/>
  <c r="U13" i="38"/>
  <c r="U7" i="38" s="1"/>
  <c r="V15" i="38"/>
  <c r="V18" i="38"/>
  <c r="T101" i="59"/>
  <c r="T105" i="59" s="1"/>
  <c r="T104" i="59"/>
  <c r="S99" i="59"/>
  <c r="S96" i="59" s="1"/>
  <c r="M63" i="8"/>
  <c r="M72" i="8"/>
  <c r="M73" i="8" s="1"/>
  <c r="T64" i="59"/>
  <c r="T49" i="59"/>
  <c r="T94" i="59"/>
  <c r="T34" i="59"/>
  <c r="T79" i="59"/>
  <c r="T109" i="59"/>
  <c r="T117" i="59" s="1"/>
  <c r="E83" i="64"/>
  <c r="L108" i="65"/>
  <c r="L95" i="65"/>
  <c r="AH135" i="65"/>
  <c r="AB371" i="65"/>
  <c r="F344" i="65"/>
  <c r="F331" i="65"/>
  <c r="BI362" i="65"/>
  <c r="CA119" i="65"/>
  <c r="CA197" i="65"/>
  <c r="CM198" i="65"/>
  <c r="CR198" i="65"/>
  <c r="BZ120" i="65"/>
  <c r="CR362" i="65"/>
  <c r="CX357" i="65"/>
  <c r="BT117" i="65"/>
  <c r="BZ196" i="65"/>
  <c r="E12" i="65"/>
  <c r="E25" i="65"/>
  <c r="AD134" i="65"/>
  <c r="H94" i="65"/>
  <c r="H107" i="65"/>
  <c r="BG120" i="65"/>
  <c r="BY116" i="65"/>
  <c r="BS357" i="65"/>
  <c r="CP356" i="65"/>
  <c r="CD116" i="65"/>
  <c r="BX116" i="65"/>
  <c r="CJ198" i="65"/>
  <c r="BV117" i="65"/>
  <c r="CI277" i="65"/>
  <c r="BK197" i="65"/>
  <c r="DA277" i="65"/>
  <c r="BW116" i="65"/>
  <c r="CT357" i="65"/>
  <c r="CC119" i="65"/>
  <c r="P54" i="46"/>
  <c r="P51" i="46" s="1"/>
  <c r="Q56" i="46"/>
  <c r="Q59" i="46"/>
  <c r="AB96" i="65"/>
  <c r="AA250" i="65"/>
  <c r="AB335" i="65"/>
  <c r="AF254" i="65"/>
  <c r="AB253" i="65"/>
  <c r="AE332" i="65"/>
  <c r="P24" i="46"/>
  <c r="P21" i="46" s="1"/>
  <c r="Q26" i="46"/>
  <c r="Q29" i="46"/>
  <c r="AA334" i="65"/>
  <c r="AA94" i="65"/>
  <c r="U8" i="52"/>
  <c r="W16" i="38"/>
  <c r="W19" i="38"/>
  <c r="U60" i="33"/>
  <c r="U63" i="33" s="1"/>
  <c r="T58" i="33"/>
  <c r="T52" i="33" s="1"/>
  <c r="U62" i="33"/>
  <c r="D103" i="65"/>
  <c r="Z130" i="65"/>
  <c r="D90" i="65"/>
  <c r="U64" i="59"/>
  <c r="U72" i="59" s="1"/>
  <c r="U49" i="59"/>
  <c r="U57" i="59" s="1"/>
  <c r="U94" i="59"/>
  <c r="U102" i="59" s="1"/>
  <c r="U34" i="59"/>
  <c r="U42" i="59" s="1"/>
  <c r="U79" i="59"/>
  <c r="U87" i="59" s="1"/>
  <c r="U109" i="59"/>
  <c r="U117" i="59" s="1"/>
  <c r="U27" i="59"/>
  <c r="AH134" i="65"/>
  <c r="L94" i="65"/>
  <c r="L107" i="65"/>
  <c r="CS196" i="65"/>
  <c r="BI197" i="65"/>
  <c r="CA196" i="65"/>
  <c r="CS362" i="65"/>
  <c r="BI119" i="65"/>
  <c r="DE198" i="65"/>
  <c r="BN282" i="65"/>
  <c r="CF116" i="65"/>
  <c r="BM37" i="65"/>
  <c r="AF132" i="65"/>
  <c r="J105" i="65"/>
  <c r="J92" i="65"/>
  <c r="CE122" i="65"/>
  <c r="DC41" i="65"/>
  <c r="BX356" i="65"/>
  <c r="BL38" i="65"/>
  <c r="BR117" i="65"/>
  <c r="CD202" i="65"/>
  <c r="CC202" i="65"/>
  <c r="BD197" i="65"/>
  <c r="BV120" i="65"/>
  <c r="BV356" i="65"/>
  <c r="AB93" i="65"/>
  <c r="AD250" i="65"/>
  <c r="AC335" i="65"/>
  <c r="AA254" i="65"/>
  <c r="AD253" i="65"/>
  <c r="V33" i="52"/>
  <c r="AH332" i="65"/>
  <c r="S39" i="59"/>
  <c r="S36" i="59" s="1"/>
  <c r="T44" i="59"/>
  <c r="T41" i="59"/>
  <c r="T45" i="59" s="1"/>
  <c r="AD334" i="65"/>
  <c r="D107" i="65"/>
  <c r="Z134" i="65"/>
  <c r="D94" i="65"/>
  <c r="N106" i="11"/>
  <c r="K107" i="11"/>
  <c r="C6" i="56"/>
  <c r="U75" i="33"/>
  <c r="U78" i="33" s="1"/>
  <c r="T73" i="33"/>
  <c r="T67" i="33" s="1"/>
  <c r="U77" i="33"/>
  <c r="AD291" i="65"/>
  <c r="H264" i="65"/>
  <c r="H251" i="65"/>
  <c r="I330" i="65"/>
  <c r="CA120" i="65"/>
  <c r="CG277" i="65"/>
  <c r="DE120" i="65"/>
  <c r="CG202" i="65"/>
  <c r="CL362" i="65"/>
  <c r="BH119" i="65"/>
  <c r="CL277" i="65"/>
  <c r="CK198" i="65"/>
  <c r="CQ119" i="65"/>
  <c r="CE116" i="65"/>
  <c r="BR357" i="65"/>
  <c r="BX117" i="65"/>
  <c r="BD119" i="65"/>
  <c r="DA36" i="65"/>
  <c r="BK38" i="65"/>
  <c r="BW356" i="65"/>
  <c r="W112" i="38"/>
  <c r="W115" i="38"/>
  <c r="AB94" i="65"/>
  <c r="AH250" i="65"/>
  <c r="AE335" i="65"/>
  <c r="AG254" i="65"/>
  <c r="Z253" i="65"/>
  <c r="V34" i="52"/>
  <c r="AD332" i="65"/>
  <c r="D96" i="65"/>
  <c r="Z136" i="65"/>
  <c r="D109" i="65"/>
  <c r="T59" i="59"/>
  <c r="S54" i="59"/>
  <c r="S51" i="59" s="1"/>
  <c r="T56" i="59"/>
  <c r="T60" i="59" s="1"/>
  <c r="AH130" i="65"/>
  <c r="L103" i="65"/>
  <c r="L90" i="65"/>
  <c r="CS198" i="65"/>
  <c r="BU198" i="65"/>
  <c r="CY282" i="65"/>
  <c r="CM362" i="65"/>
  <c r="CL282" i="65"/>
  <c r="BZ116" i="65"/>
  <c r="BT357" i="65"/>
  <c r="BH197" i="65"/>
  <c r="DC122" i="65"/>
  <c r="BY122" i="65"/>
  <c r="CK196" i="65"/>
  <c r="CW282" i="65"/>
  <c r="CK277" i="65"/>
  <c r="F26" i="65"/>
  <c r="F13" i="65"/>
  <c r="AB53" i="65"/>
  <c r="BM282" i="65"/>
  <c r="CW357" i="65"/>
  <c r="BX119" i="65"/>
  <c r="CZ121" i="65"/>
  <c r="BV119" i="65"/>
  <c r="BE120" i="65"/>
  <c r="CC116" i="65"/>
  <c r="CT362" i="65"/>
  <c r="CN119" i="65"/>
  <c r="CT282" i="65"/>
  <c r="BQ117" i="65"/>
  <c r="BJ202" i="65"/>
  <c r="CH282" i="65"/>
  <c r="V111" i="38"/>
  <c r="U109" i="38"/>
  <c r="U103" i="38" s="1"/>
  <c r="V114" i="38"/>
  <c r="AB95" i="65"/>
  <c r="AF252" i="65"/>
  <c r="AH335" i="65"/>
  <c r="Z254" i="65"/>
  <c r="AC253" i="65"/>
  <c r="P39" i="46"/>
  <c r="P36" i="46" s="1"/>
  <c r="Q41" i="46"/>
  <c r="Q44" i="46"/>
  <c r="AE95" i="65"/>
  <c r="AF96" i="65"/>
  <c r="T12" i="59"/>
  <c r="T15" i="59" s="1"/>
  <c r="S10" i="59"/>
  <c r="S7" i="59" s="1"/>
  <c r="T14" i="59"/>
  <c r="BZ356" i="65" l="1"/>
  <c r="CJ362" i="65"/>
  <c r="DE121" i="65"/>
  <c r="BP357" i="65"/>
  <c r="CV198" i="65"/>
  <c r="BL198" i="65"/>
  <c r="E330" i="65"/>
  <c r="D11" i="60"/>
  <c r="C12" i="60"/>
  <c r="D12" i="60" s="1"/>
  <c r="K349" i="65"/>
  <c r="AG376" i="65"/>
  <c r="CZ196" i="65"/>
  <c r="BO38" i="65"/>
  <c r="CU198" i="65"/>
  <c r="I343" i="65"/>
  <c r="CI362" i="65"/>
  <c r="AE370" i="65"/>
  <c r="AG212" i="65"/>
  <c r="K225" i="65" s="1"/>
  <c r="CH356" i="65"/>
  <c r="AA52" i="65"/>
  <c r="BL202" i="65"/>
  <c r="CW198" i="65"/>
  <c r="CD121" i="65"/>
  <c r="DA196" i="65"/>
  <c r="CJ356" i="65"/>
  <c r="CK362" i="65"/>
  <c r="CI356" i="65"/>
  <c r="DB196" i="65"/>
  <c r="BO277" i="65"/>
  <c r="AC132" i="65"/>
  <c r="BF40" i="65"/>
  <c r="BG40" i="65"/>
  <c r="BY118" i="65"/>
  <c r="BG196" i="65"/>
  <c r="BH40" i="65"/>
  <c r="Z210" i="65"/>
  <c r="BJ198" i="65"/>
  <c r="E264" i="65"/>
  <c r="BN277" i="65"/>
  <c r="D170" i="65"/>
  <c r="BD40" i="65"/>
  <c r="E251" i="65"/>
  <c r="BI196" i="65"/>
  <c r="D183" i="65"/>
  <c r="AA291" i="65"/>
  <c r="CO356" i="65"/>
  <c r="BE40" i="65"/>
  <c r="D40" i="65" s="1"/>
  <c r="D80" i="65" s="1"/>
  <c r="BK277" i="65"/>
  <c r="CN356" i="65"/>
  <c r="BD196" i="65"/>
  <c r="BJ277" i="65"/>
  <c r="BW118" i="65"/>
  <c r="BV118" i="65"/>
  <c r="BL277" i="65"/>
  <c r="BX196" i="65"/>
  <c r="J264" i="65"/>
  <c r="CT196" i="65"/>
  <c r="CU362" i="65"/>
  <c r="BX197" i="65"/>
  <c r="BK282" i="65"/>
  <c r="CW362" i="65"/>
  <c r="CT198" i="65"/>
  <c r="CF202" i="65"/>
  <c r="G92" i="65"/>
  <c r="K336" i="65"/>
  <c r="BN197" i="65"/>
  <c r="BZ118" i="65"/>
  <c r="CE277" i="65"/>
  <c r="D14" i="65"/>
  <c r="K172" i="65"/>
  <c r="Z211" i="65"/>
  <c r="D224" i="65" s="1"/>
  <c r="BZ197" i="65"/>
  <c r="BO282" i="65"/>
  <c r="E185" i="65"/>
  <c r="DB121" i="65"/>
  <c r="BF196" i="65"/>
  <c r="K185" i="65"/>
  <c r="D171" i="65"/>
  <c r="CP196" i="65"/>
  <c r="AF370" i="65"/>
  <c r="J383" i="65" s="1"/>
  <c r="F176" i="65"/>
  <c r="BU356" i="65"/>
  <c r="CY196" i="65"/>
  <c r="AF291" i="65"/>
  <c r="F189" i="65"/>
  <c r="CS277" i="65"/>
  <c r="DA41" i="65"/>
  <c r="BE117" i="65"/>
  <c r="CC277" i="65"/>
  <c r="CR277" i="65"/>
  <c r="BQ202" i="65"/>
  <c r="BR202" i="65"/>
  <c r="CU196" i="65"/>
  <c r="CD277" i="65"/>
  <c r="CQ196" i="65"/>
  <c r="CO196" i="65"/>
  <c r="CP277" i="65"/>
  <c r="G183" i="65"/>
  <c r="CQ277" i="65"/>
  <c r="AC210" i="65"/>
  <c r="BG117" i="65"/>
  <c r="CZ41" i="65"/>
  <c r="BH117" i="65"/>
  <c r="AB216" i="65"/>
  <c r="BQ356" i="65"/>
  <c r="G170" i="65"/>
  <c r="AH55" i="65"/>
  <c r="L28" i="65"/>
  <c r="J251" i="65"/>
  <c r="BR356" i="65"/>
  <c r="DD41" i="65"/>
  <c r="BY196" i="65"/>
  <c r="CV196" i="65"/>
  <c r="BS202" i="65"/>
  <c r="CN277" i="65"/>
  <c r="BS356" i="65"/>
  <c r="CF277" i="65"/>
  <c r="BT356" i="65"/>
  <c r="BP356" i="65"/>
  <c r="BT202" i="65"/>
  <c r="BU202" i="65"/>
  <c r="CD118" i="65"/>
  <c r="CR196" i="65"/>
  <c r="BW196" i="65"/>
  <c r="G105" i="65"/>
  <c r="CH362" i="65"/>
  <c r="BI117" i="65"/>
  <c r="L15" i="65"/>
  <c r="Z54" i="65"/>
  <c r="J330" i="65"/>
  <c r="BF197" i="65"/>
  <c r="D197" i="65" s="1"/>
  <c r="D237" i="65" s="1"/>
  <c r="CQ356" i="65"/>
  <c r="DA357" i="65"/>
  <c r="J343" i="65"/>
  <c r="J183" i="65"/>
  <c r="J170" i="65"/>
  <c r="AF210" i="65"/>
  <c r="I349" i="65"/>
  <c r="D27" i="65"/>
  <c r="AE376" i="65"/>
  <c r="I376" i="65" s="1"/>
  <c r="BQ357" i="65"/>
  <c r="CM277" i="65"/>
  <c r="CA362" i="65"/>
  <c r="F330" i="65"/>
  <c r="AB370" i="65"/>
  <c r="BN38" i="65"/>
  <c r="CQ282" i="65"/>
  <c r="CR282" i="65"/>
  <c r="CC357" i="65"/>
  <c r="CP282" i="65"/>
  <c r="BN196" i="65"/>
  <c r="CO282" i="65"/>
  <c r="CN282" i="65"/>
  <c r="DD357" i="65"/>
  <c r="DE357" i="65"/>
  <c r="BM196" i="65"/>
  <c r="AF296" i="65"/>
  <c r="L331" i="65"/>
  <c r="J269" i="65"/>
  <c r="AH371" i="65"/>
  <c r="L384" i="65" s="1"/>
  <c r="CS282" i="65"/>
  <c r="DB357" i="65"/>
  <c r="L344" i="65"/>
  <c r="CZ357" i="65"/>
  <c r="CX196" i="65"/>
  <c r="BX118" i="65"/>
  <c r="K183" i="65"/>
  <c r="BH196" i="65"/>
  <c r="CS356" i="65"/>
  <c r="CM356" i="65"/>
  <c r="CW196" i="65"/>
  <c r="L269" i="65"/>
  <c r="H330" i="65"/>
  <c r="AH211" i="65"/>
  <c r="CB198" i="65"/>
  <c r="BO196" i="65"/>
  <c r="CZ356" i="65"/>
  <c r="L256" i="65"/>
  <c r="H343" i="65"/>
  <c r="L184" i="65"/>
  <c r="DC197" i="65"/>
  <c r="AH131" i="65"/>
  <c r="L171" i="65"/>
  <c r="AH296" i="65"/>
  <c r="H344" i="65"/>
  <c r="BX202" i="65"/>
  <c r="BY202" i="65"/>
  <c r="AD370" i="65"/>
  <c r="H370" i="65" s="1"/>
  <c r="AH216" i="65"/>
  <c r="CC198" i="65"/>
  <c r="CC356" i="65"/>
  <c r="L91" i="65"/>
  <c r="BK196" i="65"/>
  <c r="H331" i="65"/>
  <c r="L176" i="65"/>
  <c r="BJ196" i="65"/>
  <c r="DA197" i="65"/>
  <c r="L104" i="65"/>
  <c r="DE202" i="65"/>
  <c r="L343" i="65"/>
  <c r="AD371" i="65"/>
  <c r="L189" i="65"/>
  <c r="CG197" i="65"/>
  <c r="G176" i="65"/>
  <c r="AA210" i="65"/>
  <c r="AH370" i="65"/>
  <c r="AD211" i="65"/>
  <c r="AC216" i="65"/>
  <c r="G229" i="65" s="1"/>
  <c r="E183" i="65"/>
  <c r="CE198" i="65"/>
  <c r="L330" i="65"/>
  <c r="DA356" i="65"/>
  <c r="DD282" i="65"/>
  <c r="H184" i="65"/>
  <c r="G189" i="65"/>
  <c r="E170" i="65"/>
  <c r="DD356" i="65"/>
  <c r="CB197" i="65"/>
  <c r="CF197" i="65"/>
  <c r="CF198" i="65"/>
  <c r="H171" i="65"/>
  <c r="CB356" i="65"/>
  <c r="CZ117" i="65"/>
  <c r="DB356" i="65"/>
  <c r="DA202" i="65"/>
  <c r="DE282" i="65"/>
  <c r="CG198" i="65"/>
  <c r="DC282" i="65"/>
  <c r="DE356" i="65"/>
  <c r="CC197" i="65"/>
  <c r="CD197" i="65"/>
  <c r="DE117" i="65"/>
  <c r="CZ202" i="65"/>
  <c r="CG357" i="65"/>
  <c r="DE197" i="65"/>
  <c r="BW202" i="65"/>
  <c r="DC117" i="65"/>
  <c r="DB282" i="65"/>
  <c r="CD357" i="65"/>
  <c r="CA202" i="65"/>
  <c r="CG356" i="65"/>
  <c r="AD212" i="65"/>
  <c r="H225" i="65" s="1"/>
  <c r="DD117" i="65"/>
  <c r="K170" i="65"/>
  <c r="CB357" i="65"/>
  <c r="DC202" i="65"/>
  <c r="CD356" i="65"/>
  <c r="H172" i="65"/>
  <c r="BZ202" i="65"/>
  <c r="DA282" i="65"/>
  <c r="CF357" i="65"/>
  <c r="AB376" i="65"/>
  <c r="F376" i="65" s="1"/>
  <c r="CT277" i="65"/>
  <c r="F336" i="65"/>
  <c r="CD196" i="65"/>
  <c r="CN362" i="65"/>
  <c r="G108" i="65"/>
  <c r="DA362" i="65"/>
  <c r="BT362" i="65"/>
  <c r="BR362" i="65"/>
  <c r="CX277" i="65"/>
  <c r="BU277" i="65"/>
  <c r="K176" i="65"/>
  <c r="J336" i="65"/>
  <c r="BE356" i="65"/>
  <c r="CZ362" i="65"/>
  <c r="CI197" i="65"/>
  <c r="AG216" i="65"/>
  <c r="K229" i="65" s="1"/>
  <c r="H183" i="65"/>
  <c r="J349" i="65"/>
  <c r="BU362" i="65"/>
  <c r="CU202" i="65"/>
  <c r="CY202" i="65"/>
  <c r="CY277" i="65"/>
  <c r="CK197" i="65"/>
  <c r="CW202" i="65"/>
  <c r="AE211" i="65"/>
  <c r="I211" i="65" s="1"/>
  <c r="H170" i="65"/>
  <c r="DB362" i="65"/>
  <c r="DC362" i="65"/>
  <c r="I171" i="65"/>
  <c r="DD362" i="65"/>
  <c r="AD210" i="65"/>
  <c r="H210" i="65" s="1"/>
  <c r="CB196" i="65"/>
  <c r="CW277" i="65"/>
  <c r="D330" i="65"/>
  <c r="CE196" i="65"/>
  <c r="K251" i="65"/>
  <c r="D343" i="65"/>
  <c r="K264" i="65"/>
  <c r="BX282" i="65"/>
  <c r="AG291" i="65"/>
  <c r="L349" i="65"/>
  <c r="CP362" i="65"/>
  <c r="CX202" i="65"/>
  <c r="L336" i="65"/>
  <c r="CT202" i="65"/>
  <c r="CG196" i="65"/>
  <c r="BQ362" i="65"/>
  <c r="CH197" i="65"/>
  <c r="AH376" i="65"/>
  <c r="L389" i="65" s="1"/>
  <c r="CM197" i="65"/>
  <c r="Z370" i="65"/>
  <c r="BI356" i="65"/>
  <c r="CC196" i="65"/>
  <c r="CV277" i="65"/>
  <c r="F349" i="65"/>
  <c r="CS202" i="65"/>
  <c r="CE362" i="65"/>
  <c r="CB362" i="65"/>
  <c r="CR202" i="65"/>
  <c r="BH282" i="65"/>
  <c r="H349" i="65"/>
  <c r="BG121" i="65"/>
  <c r="BF121" i="65"/>
  <c r="H336" i="65"/>
  <c r="BS362" i="65"/>
  <c r="BD121" i="65"/>
  <c r="AE371" i="65"/>
  <c r="AD376" i="65"/>
  <c r="H376" i="65" s="1"/>
  <c r="CN202" i="65"/>
  <c r="BH121" i="65"/>
  <c r="CC362" i="65"/>
  <c r="BE121" i="65"/>
  <c r="BD356" i="65"/>
  <c r="AF216" i="65"/>
  <c r="CQ202" i="65"/>
  <c r="BI121" i="65"/>
  <c r="CD362" i="65"/>
  <c r="J176" i="65"/>
  <c r="CP202" i="65"/>
  <c r="J189" i="65"/>
  <c r="CG362" i="65"/>
  <c r="BW282" i="65"/>
  <c r="CJ196" i="65"/>
  <c r="AC135" i="65"/>
  <c r="G148" i="65" s="1"/>
  <c r="AC291" i="65"/>
  <c r="G304" i="65" s="1"/>
  <c r="D185" i="65"/>
  <c r="CZ277" i="65"/>
  <c r="BG357" i="65"/>
  <c r="CR357" i="65"/>
  <c r="G95" i="65"/>
  <c r="Z212" i="65"/>
  <c r="D212" i="65" s="1"/>
  <c r="BI198" i="65"/>
  <c r="CJ202" i="65"/>
  <c r="BZ282" i="65"/>
  <c r="H91" i="65"/>
  <c r="L251" i="65"/>
  <c r="AE210" i="65"/>
  <c r="I210" i="65" s="1"/>
  <c r="CW197" i="65"/>
  <c r="CD117" i="65"/>
  <c r="CE117" i="65"/>
  <c r="BF198" i="65"/>
  <c r="D331" i="65"/>
  <c r="AD131" i="65"/>
  <c r="H144" i="65" s="1"/>
  <c r="L264" i="65"/>
  <c r="CQ197" i="65"/>
  <c r="BE277" i="65"/>
  <c r="CS357" i="65"/>
  <c r="D264" i="65"/>
  <c r="CQ357" i="65"/>
  <c r="D344" i="65"/>
  <c r="H104" i="65"/>
  <c r="CH202" i="65"/>
  <c r="CX356" i="65"/>
  <c r="CW356" i="65"/>
  <c r="AH291" i="65"/>
  <c r="BY282" i="65"/>
  <c r="BW277" i="65"/>
  <c r="BY117" i="65"/>
  <c r="CA198" i="65"/>
  <c r="BH357" i="65"/>
  <c r="D251" i="65"/>
  <c r="Z371" i="65"/>
  <c r="CF117" i="65"/>
  <c r="DC277" i="65"/>
  <c r="Z291" i="65"/>
  <c r="D304" i="65" s="1"/>
  <c r="BY277" i="65"/>
  <c r="J184" i="65"/>
  <c r="CL196" i="65"/>
  <c r="BG277" i="65"/>
  <c r="AC212" i="65"/>
  <c r="BD277" i="65"/>
  <c r="BM197" i="65"/>
  <c r="BH277" i="65"/>
  <c r="AG211" i="65"/>
  <c r="K211" i="65" s="1"/>
  <c r="DD277" i="65"/>
  <c r="AF211" i="65"/>
  <c r="J211" i="65" s="1"/>
  <c r="BF357" i="65"/>
  <c r="G172" i="65"/>
  <c r="K184" i="65"/>
  <c r="BD357" i="65"/>
  <c r="J171" i="65"/>
  <c r="CV197" i="65"/>
  <c r="BO197" i="65"/>
  <c r="BT198" i="65"/>
  <c r="F198" i="65" s="1"/>
  <c r="F238" i="65" s="1"/>
  <c r="BY121" i="65"/>
  <c r="CB117" i="65"/>
  <c r="CO357" i="65"/>
  <c r="CA121" i="65"/>
  <c r="K171" i="65"/>
  <c r="CI196" i="65"/>
  <c r="CH196" i="65"/>
  <c r="J344" i="65"/>
  <c r="CM282" i="65"/>
  <c r="I282" i="65" s="1"/>
  <c r="I322" i="65" s="1"/>
  <c r="CU356" i="65"/>
  <c r="I189" i="65"/>
  <c r="CP357" i="65"/>
  <c r="J331" i="65"/>
  <c r="CL202" i="65"/>
  <c r="K330" i="65"/>
  <c r="BV198" i="65"/>
  <c r="I176" i="65"/>
  <c r="BV282" i="65"/>
  <c r="CM202" i="65"/>
  <c r="AF371" i="65"/>
  <c r="J384" i="65" s="1"/>
  <c r="CY197" i="65"/>
  <c r="BN356" i="65"/>
  <c r="E356" i="65" s="1"/>
  <c r="E396" i="65" s="1"/>
  <c r="CO197" i="65"/>
  <c r="AE216" i="65"/>
  <c r="BD198" i="65"/>
  <c r="CA277" i="65"/>
  <c r="G264" i="65"/>
  <c r="CV356" i="65"/>
  <c r="BZ198" i="65"/>
  <c r="BI357" i="65"/>
  <c r="CA282" i="65"/>
  <c r="BV121" i="65"/>
  <c r="CP197" i="65"/>
  <c r="DE277" i="65"/>
  <c r="G251" i="65"/>
  <c r="D172" i="65"/>
  <c r="CY356" i="65"/>
  <c r="BQ282" i="65"/>
  <c r="BU282" i="65"/>
  <c r="BG198" i="65"/>
  <c r="BG202" i="65"/>
  <c r="CJ357" i="65"/>
  <c r="BF202" i="65"/>
  <c r="BE282" i="65"/>
  <c r="K343" i="65"/>
  <c r="AG370" i="65"/>
  <c r="K370" i="65" s="1"/>
  <c r="AC296" i="65"/>
  <c r="G309" i="65" s="1"/>
  <c r="G256" i="65"/>
  <c r="CS197" i="65"/>
  <c r="BL362" i="65"/>
  <c r="D176" i="65"/>
  <c r="BZ277" i="65"/>
  <c r="BI202" i="65"/>
  <c r="D189" i="65"/>
  <c r="BO362" i="65"/>
  <c r="BQ197" i="65"/>
  <c r="BM362" i="65"/>
  <c r="Z216" i="65"/>
  <c r="E336" i="65"/>
  <c r="CU197" i="65"/>
  <c r="BJ362" i="65"/>
  <c r="E349" i="65"/>
  <c r="BP282" i="65"/>
  <c r="BT282" i="65"/>
  <c r="AA376" i="65"/>
  <c r="E389" i="65" s="1"/>
  <c r="BE198" i="65"/>
  <c r="CH357" i="65"/>
  <c r="BI282" i="65"/>
  <c r="CI357" i="65"/>
  <c r="BH202" i="65"/>
  <c r="D269" i="65"/>
  <c r="CT197" i="65"/>
  <c r="BR282" i="65"/>
  <c r="BD282" i="65"/>
  <c r="F184" i="65"/>
  <c r="D256" i="65"/>
  <c r="BS197" i="65"/>
  <c r="BS282" i="65"/>
  <c r="F171" i="65"/>
  <c r="Z296" i="65"/>
  <c r="D309" i="65" s="1"/>
  <c r="BE202" i="65"/>
  <c r="I331" i="65"/>
  <c r="AB211" i="65"/>
  <c r="F224" i="65" s="1"/>
  <c r="BR39" i="65"/>
  <c r="BT39" i="65"/>
  <c r="BG282" i="65"/>
  <c r="I344" i="65"/>
  <c r="BP197" i="65"/>
  <c r="BN362" i="65"/>
  <c r="BR197" i="65"/>
  <c r="BX121" i="65"/>
  <c r="CM357" i="65"/>
  <c r="BY356" i="65"/>
  <c r="G356" i="65" s="1"/>
  <c r="G396" i="65" s="1"/>
  <c r="CY362" i="65"/>
  <c r="K362" i="65" s="1"/>
  <c r="K402" i="65" s="1"/>
  <c r="BI277" i="65"/>
  <c r="G330" i="65"/>
  <c r="BH356" i="65"/>
  <c r="CK357" i="65"/>
  <c r="G343" i="65"/>
  <c r="AB296" i="65"/>
  <c r="F309" i="65" s="1"/>
  <c r="BU197" i="65"/>
  <c r="F256" i="65"/>
  <c r="BG356" i="65"/>
  <c r="CR197" i="65"/>
  <c r="CZ198" i="65"/>
  <c r="CE118" i="65"/>
  <c r="BJ357" i="65"/>
  <c r="DD198" i="65"/>
  <c r="BQ277" i="65"/>
  <c r="CG118" i="65"/>
  <c r="AD132" i="65"/>
  <c r="H145" i="65" s="1"/>
  <c r="DB198" i="65"/>
  <c r="H105" i="65"/>
  <c r="CC282" i="65"/>
  <c r="CE282" i="65"/>
  <c r="H92" i="65"/>
  <c r="CB118" i="65"/>
  <c r="BR277" i="65"/>
  <c r="BM357" i="65"/>
  <c r="CG282" i="65"/>
  <c r="BS277" i="65"/>
  <c r="BN357" i="65"/>
  <c r="H269" i="65"/>
  <c r="CC118" i="65"/>
  <c r="AD296" i="65"/>
  <c r="H296" i="65" s="1"/>
  <c r="DC198" i="65"/>
  <c r="F251" i="65"/>
  <c r="L185" i="65"/>
  <c r="H256" i="65"/>
  <c r="E344" i="65"/>
  <c r="BT277" i="65"/>
  <c r="AB291" i="65"/>
  <c r="F291" i="65" s="1"/>
  <c r="AH212" i="65"/>
  <c r="L212" i="65" s="1"/>
  <c r="Z131" i="65"/>
  <c r="D131" i="65" s="1"/>
  <c r="BO198" i="65"/>
  <c r="E198" i="65" s="1"/>
  <c r="E238" i="65" s="1"/>
  <c r="BK357" i="65"/>
  <c r="E331" i="65"/>
  <c r="CF282" i="65"/>
  <c r="F264" i="65"/>
  <c r="L172" i="65"/>
  <c r="D91" i="65"/>
  <c r="BO357" i="65"/>
  <c r="AA371" i="65"/>
  <c r="E371" i="65" s="1"/>
  <c r="CD282" i="65"/>
  <c r="L105" i="65"/>
  <c r="BW121" i="65"/>
  <c r="H120" i="65"/>
  <c r="H160" i="65" s="1"/>
  <c r="BF362" i="65"/>
  <c r="D336" i="65"/>
  <c r="BG362" i="65"/>
  <c r="Z376" i="65"/>
  <c r="D376" i="65" s="1"/>
  <c r="D349" i="65"/>
  <c r="BD362" i="65"/>
  <c r="E202" i="65"/>
  <c r="E242" i="65" s="1"/>
  <c r="D108" i="65"/>
  <c r="Z135" i="65"/>
  <c r="D135" i="65" s="1"/>
  <c r="DC118" i="65"/>
  <c r="BY357" i="65"/>
  <c r="DE118" i="65"/>
  <c r="CG117" i="65"/>
  <c r="G331" i="65"/>
  <c r="BW357" i="65"/>
  <c r="DD118" i="65"/>
  <c r="AC371" i="65"/>
  <c r="G371" i="65" s="1"/>
  <c r="L92" i="65"/>
  <c r="G344" i="65"/>
  <c r="AH132" i="65"/>
  <c r="L132" i="65" s="1"/>
  <c r="CA357" i="65"/>
  <c r="BV357" i="65"/>
  <c r="BZ357" i="65"/>
  <c r="CZ118" i="65"/>
  <c r="F117" i="65"/>
  <c r="F157" i="65" s="1"/>
  <c r="J119" i="65"/>
  <c r="J159" i="65" s="1"/>
  <c r="BH362" i="65"/>
  <c r="CA117" i="65"/>
  <c r="DA118" i="65"/>
  <c r="DD121" i="65"/>
  <c r="L121" i="65" s="1"/>
  <c r="L161" i="65" s="1"/>
  <c r="D122" i="65"/>
  <c r="D162" i="65" s="1"/>
  <c r="I116" i="65"/>
  <c r="I156" i="65" s="1"/>
  <c r="L106" i="65"/>
  <c r="DC119" i="65"/>
  <c r="L93" i="65"/>
  <c r="AH133" i="65"/>
  <c r="L146" i="65" s="1"/>
  <c r="DA119" i="65"/>
  <c r="CZ119" i="65"/>
  <c r="BD118" i="65"/>
  <c r="BG118" i="65"/>
  <c r="BE118" i="65"/>
  <c r="BI118" i="65"/>
  <c r="BF118" i="65"/>
  <c r="D92" i="65"/>
  <c r="H116" i="65"/>
  <c r="H156" i="65" s="1"/>
  <c r="DE119" i="65"/>
  <c r="D105" i="65"/>
  <c r="BH118" i="65"/>
  <c r="DD119" i="65"/>
  <c r="G362" i="65"/>
  <c r="G402" i="65" s="1"/>
  <c r="CU357" i="65"/>
  <c r="CY357" i="65"/>
  <c r="I277" i="65"/>
  <c r="I317" i="65" s="1"/>
  <c r="H122" i="65"/>
  <c r="H162" i="65" s="1"/>
  <c r="D120" i="65"/>
  <c r="D160" i="65" s="1"/>
  <c r="K121" i="65"/>
  <c r="K161" i="65" s="1"/>
  <c r="T27" i="59"/>
  <c r="T87" i="59"/>
  <c r="T72" i="59"/>
  <c r="H334" i="65"/>
  <c r="H347" i="65"/>
  <c r="AD374" i="65"/>
  <c r="CG360" i="65"/>
  <c r="CD360" i="65"/>
  <c r="CE360" i="65"/>
  <c r="CC360" i="65"/>
  <c r="CF360" i="65"/>
  <c r="CB360" i="65"/>
  <c r="T60" i="33"/>
  <c r="T63" i="33" s="1"/>
  <c r="S58" i="33"/>
  <c r="S52" i="33" s="1"/>
  <c r="T62" i="33"/>
  <c r="R99" i="59"/>
  <c r="R96" i="59" s="1"/>
  <c r="S104" i="59"/>
  <c r="S101" i="59"/>
  <c r="S105" i="59" s="1"/>
  <c r="AD375" i="65"/>
  <c r="H348" i="65"/>
  <c r="H335" i="65"/>
  <c r="CB361" i="65"/>
  <c r="CG361" i="65"/>
  <c r="CD361" i="65"/>
  <c r="CF361" i="65"/>
  <c r="CE361" i="65"/>
  <c r="CC361" i="65"/>
  <c r="C181" i="61"/>
  <c r="C81" i="61"/>
  <c r="C162" i="61" s="1"/>
  <c r="K93" i="65"/>
  <c r="AG133" i="65"/>
  <c r="K106" i="65"/>
  <c r="CV119" i="65"/>
  <c r="CT119" i="65"/>
  <c r="CX119" i="65"/>
  <c r="CW119" i="65"/>
  <c r="CY119" i="65"/>
  <c r="CU119" i="65"/>
  <c r="AB374" i="65"/>
  <c r="F347" i="65"/>
  <c r="F334" i="65"/>
  <c r="BU360" i="65"/>
  <c r="BR360" i="65"/>
  <c r="BQ360" i="65"/>
  <c r="BS360" i="65"/>
  <c r="BP360" i="65"/>
  <c r="BT360" i="65"/>
  <c r="S109" i="59"/>
  <c r="S34" i="59"/>
  <c r="S49" i="59"/>
  <c r="S94" i="59"/>
  <c r="S79" i="59"/>
  <c r="S64" i="59"/>
  <c r="K263" i="65"/>
  <c r="K250" i="65"/>
  <c r="AG290" i="65"/>
  <c r="CV276" i="65"/>
  <c r="CW276" i="65"/>
  <c r="CU276" i="65"/>
  <c r="CT276" i="65"/>
  <c r="CX276" i="65"/>
  <c r="CY276" i="65"/>
  <c r="G346" i="65"/>
  <c r="AC373" i="65"/>
  <c r="G333" i="65"/>
  <c r="BY359" i="65"/>
  <c r="BZ359" i="65"/>
  <c r="CA359" i="65"/>
  <c r="BW359" i="65"/>
  <c r="BV359" i="65"/>
  <c r="BX359" i="65"/>
  <c r="AH215" i="65"/>
  <c r="L188" i="65"/>
  <c r="L175" i="65"/>
  <c r="DC201" i="65"/>
  <c r="CZ201" i="65"/>
  <c r="DB201" i="65"/>
  <c r="DD201" i="65"/>
  <c r="DA201" i="65"/>
  <c r="DE201" i="65"/>
  <c r="H277" i="65"/>
  <c r="H317" i="65" s="1"/>
  <c r="O127" i="46"/>
  <c r="O124" i="46" s="1"/>
  <c r="P129" i="46"/>
  <c r="P132" i="46" s="1"/>
  <c r="P131" i="46"/>
  <c r="I309" i="65"/>
  <c r="I296" i="65"/>
  <c r="E173" i="65"/>
  <c r="AA213" i="65"/>
  <c r="E186" i="65"/>
  <c r="BJ199" i="65"/>
  <c r="BL199" i="65"/>
  <c r="BM199" i="65"/>
  <c r="BN199" i="65"/>
  <c r="BK199" i="65"/>
  <c r="BO199" i="65"/>
  <c r="L223" i="65"/>
  <c r="L210" i="65"/>
  <c r="H15" i="65"/>
  <c r="AD55" i="65"/>
  <c r="H28" i="65"/>
  <c r="CB41" i="65"/>
  <c r="CC41" i="65"/>
  <c r="CD41" i="65"/>
  <c r="CE41" i="65"/>
  <c r="CF41" i="65"/>
  <c r="CG41" i="65"/>
  <c r="J24" i="65"/>
  <c r="AF51" i="65"/>
  <c r="J11" i="65"/>
  <c r="CO37" i="65"/>
  <c r="CQ37" i="65"/>
  <c r="CN37" i="65"/>
  <c r="CS37" i="65"/>
  <c r="CP37" i="65"/>
  <c r="CR37" i="65"/>
  <c r="E26" i="65"/>
  <c r="E13" i="65"/>
  <c r="AA53" i="65"/>
  <c r="BK39" i="65"/>
  <c r="BM39" i="65"/>
  <c r="BO39" i="65"/>
  <c r="BJ39" i="65"/>
  <c r="BL39" i="65"/>
  <c r="BN39" i="65"/>
  <c r="AA56" i="65"/>
  <c r="E29" i="65"/>
  <c r="E16" i="65"/>
  <c r="BK42" i="65"/>
  <c r="BL42" i="65"/>
  <c r="BJ42" i="65"/>
  <c r="BO42" i="65"/>
  <c r="BM42" i="65"/>
  <c r="BN42" i="65"/>
  <c r="K376" i="65"/>
  <c r="K389" i="65"/>
  <c r="J107" i="65"/>
  <c r="AF134" i="65"/>
  <c r="J94" i="65"/>
  <c r="CS120" i="65"/>
  <c r="CR120" i="65"/>
  <c r="CO120" i="65"/>
  <c r="CN120" i="65"/>
  <c r="CP120" i="65"/>
  <c r="CQ120" i="65"/>
  <c r="AD292" i="65"/>
  <c r="H265" i="65"/>
  <c r="H252" i="65"/>
  <c r="CF278" i="65"/>
  <c r="CC278" i="65"/>
  <c r="CG278" i="65"/>
  <c r="CB278" i="65"/>
  <c r="CE278" i="65"/>
  <c r="CD278" i="65"/>
  <c r="K268" i="65"/>
  <c r="K255" i="65"/>
  <c r="AG295" i="65"/>
  <c r="CY281" i="65"/>
  <c r="CV281" i="65"/>
  <c r="CX281" i="65"/>
  <c r="CW281" i="65"/>
  <c r="CT281" i="65"/>
  <c r="CU281" i="65"/>
  <c r="J108" i="65"/>
  <c r="AF135" i="65"/>
  <c r="J95" i="65"/>
  <c r="CQ121" i="65"/>
  <c r="CN121" i="65"/>
  <c r="CS121" i="65"/>
  <c r="CO121" i="65"/>
  <c r="CR121" i="65"/>
  <c r="CP121" i="65"/>
  <c r="J96" i="65"/>
  <c r="AF136" i="65"/>
  <c r="J109" i="65"/>
  <c r="CN122" i="65"/>
  <c r="CP122" i="65"/>
  <c r="CS122" i="65"/>
  <c r="CR122" i="65"/>
  <c r="CQ122" i="65"/>
  <c r="CO122" i="65"/>
  <c r="D291" i="65"/>
  <c r="Q13" i="52"/>
  <c r="Q60" i="46"/>
  <c r="AB290" i="65"/>
  <c r="F263" i="65"/>
  <c r="F250" i="65"/>
  <c r="BU276" i="65"/>
  <c r="BP276" i="65"/>
  <c r="BQ276" i="65"/>
  <c r="BS276" i="65"/>
  <c r="BR276" i="65"/>
  <c r="BT276" i="65"/>
  <c r="L224" i="65"/>
  <c r="L211" i="65"/>
  <c r="D348" i="65"/>
  <c r="D335" i="65"/>
  <c r="Z375" i="65"/>
  <c r="BI361" i="65"/>
  <c r="BG361" i="65"/>
  <c r="BD361" i="65"/>
  <c r="BF361" i="65"/>
  <c r="BE361" i="65"/>
  <c r="BH361" i="65"/>
  <c r="D219" i="63"/>
  <c r="C111" i="63" s="1"/>
  <c r="C106" i="63"/>
  <c r="C110" i="63" s="1"/>
  <c r="H149" i="65"/>
  <c r="H136" i="65"/>
  <c r="AD213" i="65"/>
  <c r="H173" i="65"/>
  <c r="H186" i="65"/>
  <c r="CE199" i="65"/>
  <c r="CB199" i="65"/>
  <c r="CG199" i="65"/>
  <c r="CD199" i="65"/>
  <c r="CF199" i="65"/>
  <c r="CC199" i="65"/>
  <c r="AB210" i="65"/>
  <c r="F170" i="65"/>
  <c r="F183" i="65"/>
  <c r="BS196" i="65"/>
  <c r="BQ196" i="65"/>
  <c r="BR196" i="65"/>
  <c r="BP196" i="65"/>
  <c r="BT196" i="65"/>
  <c r="BU196" i="65"/>
  <c r="AD214" i="65"/>
  <c r="H187" i="65"/>
  <c r="H174" i="65"/>
  <c r="CB200" i="65"/>
  <c r="CF200" i="65"/>
  <c r="CD200" i="65"/>
  <c r="CE200" i="65"/>
  <c r="CG200" i="65"/>
  <c r="CC200" i="65"/>
  <c r="G130" i="65"/>
  <c r="G143" i="65"/>
  <c r="F357" i="65"/>
  <c r="F397" i="65" s="1"/>
  <c r="C108" i="64"/>
  <c r="AF295" i="65"/>
  <c r="J255" i="65"/>
  <c r="J268" i="65"/>
  <c r="CS281" i="65"/>
  <c r="CO281" i="65"/>
  <c r="CP281" i="65"/>
  <c r="CN281" i="65"/>
  <c r="CR281" i="65"/>
  <c r="CQ281" i="65"/>
  <c r="L26" i="65"/>
  <c r="AH53" i="65"/>
  <c r="L13" i="65"/>
  <c r="DD39" i="65"/>
  <c r="DE39" i="65"/>
  <c r="DA39" i="65"/>
  <c r="DC39" i="65"/>
  <c r="CZ39" i="65"/>
  <c r="DB39" i="65"/>
  <c r="AG53" i="65"/>
  <c r="K26" i="65"/>
  <c r="K13" i="65"/>
  <c r="CX39" i="65"/>
  <c r="CY39" i="65"/>
  <c r="CU39" i="65"/>
  <c r="CV39" i="65"/>
  <c r="CW39" i="65"/>
  <c r="CT39" i="65"/>
  <c r="AA50" i="65"/>
  <c r="E23" i="65"/>
  <c r="E10" i="65"/>
  <c r="BL36" i="65"/>
  <c r="BO36" i="65"/>
  <c r="BM36" i="65"/>
  <c r="BK36" i="65"/>
  <c r="BN36" i="65"/>
  <c r="BJ36" i="65"/>
  <c r="L29" i="65"/>
  <c r="AH56" i="65"/>
  <c r="L16" i="65"/>
  <c r="CZ42" i="65"/>
  <c r="DA42" i="65"/>
  <c r="DB42" i="65"/>
  <c r="DD42" i="65"/>
  <c r="DC42" i="65"/>
  <c r="DE42" i="65"/>
  <c r="K135" i="65"/>
  <c r="K148" i="65"/>
  <c r="C75" i="64"/>
  <c r="E56" i="64"/>
  <c r="L55" i="65"/>
  <c r="L68" i="65"/>
  <c r="L131" i="65"/>
  <c r="L144" i="65"/>
  <c r="I96" i="65"/>
  <c r="AE136" i="65"/>
  <c r="I109" i="65"/>
  <c r="CH122" i="65"/>
  <c r="CI122" i="65"/>
  <c r="CM122" i="65"/>
  <c r="CK122" i="65"/>
  <c r="CJ122" i="65"/>
  <c r="CL122" i="65"/>
  <c r="K210" i="65"/>
  <c r="K223" i="65"/>
  <c r="O54" i="46"/>
  <c r="O51" i="46" s="1"/>
  <c r="P56" i="46"/>
  <c r="P59" i="46"/>
  <c r="H147" i="65"/>
  <c r="H134" i="65"/>
  <c r="AB132" i="65"/>
  <c r="F92" i="65"/>
  <c r="F105" i="65"/>
  <c r="BS118" i="65"/>
  <c r="BP118" i="65"/>
  <c r="BR118" i="65"/>
  <c r="BU118" i="65"/>
  <c r="BQ118" i="65"/>
  <c r="BT118" i="65"/>
  <c r="D151" i="64"/>
  <c r="D152" i="64" s="1"/>
  <c r="D63" i="64" s="1"/>
  <c r="D65" i="64" s="1"/>
  <c r="D78" i="64" s="1"/>
  <c r="D133" i="64"/>
  <c r="I250" i="65"/>
  <c r="AE290" i="65"/>
  <c r="I263" i="65"/>
  <c r="CL276" i="65"/>
  <c r="CH276" i="65"/>
  <c r="CI276" i="65"/>
  <c r="CM276" i="65"/>
  <c r="CJ276" i="65"/>
  <c r="CK276" i="65"/>
  <c r="C67" i="63"/>
  <c r="D65" i="63" s="1"/>
  <c r="E225" i="65"/>
  <c r="E212" i="65"/>
  <c r="H146" i="65"/>
  <c r="H133" i="65"/>
  <c r="AH295" i="65"/>
  <c r="L255" i="65"/>
  <c r="L268" i="65"/>
  <c r="DE281" i="65"/>
  <c r="DA281" i="65"/>
  <c r="DD281" i="65"/>
  <c r="CZ281" i="65"/>
  <c r="DB281" i="65"/>
  <c r="DC281" i="65"/>
  <c r="K103" i="65"/>
  <c r="K90" i="65"/>
  <c r="AG130" i="65"/>
  <c r="CV116" i="65"/>
  <c r="CW116" i="65"/>
  <c r="CY116" i="65"/>
  <c r="CU116" i="65"/>
  <c r="CX116" i="65"/>
  <c r="CT116" i="65"/>
  <c r="G210" i="65"/>
  <c r="G223" i="65"/>
  <c r="E296" i="65"/>
  <c r="E309" i="65"/>
  <c r="O10" i="46"/>
  <c r="O7" i="46" s="1"/>
  <c r="P12" i="46"/>
  <c r="P15" i="46" s="1"/>
  <c r="P14" i="46"/>
  <c r="X32" i="38"/>
  <c r="X35" i="38"/>
  <c r="E224" i="65"/>
  <c r="E211" i="65"/>
  <c r="K28" i="65"/>
  <c r="K15" i="65"/>
  <c r="AG55" i="65"/>
  <c r="CY41" i="65"/>
  <c r="CW41" i="65"/>
  <c r="CT41" i="65"/>
  <c r="CX41" i="65"/>
  <c r="CU41" i="65"/>
  <c r="CV41" i="65"/>
  <c r="Z55" i="65"/>
  <c r="D28" i="65"/>
  <c r="D15" i="65"/>
  <c r="BF41" i="65"/>
  <c r="BE41" i="65"/>
  <c r="BD41" i="65"/>
  <c r="BI41" i="65"/>
  <c r="BG41" i="65"/>
  <c r="BH41" i="65"/>
  <c r="I26" i="65"/>
  <c r="AE53" i="65"/>
  <c r="I13" i="65"/>
  <c r="CK39" i="65"/>
  <c r="CJ39" i="65"/>
  <c r="CI39" i="65"/>
  <c r="CH39" i="65"/>
  <c r="CL39" i="65"/>
  <c r="CM39" i="65"/>
  <c r="H27" i="65"/>
  <c r="AD54" i="65"/>
  <c r="H14" i="65"/>
  <c r="CC40" i="65"/>
  <c r="CF40" i="65"/>
  <c r="CD40" i="65"/>
  <c r="CE40" i="65"/>
  <c r="CG40" i="65"/>
  <c r="CB40" i="65"/>
  <c r="G212" i="65"/>
  <c r="G225" i="65"/>
  <c r="T93" i="38"/>
  <c r="T87" i="38" s="1"/>
  <c r="U95" i="38"/>
  <c r="U98" i="38"/>
  <c r="D54" i="65"/>
  <c r="D67" i="65"/>
  <c r="H291" i="65"/>
  <c r="H304" i="65"/>
  <c r="S44" i="59"/>
  <c r="S41" i="59"/>
  <c r="S45" i="59" s="1"/>
  <c r="R39" i="59"/>
  <c r="R36" i="59" s="1"/>
  <c r="F371" i="65"/>
  <c r="F384" i="65"/>
  <c r="L216" i="65"/>
  <c r="L229" i="65"/>
  <c r="F90" i="65"/>
  <c r="F103" i="65"/>
  <c r="AB130" i="65"/>
  <c r="BR116" i="65"/>
  <c r="BQ116" i="65"/>
  <c r="BU116" i="65"/>
  <c r="BP116" i="65"/>
  <c r="BT116" i="65"/>
  <c r="BS116" i="65"/>
  <c r="D193" i="63"/>
  <c r="C146" i="63"/>
  <c r="C147" i="63" s="1"/>
  <c r="C149" i="63" s="1"/>
  <c r="C151" i="63" s="1"/>
  <c r="C84" i="63"/>
  <c r="C85" i="63" s="1"/>
  <c r="C170" i="63"/>
  <c r="C149" i="64"/>
  <c r="D163" i="63"/>
  <c r="D164" i="63" s="1"/>
  <c r="AB372" i="65"/>
  <c r="F345" i="65"/>
  <c r="F332" i="65"/>
  <c r="BU358" i="65"/>
  <c r="BQ358" i="65"/>
  <c r="BP358" i="65"/>
  <c r="BR358" i="65"/>
  <c r="BS358" i="65"/>
  <c r="BT358" i="65"/>
  <c r="G197" i="65"/>
  <c r="G237" i="65" s="1"/>
  <c r="F229" i="65"/>
  <c r="F216" i="65"/>
  <c r="E252" i="65"/>
  <c r="E265" i="65"/>
  <c r="AA292" i="65"/>
  <c r="BL278" i="65"/>
  <c r="BK278" i="65"/>
  <c r="BO278" i="65"/>
  <c r="BJ278" i="65"/>
  <c r="BN278" i="65"/>
  <c r="BM278" i="65"/>
  <c r="AA136" i="65"/>
  <c r="E109" i="65"/>
  <c r="E96" i="65"/>
  <c r="BL122" i="65"/>
  <c r="BK122" i="65"/>
  <c r="BO122" i="65"/>
  <c r="BJ122" i="65"/>
  <c r="BN122" i="65"/>
  <c r="BM122" i="65"/>
  <c r="F265" i="65"/>
  <c r="AB292" i="65"/>
  <c r="F252" i="65"/>
  <c r="BU278" i="65"/>
  <c r="BS278" i="65"/>
  <c r="BT278" i="65"/>
  <c r="BR278" i="65"/>
  <c r="BQ278" i="65"/>
  <c r="BP278" i="65"/>
  <c r="V29" i="38"/>
  <c r="V23" i="38" s="1"/>
  <c r="W31" i="38"/>
  <c r="W34" i="38"/>
  <c r="H25" i="65"/>
  <c r="AD52" i="65"/>
  <c r="H12" i="65"/>
  <c r="CF38" i="65"/>
  <c r="CD38" i="65"/>
  <c r="CC38" i="65"/>
  <c r="CB38" i="65"/>
  <c r="CE38" i="65"/>
  <c r="CG38" i="65"/>
  <c r="D25" i="65"/>
  <c r="Z52" i="65"/>
  <c r="D12" i="65"/>
  <c r="BH38" i="65"/>
  <c r="BE38" i="65"/>
  <c r="BF38" i="65"/>
  <c r="BG38" i="65"/>
  <c r="BI38" i="65"/>
  <c r="BD38" i="65"/>
  <c r="G11" i="65"/>
  <c r="AC51" i="65"/>
  <c r="G24" i="65"/>
  <c r="BZ37" i="65"/>
  <c r="BY37" i="65"/>
  <c r="CA37" i="65"/>
  <c r="BV37" i="65"/>
  <c r="BX37" i="65"/>
  <c r="BW37" i="65"/>
  <c r="L14" i="65"/>
  <c r="L27" i="65"/>
  <c r="AH54" i="65"/>
  <c r="DA40" i="65"/>
  <c r="CZ40" i="65"/>
  <c r="DD40" i="65"/>
  <c r="DC40" i="65"/>
  <c r="DE40" i="65"/>
  <c r="DB40" i="65"/>
  <c r="V96" i="38"/>
  <c r="V99" i="38"/>
  <c r="R84" i="59"/>
  <c r="R81" i="59" s="1"/>
  <c r="S89" i="59"/>
  <c r="S86" i="59"/>
  <c r="S90" i="59" s="1"/>
  <c r="L196" i="65"/>
  <c r="L236" i="65" s="1"/>
  <c r="L332" i="65"/>
  <c r="L345" i="65"/>
  <c r="AH372" i="65"/>
  <c r="DC358" i="65"/>
  <c r="DD358" i="65"/>
  <c r="DB358" i="65"/>
  <c r="DA358" i="65"/>
  <c r="CZ358" i="65"/>
  <c r="DE358" i="65"/>
  <c r="L134" i="65"/>
  <c r="L147" i="65"/>
  <c r="T8" i="52"/>
  <c r="V16" i="38"/>
  <c r="V19" i="38"/>
  <c r="E37" i="64"/>
  <c r="C39" i="64"/>
  <c r="C53" i="64"/>
  <c r="O52" i="64"/>
  <c r="M52" i="64"/>
  <c r="Q52" i="64"/>
  <c r="N52" i="64"/>
  <c r="L52" i="64"/>
  <c r="P52" i="64"/>
  <c r="K175" i="65"/>
  <c r="AG215" i="65"/>
  <c r="K188" i="65"/>
  <c r="CY201" i="65"/>
  <c r="CU201" i="65"/>
  <c r="CW201" i="65"/>
  <c r="CV201" i="65"/>
  <c r="CT201" i="65"/>
  <c r="CX201" i="65"/>
  <c r="S116" i="59"/>
  <c r="S120" i="59" s="1"/>
  <c r="R114" i="59"/>
  <c r="R111" i="59" s="1"/>
  <c r="S119" i="59"/>
  <c r="D263" i="65"/>
  <c r="Z290" i="65"/>
  <c r="D250" i="65"/>
  <c r="BF276" i="65"/>
  <c r="BG276" i="65"/>
  <c r="BD276" i="65"/>
  <c r="BE276" i="65"/>
  <c r="BH276" i="65"/>
  <c r="BI276" i="65"/>
  <c r="AC374" i="65"/>
  <c r="G334" i="65"/>
  <c r="G347" i="65"/>
  <c r="BW360" i="65"/>
  <c r="BY360" i="65"/>
  <c r="BZ360" i="65"/>
  <c r="BV360" i="65"/>
  <c r="CA360" i="65"/>
  <c r="BX360" i="65"/>
  <c r="AE52" i="65"/>
  <c r="I12" i="65"/>
  <c r="I25" i="65"/>
  <c r="CH38" i="65"/>
  <c r="CJ38" i="65"/>
  <c r="CK38" i="65"/>
  <c r="CL38" i="65"/>
  <c r="CM38" i="65"/>
  <c r="CI38" i="65"/>
  <c r="L11" i="65"/>
  <c r="L24" i="65"/>
  <c r="AH51" i="65"/>
  <c r="CZ37" i="65"/>
  <c r="DD37" i="65"/>
  <c r="DE37" i="65"/>
  <c r="DC37" i="65"/>
  <c r="DB37" i="65"/>
  <c r="DA37" i="65"/>
  <c r="H24" i="65"/>
  <c r="H11" i="65"/>
  <c r="AD51" i="65"/>
  <c r="CF37" i="65"/>
  <c r="CE37" i="65"/>
  <c r="CG37" i="65"/>
  <c r="CC37" i="65"/>
  <c r="CD37" i="65"/>
  <c r="CB37" i="65"/>
  <c r="AB56" i="65"/>
  <c r="F29" i="65"/>
  <c r="F16" i="65"/>
  <c r="BU42" i="65"/>
  <c r="BP42" i="65"/>
  <c r="BR42" i="65"/>
  <c r="BS42" i="65"/>
  <c r="BQ42" i="65"/>
  <c r="BT42" i="65"/>
  <c r="D116" i="65"/>
  <c r="D156" i="65" s="1"/>
  <c r="C141" i="63"/>
  <c r="AF213" i="65"/>
  <c r="J186" i="65"/>
  <c r="J173" i="65"/>
  <c r="CR199" i="65"/>
  <c r="CN199" i="65"/>
  <c r="CO199" i="65"/>
  <c r="CQ199" i="65"/>
  <c r="CS199" i="65"/>
  <c r="CP199" i="65"/>
  <c r="J103" i="65"/>
  <c r="AF130" i="65"/>
  <c r="J90" i="65"/>
  <c r="CO116" i="65"/>
  <c r="CP116" i="65"/>
  <c r="CR116" i="65"/>
  <c r="CN116" i="65"/>
  <c r="CQ116" i="65"/>
  <c r="CS116" i="65"/>
  <c r="E223" i="65"/>
  <c r="E210" i="65"/>
  <c r="U105" i="33"/>
  <c r="U108" i="33" s="1"/>
  <c r="T103" i="33"/>
  <c r="T97" i="33" s="1"/>
  <c r="U107" i="33"/>
  <c r="G370" i="65"/>
  <c r="G383" i="65"/>
  <c r="AA134" i="65"/>
  <c r="E94" i="65"/>
  <c r="E107" i="65"/>
  <c r="BK120" i="65"/>
  <c r="BJ120" i="65"/>
  <c r="BL120" i="65"/>
  <c r="BN120" i="65"/>
  <c r="BO120" i="65"/>
  <c r="BM120" i="65"/>
  <c r="T13" i="38"/>
  <c r="T7" i="38" s="1"/>
  <c r="U15" i="38"/>
  <c r="U18" i="38"/>
  <c r="D150" i="64"/>
  <c r="D140" i="61"/>
  <c r="D141" i="61" s="1"/>
  <c r="D143" i="61" s="1"/>
  <c r="D161" i="61"/>
  <c r="C117" i="61"/>
  <c r="C122" i="61"/>
  <c r="D152" i="61"/>
  <c r="D151" i="61"/>
  <c r="C133" i="61"/>
  <c r="D88" i="61"/>
  <c r="C137" i="61" s="1"/>
  <c r="D122" i="64" s="1"/>
  <c r="D130" i="64" s="1"/>
  <c r="C118" i="61"/>
  <c r="D78" i="61"/>
  <c r="D229" i="65"/>
  <c r="D216" i="65"/>
  <c r="F174" i="65"/>
  <c r="AB214" i="65"/>
  <c r="F187" i="65"/>
  <c r="BT200" i="65"/>
  <c r="BQ200" i="65"/>
  <c r="BP200" i="65"/>
  <c r="BS200" i="65"/>
  <c r="BU200" i="65"/>
  <c r="BR200" i="65"/>
  <c r="W30" i="33"/>
  <c r="W33" i="33" s="1"/>
  <c r="V28" i="33"/>
  <c r="V22" i="33" s="1"/>
  <c r="W32" i="33"/>
  <c r="J362" i="65"/>
  <c r="J402" i="65" s="1"/>
  <c r="K173" i="65"/>
  <c r="AG213" i="65"/>
  <c r="K186" i="65"/>
  <c r="CT199" i="65"/>
  <c r="CW199" i="65"/>
  <c r="CY199" i="65"/>
  <c r="CV199" i="65"/>
  <c r="CX199" i="65"/>
  <c r="CU199" i="65"/>
  <c r="E332" i="65"/>
  <c r="AA372" i="65"/>
  <c r="E345" i="65"/>
  <c r="BK358" i="65"/>
  <c r="BL358" i="65"/>
  <c r="BO358" i="65"/>
  <c r="BM358" i="65"/>
  <c r="BN358" i="65"/>
  <c r="BJ358" i="65"/>
  <c r="G145" i="65"/>
  <c r="G132" i="65"/>
  <c r="D210" i="65"/>
  <c r="D223" i="65"/>
  <c r="P71" i="46"/>
  <c r="P75" i="46" s="1"/>
  <c r="O69" i="46"/>
  <c r="O66" i="46" s="1"/>
  <c r="P74" i="46"/>
  <c r="AE134" i="65"/>
  <c r="I94" i="65"/>
  <c r="I107" i="65"/>
  <c r="CJ120" i="65"/>
  <c r="CL120" i="65"/>
  <c r="CI120" i="65"/>
  <c r="CM120" i="65"/>
  <c r="CH120" i="65"/>
  <c r="CK120" i="65"/>
  <c r="I362" i="65"/>
  <c r="I402" i="65" s="1"/>
  <c r="D10" i="65"/>
  <c r="D23" i="65"/>
  <c r="Z50" i="65"/>
  <c r="BF36" i="65"/>
  <c r="BE36" i="65"/>
  <c r="BD36" i="65"/>
  <c r="BG36" i="65"/>
  <c r="BH36" i="65"/>
  <c r="BI36" i="65"/>
  <c r="L12" i="65"/>
  <c r="L25" i="65"/>
  <c r="AH52" i="65"/>
  <c r="CZ38" i="65"/>
  <c r="DB38" i="65"/>
  <c r="DC38" i="65"/>
  <c r="DA38" i="65"/>
  <c r="DE38" i="65"/>
  <c r="DD38" i="65"/>
  <c r="F11" i="65"/>
  <c r="F24" i="65"/>
  <c r="AB51" i="65"/>
  <c r="BQ37" i="65"/>
  <c r="BT37" i="65"/>
  <c r="BU37" i="65"/>
  <c r="BR37" i="65"/>
  <c r="BP37" i="65"/>
  <c r="BS37" i="65"/>
  <c r="AE56" i="65"/>
  <c r="I16" i="65"/>
  <c r="I29" i="65"/>
  <c r="CH42" i="65"/>
  <c r="CM42" i="65"/>
  <c r="CI42" i="65"/>
  <c r="CK42" i="65"/>
  <c r="CJ42" i="65"/>
  <c r="CL42" i="65"/>
  <c r="AC295" i="65"/>
  <c r="G255" i="65"/>
  <c r="G268" i="65"/>
  <c r="CA281" i="65"/>
  <c r="BZ281" i="65"/>
  <c r="BW281" i="65"/>
  <c r="BY281" i="65"/>
  <c r="BV281" i="65"/>
  <c r="BX281" i="65"/>
  <c r="U32" i="52"/>
  <c r="U29" i="52"/>
  <c r="U35" i="52" s="1"/>
  <c r="G421" i="65"/>
  <c r="H266" i="65"/>
  <c r="AD293" i="65"/>
  <c r="H253" i="65"/>
  <c r="CC279" i="65"/>
  <c r="CF279" i="65"/>
  <c r="CB279" i="65"/>
  <c r="CD279" i="65"/>
  <c r="CG279" i="65"/>
  <c r="CE279" i="65"/>
  <c r="AA374" i="65"/>
  <c r="E347" i="65"/>
  <c r="E334" i="65"/>
  <c r="BO360" i="65"/>
  <c r="BL360" i="65"/>
  <c r="BK360" i="65"/>
  <c r="BJ360" i="65"/>
  <c r="BM360" i="65"/>
  <c r="BN360" i="65"/>
  <c r="E304" i="65"/>
  <c r="E291" i="65"/>
  <c r="I216" i="65"/>
  <c r="I229" i="65"/>
  <c r="AA131" i="65"/>
  <c r="E104" i="65"/>
  <c r="E91" i="65"/>
  <c r="BK117" i="65"/>
  <c r="BO117" i="65"/>
  <c r="BL117" i="65"/>
  <c r="BM117" i="65"/>
  <c r="BJ117" i="65"/>
  <c r="BN117" i="65"/>
  <c r="J133" i="65"/>
  <c r="J146" i="65"/>
  <c r="C195" i="63"/>
  <c r="L120" i="65"/>
  <c r="L160" i="65" s="1"/>
  <c r="AG293" i="65"/>
  <c r="K253" i="65"/>
  <c r="K266" i="65"/>
  <c r="CW279" i="65"/>
  <c r="CV279" i="65"/>
  <c r="CT279" i="65"/>
  <c r="CY279" i="65"/>
  <c r="CU279" i="65"/>
  <c r="CX279" i="65"/>
  <c r="H255" i="65"/>
  <c r="H268" i="65"/>
  <c r="AD295" i="65"/>
  <c r="CE281" i="65"/>
  <c r="CC281" i="65"/>
  <c r="CF281" i="65"/>
  <c r="CB281" i="65"/>
  <c r="CG281" i="65"/>
  <c r="CD281" i="65"/>
  <c r="G224" i="65"/>
  <c r="G211" i="65"/>
  <c r="AF215" i="65"/>
  <c r="J188" i="65"/>
  <c r="J175" i="65"/>
  <c r="CP201" i="65"/>
  <c r="CO201" i="65"/>
  <c r="CS201" i="65"/>
  <c r="CN201" i="65"/>
  <c r="CQ201" i="65"/>
  <c r="CR201" i="65"/>
  <c r="AE213" i="65"/>
  <c r="I186" i="65"/>
  <c r="I173" i="65"/>
  <c r="CK199" i="65"/>
  <c r="CL199" i="65"/>
  <c r="CJ199" i="65"/>
  <c r="CH199" i="65"/>
  <c r="CM199" i="65"/>
  <c r="CI199" i="65"/>
  <c r="H119" i="65"/>
  <c r="H159" i="65" s="1"/>
  <c r="K216" i="65"/>
  <c r="G10" i="65"/>
  <c r="G23" i="65"/>
  <c r="AC50" i="65"/>
  <c r="BZ36" i="65"/>
  <c r="CA36" i="65"/>
  <c r="BY36" i="65"/>
  <c r="BV36" i="65"/>
  <c r="BW36" i="65"/>
  <c r="BX36" i="65"/>
  <c r="H23" i="65"/>
  <c r="AD50" i="65"/>
  <c r="H10" i="65"/>
  <c r="CC36" i="65"/>
  <c r="CG36" i="65"/>
  <c r="CF36" i="65"/>
  <c r="CB36" i="65"/>
  <c r="CD36" i="65"/>
  <c r="CE36" i="65"/>
  <c r="AF55" i="65"/>
  <c r="J28" i="65"/>
  <c r="J15" i="65"/>
  <c r="CO41" i="65"/>
  <c r="CQ41" i="65"/>
  <c r="CS41" i="65"/>
  <c r="CP41" i="65"/>
  <c r="CR41" i="65"/>
  <c r="CN41" i="65"/>
  <c r="H29" i="65"/>
  <c r="H16" i="65"/>
  <c r="AD56" i="65"/>
  <c r="CD42" i="65"/>
  <c r="CC42" i="65"/>
  <c r="CB42" i="65"/>
  <c r="CF42" i="65"/>
  <c r="CG42" i="65"/>
  <c r="CE42" i="65"/>
  <c r="AA294" i="65"/>
  <c r="E267" i="65"/>
  <c r="E254" i="65"/>
  <c r="BL280" i="65"/>
  <c r="BM280" i="65"/>
  <c r="BK280" i="65"/>
  <c r="BO280" i="65"/>
  <c r="BJ280" i="65"/>
  <c r="BN280" i="65"/>
  <c r="L135" i="65"/>
  <c r="L148" i="65"/>
  <c r="K334" i="65"/>
  <c r="AG374" i="65"/>
  <c r="K347" i="65"/>
  <c r="CW360" i="65"/>
  <c r="CX360" i="65"/>
  <c r="CU360" i="65"/>
  <c r="CV360" i="65"/>
  <c r="CY360" i="65"/>
  <c r="CT360" i="65"/>
  <c r="T29" i="52"/>
  <c r="T35" i="52" s="1"/>
  <c r="T32" i="52"/>
  <c r="K384" i="65"/>
  <c r="K371" i="65"/>
  <c r="AG134" i="65"/>
  <c r="K107" i="65"/>
  <c r="K94" i="65"/>
  <c r="CV120" i="65"/>
  <c r="CT120" i="65"/>
  <c r="CY120" i="65"/>
  <c r="CW120" i="65"/>
  <c r="CU120" i="65"/>
  <c r="CX120" i="65"/>
  <c r="J198" i="65"/>
  <c r="J238" i="65" s="1"/>
  <c r="L346" i="65"/>
  <c r="L333" i="65"/>
  <c r="AH373" i="65"/>
  <c r="DC359" i="65"/>
  <c r="CZ359" i="65"/>
  <c r="DE359" i="65"/>
  <c r="DB359" i="65"/>
  <c r="DD359" i="65"/>
  <c r="DA359" i="65"/>
  <c r="I198" i="65"/>
  <c r="I238" i="65" s="1"/>
  <c r="G376" i="65"/>
  <c r="G389" i="65"/>
  <c r="L174" i="65"/>
  <c r="L187" i="65"/>
  <c r="AH214" i="65"/>
  <c r="CZ200" i="65"/>
  <c r="DD200" i="65"/>
  <c r="DA200" i="65"/>
  <c r="DB200" i="65"/>
  <c r="DC200" i="65"/>
  <c r="DE200" i="65"/>
  <c r="AB295" i="65"/>
  <c r="F255" i="65"/>
  <c r="F268" i="65"/>
  <c r="BR281" i="65"/>
  <c r="BS281" i="65"/>
  <c r="BT281" i="65"/>
  <c r="BQ281" i="65"/>
  <c r="BU281" i="65"/>
  <c r="BP281" i="65"/>
  <c r="S71" i="59"/>
  <c r="S75" i="59" s="1"/>
  <c r="R69" i="59"/>
  <c r="R66" i="59" s="1"/>
  <c r="S74" i="59"/>
  <c r="J118" i="65"/>
  <c r="J158" i="65" s="1"/>
  <c r="E370" i="65"/>
  <c r="E383" i="65"/>
  <c r="J309" i="65"/>
  <c r="J296" i="65"/>
  <c r="AC55" i="65"/>
  <c r="G15" i="65"/>
  <c r="G28" i="65"/>
  <c r="BW41" i="65"/>
  <c r="CA41" i="65"/>
  <c r="BZ41" i="65"/>
  <c r="BV41" i="65"/>
  <c r="BX41" i="65"/>
  <c r="BY41" i="65"/>
  <c r="AG51" i="65"/>
  <c r="K24" i="65"/>
  <c r="K11" i="65"/>
  <c r="CV37" i="65"/>
  <c r="CW37" i="65"/>
  <c r="CY37" i="65"/>
  <c r="CT37" i="65"/>
  <c r="CX37" i="65"/>
  <c r="CU37" i="65"/>
  <c r="E14" i="65"/>
  <c r="E27" i="65"/>
  <c r="AA54" i="65"/>
  <c r="BN40" i="65"/>
  <c r="BM40" i="65"/>
  <c r="BO40" i="65"/>
  <c r="BJ40" i="65"/>
  <c r="BK40" i="65"/>
  <c r="BL40" i="65"/>
  <c r="S88" i="33"/>
  <c r="S82" i="33" s="1"/>
  <c r="T90" i="33"/>
  <c r="T93" i="33" s="1"/>
  <c r="T92" i="33"/>
  <c r="AE132" i="65"/>
  <c r="I92" i="65"/>
  <c r="I105" i="65"/>
  <c r="CJ118" i="65"/>
  <c r="CL118" i="65"/>
  <c r="CM118" i="65"/>
  <c r="CI118" i="65"/>
  <c r="CH118" i="65"/>
  <c r="CK118" i="65"/>
  <c r="I266" i="65"/>
  <c r="AE293" i="65"/>
  <c r="I253" i="65"/>
  <c r="CL279" i="65"/>
  <c r="CM279" i="65"/>
  <c r="CH279" i="65"/>
  <c r="CI279" i="65"/>
  <c r="CK279" i="65"/>
  <c r="CJ279" i="65"/>
  <c r="L309" i="65"/>
  <c r="L296" i="65"/>
  <c r="O39" i="46"/>
  <c r="O36" i="46" s="1"/>
  <c r="P41" i="46"/>
  <c r="P44" i="46"/>
  <c r="T75" i="33"/>
  <c r="T78" i="33" s="1"/>
  <c r="S73" i="33"/>
  <c r="S67" i="33" s="1"/>
  <c r="T77" i="33"/>
  <c r="G348" i="65"/>
  <c r="AC375" i="65"/>
  <c r="G335" i="65"/>
  <c r="BY361" i="65"/>
  <c r="BW361" i="65"/>
  <c r="CA361" i="65"/>
  <c r="BV361" i="65"/>
  <c r="BX361" i="65"/>
  <c r="BZ361" i="65"/>
  <c r="Q11" i="52"/>
  <c r="Q30" i="46"/>
  <c r="J356" i="65"/>
  <c r="J396" i="65" s="1"/>
  <c r="K73" i="8"/>
  <c r="N72" i="8"/>
  <c r="T33" i="52"/>
  <c r="H135" i="65"/>
  <c r="H148" i="65"/>
  <c r="G263" i="65"/>
  <c r="G250" i="65"/>
  <c r="AC290" i="65"/>
  <c r="CA276" i="65"/>
  <c r="BZ276" i="65"/>
  <c r="BV276" i="65"/>
  <c r="BW276" i="65"/>
  <c r="BX276" i="65"/>
  <c r="BY276" i="65"/>
  <c r="I333" i="65"/>
  <c r="AE373" i="65"/>
  <c r="I346" i="65"/>
  <c r="CH359" i="65"/>
  <c r="CJ359" i="65"/>
  <c r="CI359" i="65"/>
  <c r="CK359" i="65"/>
  <c r="CL359" i="65"/>
  <c r="CM359" i="65"/>
  <c r="L116" i="65"/>
  <c r="L156" i="65" s="1"/>
  <c r="E229" i="65"/>
  <c r="E216" i="65"/>
  <c r="K109" i="65"/>
  <c r="K96" i="65"/>
  <c r="AG136" i="65"/>
  <c r="CU122" i="65"/>
  <c r="CV122" i="65"/>
  <c r="CW122" i="65"/>
  <c r="CX122" i="65"/>
  <c r="CY122" i="65"/>
  <c r="CT122" i="65"/>
  <c r="G134" i="65"/>
  <c r="G147" i="65"/>
  <c r="I11" i="65"/>
  <c r="AE51" i="65"/>
  <c r="I24" i="65"/>
  <c r="CM37" i="65"/>
  <c r="CK37" i="65"/>
  <c r="CL37" i="65"/>
  <c r="CI37" i="65"/>
  <c r="CH37" i="65"/>
  <c r="CJ37" i="65"/>
  <c r="AG52" i="65"/>
  <c r="K12" i="65"/>
  <c r="K25" i="65"/>
  <c r="CW38" i="65"/>
  <c r="CX38" i="65"/>
  <c r="CU38" i="65"/>
  <c r="CY38" i="65"/>
  <c r="CT38" i="65"/>
  <c r="CV38" i="65"/>
  <c r="E15" i="65"/>
  <c r="E28" i="65"/>
  <c r="AA55" i="65"/>
  <c r="BM41" i="65"/>
  <c r="BN41" i="65"/>
  <c r="BL41" i="65"/>
  <c r="BO41" i="65"/>
  <c r="BJ41" i="65"/>
  <c r="BK41" i="65"/>
  <c r="K29" i="65"/>
  <c r="AG56" i="65"/>
  <c r="K16" i="65"/>
  <c r="CT42" i="65"/>
  <c r="CW42" i="65"/>
  <c r="CX42" i="65"/>
  <c r="CY42" i="65"/>
  <c r="CV42" i="65"/>
  <c r="CU42" i="65"/>
  <c r="AE131" i="65"/>
  <c r="I104" i="65"/>
  <c r="I91" i="65"/>
  <c r="CH117" i="65"/>
  <c r="CL117" i="65"/>
  <c r="CI117" i="65"/>
  <c r="CJ117" i="65"/>
  <c r="CK117" i="65"/>
  <c r="CM117" i="65"/>
  <c r="J210" i="65"/>
  <c r="J223" i="65"/>
  <c r="F188" i="65"/>
  <c r="F175" i="65"/>
  <c r="AB215" i="65"/>
  <c r="BQ201" i="65"/>
  <c r="BP201" i="65"/>
  <c r="BS201" i="65"/>
  <c r="BR201" i="65"/>
  <c r="BU201" i="65"/>
  <c r="BT201" i="65"/>
  <c r="W45" i="33"/>
  <c r="W48" i="33" s="1"/>
  <c r="V43" i="33"/>
  <c r="V37" i="33" s="1"/>
  <c r="W47" i="33"/>
  <c r="H254" i="65"/>
  <c r="H267" i="65"/>
  <c r="AD294" i="65"/>
  <c r="CF280" i="65"/>
  <c r="CC280" i="65"/>
  <c r="CD280" i="65"/>
  <c r="CG280" i="65"/>
  <c r="CE280" i="65"/>
  <c r="CB280" i="65"/>
  <c r="U33" i="52"/>
  <c r="D136" i="65"/>
  <c r="D149" i="65"/>
  <c r="L383" i="65"/>
  <c r="L370" i="65"/>
  <c r="AD372" i="65"/>
  <c r="H345" i="65"/>
  <c r="H332" i="65"/>
  <c r="CD358" i="65"/>
  <c r="CG358" i="65"/>
  <c r="CE358" i="65"/>
  <c r="CF358" i="65"/>
  <c r="CC358" i="65"/>
  <c r="CB358" i="65"/>
  <c r="Z293" i="65"/>
  <c r="D253" i="65"/>
  <c r="D266" i="65"/>
  <c r="BD279" i="65"/>
  <c r="BI279" i="65"/>
  <c r="BG279" i="65"/>
  <c r="BF279" i="65"/>
  <c r="BE279" i="65"/>
  <c r="BH279" i="65"/>
  <c r="I335" i="65"/>
  <c r="I348" i="65"/>
  <c r="AE375" i="65"/>
  <c r="CJ361" i="65"/>
  <c r="CH361" i="65"/>
  <c r="CI361" i="65"/>
  <c r="CM361" i="65"/>
  <c r="CK361" i="65"/>
  <c r="CL361" i="65"/>
  <c r="H250" i="65"/>
  <c r="H263" i="65"/>
  <c r="AD290" i="65"/>
  <c r="CF276" i="65"/>
  <c r="CB276" i="65"/>
  <c r="CE276" i="65"/>
  <c r="CC276" i="65"/>
  <c r="CD276" i="65"/>
  <c r="CG276" i="65"/>
  <c r="D383" i="65"/>
  <c r="D370" i="65"/>
  <c r="O24" i="46"/>
  <c r="O21" i="46" s="1"/>
  <c r="P26" i="46"/>
  <c r="P29" i="46"/>
  <c r="D371" i="65"/>
  <c r="D384" i="65"/>
  <c r="AA135" i="65"/>
  <c r="E95" i="65"/>
  <c r="E108" i="65"/>
  <c r="BO121" i="65"/>
  <c r="BL121" i="65"/>
  <c r="BN121" i="65"/>
  <c r="BK121" i="65"/>
  <c r="BJ121" i="65"/>
  <c r="BM121" i="65"/>
  <c r="L122" i="65"/>
  <c r="L162" i="65" s="1"/>
  <c r="D58" i="64"/>
  <c r="J229" i="65"/>
  <c r="J216" i="65"/>
  <c r="G133" i="65"/>
  <c r="G146" i="65"/>
  <c r="D346" i="65"/>
  <c r="Z373" i="65"/>
  <c r="D333" i="65"/>
  <c r="BG359" i="65"/>
  <c r="BH359" i="65"/>
  <c r="BE359" i="65"/>
  <c r="BI359" i="65"/>
  <c r="BF359" i="65"/>
  <c r="BD359" i="65"/>
  <c r="K252" i="65"/>
  <c r="AG292" i="65"/>
  <c r="K265" i="65"/>
  <c r="CU278" i="65"/>
  <c r="CT278" i="65"/>
  <c r="CV278" i="65"/>
  <c r="CW278" i="65"/>
  <c r="CX278" i="65"/>
  <c r="CY278" i="65"/>
  <c r="I224" i="65"/>
  <c r="R127" i="59"/>
  <c r="R124" i="59" s="1"/>
  <c r="S131" i="59"/>
  <c r="S129" i="59"/>
  <c r="S132" i="59" s="1"/>
  <c r="K198" i="65"/>
  <c r="K238" i="65" s="1"/>
  <c r="D211" i="65"/>
  <c r="D175" i="65"/>
  <c r="Z215" i="65"/>
  <c r="D188" i="65"/>
  <c r="BH201" i="65"/>
  <c r="BE201" i="65"/>
  <c r="BI201" i="65"/>
  <c r="BF201" i="65"/>
  <c r="BD201" i="65"/>
  <c r="BG201" i="65"/>
  <c r="AF53" i="65"/>
  <c r="J26" i="65"/>
  <c r="J13" i="65"/>
  <c r="CS39" i="65"/>
  <c r="CO39" i="65"/>
  <c r="CQ39" i="65"/>
  <c r="CR39" i="65"/>
  <c r="CN39" i="65"/>
  <c r="CP39" i="65"/>
  <c r="J27" i="65"/>
  <c r="J14" i="65"/>
  <c r="AF54" i="65"/>
  <c r="CP40" i="65"/>
  <c r="CR40" i="65"/>
  <c r="CS40" i="65"/>
  <c r="CQ40" i="65"/>
  <c r="CO40" i="65"/>
  <c r="CN40" i="65"/>
  <c r="AB54" i="65"/>
  <c r="F27" i="65"/>
  <c r="F14" i="65"/>
  <c r="BR40" i="65"/>
  <c r="BT40" i="65"/>
  <c r="BU40" i="65"/>
  <c r="BP40" i="65"/>
  <c r="BS40" i="65"/>
  <c r="BQ40" i="65"/>
  <c r="AE133" i="65"/>
  <c r="I93" i="65"/>
  <c r="I106" i="65"/>
  <c r="CK119" i="65"/>
  <c r="CJ119" i="65"/>
  <c r="CI119" i="65"/>
  <c r="CH119" i="65"/>
  <c r="CL119" i="65"/>
  <c r="CM119" i="65"/>
  <c r="D145" i="65"/>
  <c r="D132" i="65"/>
  <c r="J253" i="65"/>
  <c r="J266" i="65"/>
  <c r="AF293" i="65"/>
  <c r="CP279" i="65"/>
  <c r="CN279" i="65"/>
  <c r="CR279" i="65"/>
  <c r="CQ279" i="65"/>
  <c r="CS279" i="65"/>
  <c r="CO279" i="65"/>
  <c r="K348" i="65"/>
  <c r="AG375" i="65"/>
  <c r="K335" i="65"/>
  <c r="CU361" i="65"/>
  <c r="CY361" i="65"/>
  <c r="CV361" i="65"/>
  <c r="CX361" i="65"/>
  <c r="CT361" i="65"/>
  <c r="CW361" i="65"/>
  <c r="I95" i="65"/>
  <c r="I108" i="65"/>
  <c r="AE135" i="65"/>
  <c r="CI121" i="65"/>
  <c r="CL121" i="65"/>
  <c r="CH121" i="65"/>
  <c r="CM121" i="65"/>
  <c r="CK121" i="65"/>
  <c r="CJ121" i="65"/>
  <c r="G119" i="65"/>
  <c r="G159" i="65" s="1"/>
  <c r="C28" i="56"/>
  <c r="C26" i="56"/>
  <c r="E29" i="56"/>
  <c r="D27" i="56"/>
  <c r="C25" i="56"/>
  <c r="I19" i="56"/>
  <c r="I17" i="56"/>
  <c r="D29" i="56"/>
  <c r="C27" i="56"/>
  <c r="H19" i="56"/>
  <c r="H17" i="56"/>
  <c r="C29" i="56"/>
  <c r="G19" i="56"/>
  <c r="G17" i="56"/>
  <c r="I26" i="56"/>
  <c r="F19" i="56"/>
  <c r="F17" i="56"/>
  <c r="I28" i="56"/>
  <c r="H26" i="56"/>
  <c r="E19" i="56"/>
  <c r="E17" i="56"/>
  <c r="H28" i="56"/>
  <c r="G26" i="56"/>
  <c r="D19" i="56"/>
  <c r="D17" i="56"/>
  <c r="G28" i="56"/>
  <c r="F26" i="56"/>
  <c r="C19" i="56"/>
  <c r="C17" i="56"/>
  <c r="F28" i="56"/>
  <c r="E26" i="56"/>
  <c r="E28" i="56"/>
  <c r="D26" i="56"/>
  <c r="I20" i="56"/>
  <c r="I18" i="56"/>
  <c r="I16" i="56"/>
  <c r="D28" i="56"/>
  <c r="H20" i="56"/>
  <c r="H18" i="56"/>
  <c r="H16" i="56"/>
  <c r="I25" i="56"/>
  <c r="G20" i="56"/>
  <c r="G18" i="56"/>
  <c r="G16" i="56"/>
  <c r="I27" i="56"/>
  <c r="H25" i="56"/>
  <c r="F20" i="56"/>
  <c r="F18" i="56"/>
  <c r="F16" i="56"/>
  <c r="I29" i="56"/>
  <c r="H27" i="56"/>
  <c r="G25" i="56"/>
  <c r="E20" i="56"/>
  <c r="E18" i="56"/>
  <c r="E16" i="56"/>
  <c r="H29" i="56"/>
  <c r="G27" i="56"/>
  <c r="F25" i="56"/>
  <c r="D20" i="56"/>
  <c r="D18" i="56"/>
  <c r="D16" i="56"/>
  <c r="G29" i="56"/>
  <c r="F27" i="56"/>
  <c r="E25" i="56"/>
  <c r="C20" i="56"/>
  <c r="C18" i="56"/>
  <c r="C16" i="56"/>
  <c r="F29" i="56"/>
  <c r="E27" i="56"/>
  <c r="D25" i="56"/>
  <c r="AB133" i="65"/>
  <c r="F93" i="65"/>
  <c r="F106" i="65"/>
  <c r="BU119" i="65"/>
  <c r="BQ119" i="65"/>
  <c r="BR119" i="65"/>
  <c r="BT119" i="65"/>
  <c r="BS119" i="65"/>
  <c r="BP119" i="65"/>
  <c r="I345" i="65"/>
  <c r="AE372" i="65"/>
  <c r="I332" i="65"/>
  <c r="CJ358" i="65"/>
  <c r="CM358" i="65"/>
  <c r="CI358" i="65"/>
  <c r="CL358" i="65"/>
  <c r="CH358" i="65"/>
  <c r="CK358" i="65"/>
  <c r="E52" i="65"/>
  <c r="E65" i="65"/>
  <c r="T42" i="59"/>
  <c r="T34" i="52"/>
  <c r="J347" i="65"/>
  <c r="AF374" i="65"/>
  <c r="J334" i="65"/>
  <c r="CS360" i="65"/>
  <c r="CQ360" i="65"/>
  <c r="CN360" i="65"/>
  <c r="CR360" i="65"/>
  <c r="CO360" i="65"/>
  <c r="CP360" i="65"/>
  <c r="E92" i="65"/>
  <c r="AA132" i="65"/>
  <c r="E105" i="65"/>
  <c r="BK118" i="65"/>
  <c r="BJ118" i="65"/>
  <c r="BL118" i="65"/>
  <c r="BM118" i="65"/>
  <c r="BO118" i="65"/>
  <c r="BN118" i="65"/>
  <c r="F333" i="65"/>
  <c r="F346" i="65"/>
  <c r="AB373" i="65"/>
  <c r="BP359" i="65"/>
  <c r="BR359" i="65"/>
  <c r="BU359" i="65"/>
  <c r="BT359" i="65"/>
  <c r="BS359" i="65"/>
  <c r="BQ359" i="65"/>
  <c r="F131" i="65"/>
  <c r="F144" i="65"/>
  <c r="J250" i="65"/>
  <c r="J263" i="65"/>
  <c r="AF290" i="65"/>
  <c r="CP276" i="65"/>
  <c r="CS276" i="65"/>
  <c r="CO276" i="65"/>
  <c r="CN276" i="65"/>
  <c r="CQ276" i="65"/>
  <c r="CR276" i="65"/>
  <c r="E187" i="65"/>
  <c r="AA214" i="65"/>
  <c r="E174" i="65"/>
  <c r="BO200" i="65"/>
  <c r="BK200" i="65"/>
  <c r="BM200" i="65"/>
  <c r="BL200" i="65"/>
  <c r="BN200" i="65"/>
  <c r="BJ200" i="65"/>
  <c r="G149" i="65"/>
  <c r="G136" i="65"/>
  <c r="G409" i="65"/>
  <c r="D24" i="65"/>
  <c r="D11" i="65"/>
  <c r="Z51" i="65"/>
  <c r="BF37" i="65"/>
  <c r="BI37" i="65"/>
  <c r="BG37" i="65"/>
  <c r="BH37" i="65"/>
  <c r="BD37" i="65"/>
  <c r="BE37" i="65"/>
  <c r="AC54" i="65"/>
  <c r="G14" i="65"/>
  <c r="G27" i="65"/>
  <c r="BX40" i="65"/>
  <c r="CA40" i="65"/>
  <c r="BZ40" i="65"/>
  <c r="BW40" i="65"/>
  <c r="BV40" i="65"/>
  <c r="BY40" i="65"/>
  <c r="AE215" i="65"/>
  <c r="I175" i="65"/>
  <c r="I188" i="65"/>
  <c r="CK201" i="65"/>
  <c r="CH201" i="65"/>
  <c r="CI201" i="65"/>
  <c r="CL201" i="65"/>
  <c r="CJ201" i="65"/>
  <c r="CM201" i="65"/>
  <c r="R24" i="59"/>
  <c r="R21" i="59" s="1"/>
  <c r="S26" i="59"/>
  <c r="S30" i="59" s="1"/>
  <c r="S29" i="59"/>
  <c r="E64" i="65"/>
  <c r="E51" i="65"/>
  <c r="J389" i="65"/>
  <c r="J376" i="65"/>
  <c r="P116" i="46"/>
  <c r="P120" i="46" s="1"/>
  <c r="O114" i="46"/>
  <c r="O111" i="46" s="1"/>
  <c r="P119" i="46"/>
  <c r="AE294" i="65"/>
  <c r="I254" i="65"/>
  <c r="I267" i="65"/>
  <c r="CK280" i="65"/>
  <c r="CM280" i="65"/>
  <c r="CI280" i="65"/>
  <c r="CL280" i="65"/>
  <c r="CH280" i="65"/>
  <c r="CJ280" i="65"/>
  <c r="Z292" i="65"/>
  <c r="D252" i="65"/>
  <c r="D265" i="65"/>
  <c r="BF278" i="65"/>
  <c r="BD278" i="65"/>
  <c r="BE278" i="65"/>
  <c r="BH278" i="65"/>
  <c r="BI278" i="65"/>
  <c r="BG278" i="65"/>
  <c r="I143" i="65"/>
  <c r="I130" i="65"/>
  <c r="K282" i="65"/>
  <c r="K322" i="65" s="1"/>
  <c r="L335" i="65"/>
  <c r="AH375" i="65"/>
  <c r="L348" i="65"/>
  <c r="CZ361" i="65"/>
  <c r="DE361" i="65"/>
  <c r="DA361" i="65"/>
  <c r="DC361" i="65"/>
  <c r="DD361" i="65"/>
  <c r="DB361" i="65"/>
  <c r="J252" i="65"/>
  <c r="J265" i="65"/>
  <c r="AF292" i="65"/>
  <c r="CR278" i="65"/>
  <c r="CS278" i="65"/>
  <c r="CO278" i="65"/>
  <c r="CP278" i="65"/>
  <c r="CN278" i="65"/>
  <c r="CQ278" i="65"/>
  <c r="AH290" i="65"/>
  <c r="L250" i="65"/>
  <c r="L263" i="65"/>
  <c r="CZ276" i="65"/>
  <c r="DA276" i="65"/>
  <c r="DB276" i="65"/>
  <c r="DC276" i="65"/>
  <c r="DD276" i="65"/>
  <c r="DE276" i="65"/>
  <c r="F108" i="65"/>
  <c r="AB135" i="65"/>
  <c r="F95" i="65"/>
  <c r="BU121" i="65"/>
  <c r="BR121" i="65"/>
  <c r="BQ121" i="65"/>
  <c r="BS121" i="65"/>
  <c r="BT121" i="65"/>
  <c r="BP121" i="65"/>
  <c r="L130" i="65"/>
  <c r="L143" i="65"/>
  <c r="F107" i="65"/>
  <c r="AB134" i="65"/>
  <c r="F94" i="65"/>
  <c r="BU120" i="65"/>
  <c r="BQ120" i="65"/>
  <c r="BP120" i="65"/>
  <c r="BR120" i="65"/>
  <c r="BS120" i="65"/>
  <c r="BT120" i="65"/>
  <c r="J145" i="65"/>
  <c r="J132" i="65"/>
  <c r="F253" i="65"/>
  <c r="F266" i="65"/>
  <c r="AB293" i="65"/>
  <c r="BQ279" i="65"/>
  <c r="BP279" i="65"/>
  <c r="BR279" i="65"/>
  <c r="BS279" i="65"/>
  <c r="BT279" i="65"/>
  <c r="BU279" i="65"/>
  <c r="G116" i="65"/>
  <c r="G156" i="65" s="1"/>
  <c r="T102" i="59"/>
  <c r="K332" i="65"/>
  <c r="AG372" i="65"/>
  <c r="K345" i="65"/>
  <c r="CY358" i="65"/>
  <c r="CU358" i="65"/>
  <c r="CW358" i="65"/>
  <c r="CV358" i="65"/>
  <c r="CX358" i="65"/>
  <c r="CT358" i="65"/>
  <c r="J291" i="65"/>
  <c r="J304" i="65"/>
  <c r="G144" i="65"/>
  <c r="G131" i="65"/>
  <c r="D40" i="64"/>
  <c r="D41" i="64"/>
  <c r="Z374" i="65"/>
  <c r="D334" i="65"/>
  <c r="D347" i="65"/>
  <c r="BH360" i="65"/>
  <c r="BE360" i="65"/>
  <c r="BD360" i="65"/>
  <c r="BI360" i="65"/>
  <c r="BF360" i="65"/>
  <c r="BG360" i="65"/>
  <c r="J346" i="65"/>
  <c r="AF373" i="65"/>
  <c r="J333" i="65"/>
  <c r="CN359" i="65"/>
  <c r="CO359" i="65"/>
  <c r="CQ359" i="65"/>
  <c r="CR359" i="65"/>
  <c r="CS359" i="65"/>
  <c r="CP359" i="65"/>
  <c r="L304" i="65"/>
  <c r="L291" i="65"/>
  <c r="AA130" i="65"/>
  <c r="E103" i="65"/>
  <c r="E90" i="65"/>
  <c r="BL116" i="65"/>
  <c r="BJ116" i="65"/>
  <c r="BN116" i="65"/>
  <c r="BM116" i="65"/>
  <c r="BK116" i="65"/>
  <c r="BO116" i="65"/>
  <c r="K296" i="65"/>
  <c r="K309" i="65"/>
  <c r="AB213" i="65"/>
  <c r="F173" i="65"/>
  <c r="F186" i="65"/>
  <c r="BS199" i="65"/>
  <c r="BP199" i="65"/>
  <c r="BQ199" i="65"/>
  <c r="BR199" i="65"/>
  <c r="BU199" i="65"/>
  <c r="BT199" i="65"/>
  <c r="AE374" i="65"/>
  <c r="I334" i="65"/>
  <c r="I347" i="65"/>
  <c r="CK360" i="65"/>
  <c r="CI360" i="65"/>
  <c r="CH360" i="65"/>
  <c r="CL360" i="65"/>
  <c r="CM360" i="65"/>
  <c r="CJ360" i="65"/>
  <c r="L254" i="65"/>
  <c r="AH294" i="65"/>
  <c r="L267" i="65"/>
  <c r="DB280" i="65"/>
  <c r="DD280" i="65"/>
  <c r="DE280" i="65"/>
  <c r="DC280" i="65"/>
  <c r="CZ280" i="65"/>
  <c r="DA280" i="65"/>
  <c r="I212" i="65"/>
  <c r="I225" i="65"/>
  <c r="G12" i="65"/>
  <c r="AC52" i="65"/>
  <c r="G25" i="65"/>
  <c r="BW38" i="65"/>
  <c r="CA38" i="65"/>
  <c r="BV38" i="65"/>
  <c r="BX38" i="65"/>
  <c r="BY38" i="65"/>
  <c r="BZ38" i="65"/>
  <c r="AE50" i="65"/>
  <c r="I23" i="65"/>
  <c r="I10" i="65"/>
  <c r="CJ36" i="65"/>
  <c r="CK36" i="65"/>
  <c r="CL36" i="65"/>
  <c r="CM36" i="65"/>
  <c r="CI36" i="65"/>
  <c r="CH36" i="65"/>
  <c r="AG54" i="65"/>
  <c r="K14" i="65"/>
  <c r="K27" i="65"/>
  <c r="CV40" i="65"/>
  <c r="CT40" i="65"/>
  <c r="CU40" i="65"/>
  <c r="CW40" i="65"/>
  <c r="CX40" i="65"/>
  <c r="CY40" i="65"/>
  <c r="J187" i="65"/>
  <c r="AF214" i="65"/>
  <c r="J174" i="65"/>
  <c r="CR200" i="65"/>
  <c r="CN200" i="65"/>
  <c r="CO200" i="65"/>
  <c r="CS200" i="65"/>
  <c r="CQ200" i="65"/>
  <c r="CP200" i="65"/>
  <c r="J348" i="65"/>
  <c r="J335" i="65"/>
  <c r="AF375" i="65"/>
  <c r="CS361" i="65"/>
  <c r="CN361" i="65"/>
  <c r="CR361" i="65"/>
  <c r="CO361" i="65"/>
  <c r="CP361" i="65"/>
  <c r="CQ361" i="65"/>
  <c r="D146" i="65"/>
  <c r="D133" i="65"/>
  <c r="G173" i="65"/>
  <c r="AC213" i="65"/>
  <c r="G186" i="65"/>
  <c r="BY199" i="65"/>
  <c r="BX199" i="65"/>
  <c r="CA199" i="65"/>
  <c r="BV199" i="65"/>
  <c r="BZ199" i="65"/>
  <c r="BW199" i="65"/>
  <c r="AC293" i="65"/>
  <c r="G253" i="65"/>
  <c r="G266" i="65"/>
  <c r="BZ279" i="65"/>
  <c r="BW279" i="65"/>
  <c r="BX279" i="65"/>
  <c r="CA279" i="65"/>
  <c r="BV279" i="65"/>
  <c r="BY279" i="65"/>
  <c r="AF294" i="65"/>
  <c r="J267" i="65"/>
  <c r="J254" i="65"/>
  <c r="CO280" i="65"/>
  <c r="CN280" i="65"/>
  <c r="CP280" i="65"/>
  <c r="CS280" i="65"/>
  <c r="CQ280" i="65"/>
  <c r="CR280" i="65"/>
  <c r="T57" i="59"/>
  <c r="K304" i="65"/>
  <c r="K291" i="65"/>
  <c r="D55" i="64"/>
  <c r="Z372" i="65"/>
  <c r="D332" i="65"/>
  <c r="D345" i="65"/>
  <c r="BE358" i="65"/>
  <c r="BD358" i="65"/>
  <c r="BG358" i="65"/>
  <c r="BF358" i="65"/>
  <c r="BI358" i="65"/>
  <c r="BH358" i="65"/>
  <c r="AA373" i="65"/>
  <c r="E346" i="65"/>
  <c r="E333" i="65"/>
  <c r="BJ359" i="65"/>
  <c r="BK359" i="65"/>
  <c r="BL359" i="65"/>
  <c r="BM359" i="65"/>
  <c r="BN359" i="65"/>
  <c r="BO359" i="65"/>
  <c r="D268" i="65"/>
  <c r="Z295" i="65"/>
  <c r="D255" i="65"/>
  <c r="BD281" i="65"/>
  <c r="BF281" i="65"/>
  <c r="BI281" i="65"/>
  <c r="BH281" i="65"/>
  <c r="BE281" i="65"/>
  <c r="BG281" i="65"/>
  <c r="H121" i="65"/>
  <c r="H161" i="65" s="1"/>
  <c r="H216" i="65"/>
  <c r="H229" i="65"/>
  <c r="G252" i="65"/>
  <c r="AC292" i="65"/>
  <c r="G265" i="65"/>
  <c r="BY278" i="65"/>
  <c r="BV278" i="65"/>
  <c r="BZ278" i="65"/>
  <c r="BW278" i="65"/>
  <c r="CA278" i="65"/>
  <c r="BX278" i="65"/>
  <c r="F28" i="65"/>
  <c r="AB55" i="65"/>
  <c r="F15" i="65"/>
  <c r="BU41" i="65"/>
  <c r="BT41" i="65"/>
  <c r="BP41" i="65"/>
  <c r="BS41" i="65"/>
  <c r="BR41" i="65"/>
  <c r="BQ41" i="65"/>
  <c r="AB52" i="65"/>
  <c r="F25" i="65"/>
  <c r="F12" i="65"/>
  <c r="BR38" i="65"/>
  <c r="BT38" i="65"/>
  <c r="BU38" i="65"/>
  <c r="BP38" i="65"/>
  <c r="BS38" i="65"/>
  <c r="BQ38" i="65"/>
  <c r="I14" i="65"/>
  <c r="I27" i="65"/>
  <c r="AE54" i="65"/>
  <c r="CK40" i="65"/>
  <c r="CL40" i="65"/>
  <c r="CM40" i="65"/>
  <c r="CJ40" i="65"/>
  <c r="CH40" i="65"/>
  <c r="CI40" i="65"/>
  <c r="AB294" i="65"/>
  <c r="F254" i="65"/>
  <c r="F267" i="65"/>
  <c r="BU280" i="65"/>
  <c r="BQ280" i="65"/>
  <c r="BS280" i="65"/>
  <c r="BT280" i="65"/>
  <c r="BP280" i="65"/>
  <c r="BR280" i="65"/>
  <c r="E175" i="65"/>
  <c r="E188" i="65"/>
  <c r="AA215" i="65"/>
  <c r="BM201" i="65"/>
  <c r="BJ201" i="65"/>
  <c r="BK201" i="65"/>
  <c r="BO201" i="65"/>
  <c r="BL201" i="65"/>
  <c r="BN201" i="65"/>
  <c r="I252" i="65"/>
  <c r="I265" i="65"/>
  <c r="AE292" i="65"/>
  <c r="CH278" i="65"/>
  <c r="CL278" i="65"/>
  <c r="CI278" i="65"/>
  <c r="CM278" i="65"/>
  <c r="CJ278" i="65"/>
  <c r="CK278" i="65"/>
  <c r="F383" i="65"/>
  <c r="F370" i="65"/>
  <c r="E268" i="65"/>
  <c r="E255" i="65"/>
  <c r="AA295" i="65"/>
  <c r="BM281" i="65"/>
  <c r="BL281" i="65"/>
  <c r="BO281" i="65"/>
  <c r="BJ281" i="65"/>
  <c r="BN281" i="65"/>
  <c r="BK281" i="65"/>
  <c r="U34" i="52"/>
  <c r="AG294" i="65"/>
  <c r="K254" i="65"/>
  <c r="K267" i="65"/>
  <c r="CT280" i="65"/>
  <c r="CV280" i="65"/>
  <c r="CX280" i="65"/>
  <c r="CW280" i="65"/>
  <c r="CU280" i="65"/>
  <c r="CY280" i="65"/>
  <c r="T109" i="38"/>
  <c r="T103" i="38" s="1"/>
  <c r="U111" i="38"/>
  <c r="U114" i="38"/>
  <c r="F53" i="65"/>
  <c r="F66" i="65"/>
  <c r="S59" i="59"/>
  <c r="S56" i="59"/>
  <c r="S60" i="59" s="1"/>
  <c r="R54" i="59"/>
  <c r="R51" i="59" s="1"/>
  <c r="D119" i="65"/>
  <c r="D159" i="65" s="1"/>
  <c r="I370" i="65"/>
  <c r="I383" i="65"/>
  <c r="H202" i="65"/>
  <c r="H242" i="65" s="1"/>
  <c r="D143" i="65"/>
  <c r="D130" i="65"/>
  <c r="AB375" i="65"/>
  <c r="F335" i="65"/>
  <c r="F348" i="65"/>
  <c r="BR361" i="65"/>
  <c r="BP361" i="65"/>
  <c r="BT361" i="65"/>
  <c r="BS361" i="65"/>
  <c r="BU361" i="65"/>
  <c r="BQ361" i="65"/>
  <c r="AC372" i="65"/>
  <c r="G345" i="65"/>
  <c r="G332" i="65"/>
  <c r="BV358" i="65"/>
  <c r="BZ358" i="65"/>
  <c r="BY358" i="65"/>
  <c r="CA358" i="65"/>
  <c r="BX358" i="65"/>
  <c r="BW358" i="65"/>
  <c r="J225" i="65"/>
  <c r="J212" i="65"/>
  <c r="AD215" i="65"/>
  <c r="H175" i="65"/>
  <c r="H188" i="65"/>
  <c r="CB201" i="65"/>
  <c r="CE201" i="65"/>
  <c r="CG201" i="65"/>
  <c r="CC201" i="65"/>
  <c r="CF201" i="65"/>
  <c r="CD201" i="65"/>
  <c r="F212" i="65"/>
  <c r="F225" i="65"/>
  <c r="G122" i="65"/>
  <c r="G162" i="65" s="1"/>
  <c r="U64" i="38"/>
  <c r="U67" i="38"/>
  <c r="D162" i="63"/>
  <c r="AF131" i="65"/>
  <c r="J104" i="65"/>
  <c r="J91" i="65"/>
  <c r="CO117" i="65"/>
  <c r="CP117" i="65"/>
  <c r="CN117" i="65"/>
  <c r="CS117" i="65"/>
  <c r="CQ117" i="65"/>
  <c r="CR117" i="65"/>
  <c r="AF50" i="65"/>
  <c r="J23" i="65"/>
  <c r="J10" i="65"/>
  <c r="CP36" i="65"/>
  <c r="CO36" i="65"/>
  <c r="CS36" i="65"/>
  <c r="CN36" i="65"/>
  <c r="CR36" i="65"/>
  <c r="CQ36" i="65"/>
  <c r="G13" i="65"/>
  <c r="AC53" i="65"/>
  <c r="G26" i="65"/>
  <c r="BZ39" i="65"/>
  <c r="CA39" i="65"/>
  <c r="BY39" i="65"/>
  <c r="BW39" i="65"/>
  <c r="BV39" i="65"/>
  <c r="BX39" i="65"/>
  <c r="J16" i="65"/>
  <c r="AF56" i="65"/>
  <c r="J29" i="65"/>
  <c r="CR42" i="65"/>
  <c r="CN42" i="65"/>
  <c r="CP42" i="65"/>
  <c r="CQ42" i="65"/>
  <c r="CO42" i="65"/>
  <c r="CS42" i="65"/>
  <c r="L252" i="65"/>
  <c r="L265" i="65"/>
  <c r="AH292" i="65"/>
  <c r="DD278" i="65"/>
  <c r="DE278" i="65"/>
  <c r="DB278" i="65"/>
  <c r="DC278" i="65"/>
  <c r="CZ278" i="65"/>
  <c r="DA278" i="65"/>
  <c r="G187" i="65"/>
  <c r="AC214" i="65"/>
  <c r="G174" i="65"/>
  <c r="CA200" i="65"/>
  <c r="BV200" i="65"/>
  <c r="BX200" i="65"/>
  <c r="BY200" i="65"/>
  <c r="BW200" i="65"/>
  <c r="BZ200" i="65"/>
  <c r="L360" i="65"/>
  <c r="L400" i="65" s="1"/>
  <c r="I384" i="65"/>
  <c r="I371" i="65"/>
  <c r="S12" i="59"/>
  <c r="S15" i="59" s="1"/>
  <c r="R10" i="59"/>
  <c r="R7" i="59" s="1"/>
  <c r="S14" i="59"/>
  <c r="V112" i="38"/>
  <c r="V115" i="38"/>
  <c r="D147" i="65"/>
  <c r="D134" i="65"/>
  <c r="H384" i="65"/>
  <c r="H371" i="65"/>
  <c r="E263" i="65"/>
  <c r="E250" i="65"/>
  <c r="AA290" i="65"/>
  <c r="BO276" i="65"/>
  <c r="BM276" i="65"/>
  <c r="BK276" i="65"/>
  <c r="BN276" i="65"/>
  <c r="BL276" i="65"/>
  <c r="BJ276" i="65"/>
  <c r="E253" i="65"/>
  <c r="E266" i="65"/>
  <c r="AA293" i="65"/>
  <c r="BM279" i="65"/>
  <c r="BK279" i="65"/>
  <c r="BN279" i="65"/>
  <c r="BO279" i="65"/>
  <c r="BJ279" i="65"/>
  <c r="BL279" i="65"/>
  <c r="D121" i="64"/>
  <c r="D129" i="64" s="1"/>
  <c r="D147" i="61"/>
  <c r="D174" i="65"/>
  <c r="Z214" i="65"/>
  <c r="D187" i="65"/>
  <c r="BH200" i="65"/>
  <c r="BI200" i="65"/>
  <c r="BE200" i="65"/>
  <c r="BG200" i="65"/>
  <c r="BF200" i="65"/>
  <c r="BD200" i="65"/>
  <c r="O99" i="46"/>
  <c r="O96" i="46" s="1"/>
  <c r="P101" i="46"/>
  <c r="P105" i="46" s="1"/>
  <c r="P104" i="46"/>
  <c r="R19" i="59"/>
  <c r="R19" i="46"/>
  <c r="S13" i="33"/>
  <c r="S7" i="33" s="1"/>
  <c r="T15" i="33"/>
  <c r="T18" i="33" s="1"/>
  <c r="T17" i="33"/>
  <c r="AG214" i="65"/>
  <c r="K187" i="65"/>
  <c r="K174" i="65"/>
  <c r="CX200" i="65"/>
  <c r="CT200" i="65"/>
  <c r="CU200" i="65"/>
  <c r="CW200" i="65"/>
  <c r="CV200" i="65"/>
  <c r="CY200" i="65"/>
  <c r="H333" i="65"/>
  <c r="AD373" i="65"/>
  <c r="H346" i="65"/>
  <c r="CD359" i="65"/>
  <c r="CB359" i="65"/>
  <c r="CE359" i="65"/>
  <c r="CF359" i="65"/>
  <c r="CG359" i="65"/>
  <c r="CC359" i="65"/>
  <c r="C67" i="61"/>
  <c r="D67" i="61" s="1"/>
  <c r="D65" i="61"/>
  <c r="D63" i="61"/>
  <c r="D66" i="61"/>
  <c r="L36" i="65"/>
  <c r="L76" i="65" s="1"/>
  <c r="G175" i="65"/>
  <c r="AC215" i="65"/>
  <c r="G188" i="65"/>
  <c r="BW201" i="65"/>
  <c r="BZ201" i="65"/>
  <c r="BX201" i="65"/>
  <c r="BY201" i="65"/>
  <c r="CA201" i="65"/>
  <c r="BV201" i="65"/>
  <c r="E37" i="65"/>
  <c r="E77" i="65" s="1"/>
  <c r="S61" i="38"/>
  <c r="S55" i="38" s="1"/>
  <c r="T63" i="38"/>
  <c r="T66" i="38"/>
  <c r="U79" i="38"/>
  <c r="T77" i="38"/>
  <c r="T71" i="38" s="1"/>
  <c r="U82" i="38"/>
  <c r="D13" i="65"/>
  <c r="Z53" i="65"/>
  <c r="D26" i="65"/>
  <c r="BF39" i="65"/>
  <c r="BE39" i="65"/>
  <c r="BD39" i="65"/>
  <c r="BG39" i="65"/>
  <c r="BI39" i="65"/>
  <c r="BH39" i="65"/>
  <c r="AB50" i="65"/>
  <c r="F23" i="65"/>
  <c r="F10" i="65"/>
  <c r="BS36" i="65"/>
  <c r="BQ36" i="65"/>
  <c r="BT36" i="65"/>
  <c r="BU36" i="65"/>
  <c r="BR36" i="65"/>
  <c r="BP36" i="65"/>
  <c r="K10" i="65"/>
  <c r="AG50" i="65"/>
  <c r="K23" i="65"/>
  <c r="CX36" i="65"/>
  <c r="CY36" i="65"/>
  <c r="CT36" i="65"/>
  <c r="CU36" i="65"/>
  <c r="CV36" i="65"/>
  <c r="CW36" i="65"/>
  <c r="D29" i="65"/>
  <c r="D16" i="65"/>
  <c r="Z56" i="65"/>
  <c r="BF42" i="65"/>
  <c r="BG42" i="65"/>
  <c r="BD42" i="65"/>
  <c r="BH42" i="65"/>
  <c r="BI42" i="65"/>
  <c r="BE42" i="65"/>
  <c r="AH213" i="65"/>
  <c r="L173" i="65"/>
  <c r="L186" i="65"/>
  <c r="DD199" i="65"/>
  <c r="DB199" i="65"/>
  <c r="DE199" i="65"/>
  <c r="DC199" i="65"/>
  <c r="CZ199" i="65"/>
  <c r="DA199" i="65"/>
  <c r="W47" i="38"/>
  <c r="V45" i="38"/>
  <c r="V39" i="38" s="1"/>
  <c r="W50" i="38"/>
  <c r="AC294" i="65"/>
  <c r="G267" i="65"/>
  <c r="G254" i="65"/>
  <c r="BV280" i="65"/>
  <c r="BW280" i="65"/>
  <c r="CA280" i="65"/>
  <c r="BZ280" i="65"/>
  <c r="BX280" i="65"/>
  <c r="BY280" i="65"/>
  <c r="O84" i="46"/>
  <c r="O81" i="46" s="1"/>
  <c r="P86" i="46"/>
  <c r="P90" i="46" s="1"/>
  <c r="P89" i="46"/>
  <c r="L50" i="65"/>
  <c r="L63" i="65"/>
  <c r="L149" i="65"/>
  <c r="L136" i="65"/>
  <c r="Q12" i="52"/>
  <c r="Q45" i="46"/>
  <c r="Z294" i="65"/>
  <c r="D254" i="65"/>
  <c r="D267" i="65"/>
  <c r="BH280" i="65"/>
  <c r="BG280" i="65"/>
  <c r="BF280" i="65"/>
  <c r="BD280" i="65"/>
  <c r="BE280" i="65"/>
  <c r="BI280" i="65"/>
  <c r="AB136" i="65"/>
  <c r="F96" i="65"/>
  <c r="F109" i="65"/>
  <c r="BQ122" i="65"/>
  <c r="BT122" i="65"/>
  <c r="BU122" i="65"/>
  <c r="BR122" i="65"/>
  <c r="BS122" i="65"/>
  <c r="BP122" i="65"/>
  <c r="AG131" i="65"/>
  <c r="K91" i="65"/>
  <c r="K104" i="65"/>
  <c r="CW117" i="65"/>
  <c r="CX117" i="65"/>
  <c r="CU117" i="65"/>
  <c r="CT117" i="65"/>
  <c r="CV117" i="65"/>
  <c r="CY117" i="65"/>
  <c r="AH293" i="65"/>
  <c r="L266" i="65"/>
  <c r="L253" i="65"/>
  <c r="DC279" i="65"/>
  <c r="DB279" i="65"/>
  <c r="DA279" i="65"/>
  <c r="DD279" i="65"/>
  <c r="DE279" i="65"/>
  <c r="CZ279" i="65"/>
  <c r="E106" i="65"/>
  <c r="E93" i="65"/>
  <c r="AA133" i="65"/>
  <c r="BM119" i="65"/>
  <c r="BO119" i="65"/>
  <c r="BJ119" i="65"/>
  <c r="BN119" i="65"/>
  <c r="BK119" i="65"/>
  <c r="BL119" i="65"/>
  <c r="I304" i="65"/>
  <c r="I291" i="65"/>
  <c r="S7" i="52"/>
  <c r="S79" i="46"/>
  <c r="S87" i="46" s="1"/>
  <c r="S109" i="46"/>
  <c r="S117" i="46" s="1"/>
  <c r="S49" i="46"/>
  <c r="S57" i="46" s="1"/>
  <c r="S23" i="52" s="1"/>
  <c r="S28" i="52" s="1"/>
  <c r="S64" i="46"/>
  <c r="S72" i="46" s="1"/>
  <c r="S94" i="46"/>
  <c r="S102" i="46" s="1"/>
  <c r="S34" i="46"/>
  <c r="S42" i="46" s="1"/>
  <c r="S22" i="52" s="1"/>
  <c r="S27" i="52" s="1"/>
  <c r="S27" i="46"/>
  <c r="S21" i="52" s="1"/>
  <c r="S26" i="52" s="1"/>
  <c r="K92" i="65"/>
  <c r="AG132" i="65"/>
  <c r="K105" i="65"/>
  <c r="CX118" i="65"/>
  <c r="CU118" i="65"/>
  <c r="CT118" i="65"/>
  <c r="CY118" i="65"/>
  <c r="CW118" i="65"/>
  <c r="CV118" i="65"/>
  <c r="K346" i="65"/>
  <c r="K333" i="65"/>
  <c r="AG373" i="65"/>
  <c r="CX359" i="65"/>
  <c r="CV359" i="65"/>
  <c r="CT359" i="65"/>
  <c r="CU359" i="65"/>
  <c r="CW359" i="65"/>
  <c r="CY359" i="65"/>
  <c r="H224" i="65"/>
  <c r="H211" i="65"/>
  <c r="AF372" i="65"/>
  <c r="J332" i="65"/>
  <c r="J345" i="65"/>
  <c r="CQ358" i="65"/>
  <c r="CN358" i="65"/>
  <c r="CR358" i="65"/>
  <c r="CO358" i="65"/>
  <c r="CP358" i="65"/>
  <c r="CS358" i="65"/>
  <c r="G120" i="65"/>
  <c r="G160" i="65" s="1"/>
  <c r="H130" i="65"/>
  <c r="H143" i="65"/>
  <c r="I174" i="65"/>
  <c r="I187" i="65"/>
  <c r="AE214" i="65"/>
  <c r="CI200" i="65"/>
  <c r="CJ200" i="65"/>
  <c r="CM200" i="65"/>
  <c r="CH200" i="65"/>
  <c r="CK200" i="65"/>
  <c r="CL200" i="65"/>
  <c r="V80" i="38"/>
  <c r="V83" i="38"/>
  <c r="J25" i="65"/>
  <c r="J12" i="65"/>
  <c r="AF52" i="65"/>
  <c r="CS38" i="65"/>
  <c r="CN38" i="65"/>
  <c r="CP38" i="65"/>
  <c r="CQ38" i="65"/>
  <c r="CR38" i="65"/>
  <c r="CO38" i="65"/>
  <c r="I28" i="65"/>
  <c r="AE55" i="65"/>
  <c r="I15" i="65"/>
  <c r="CI41" i="65"/>
  <c r="CL41" i="65"/>
  <c r="CK41" i="65"/>
  <c r="CH41" i="65"/>
  <c r="CJ41" i="65"/>
  <c r="CM41" i="65"/>
  <c r="AD53" i="65"/>
  <c r="H13" i="65"/>
  <c r="H26" i="65"/>
  <c r="CE39" i="65"/>
  <c r="CF39" i="65"/>
  <c r="CG39" i="65"/>
  <c r="CB39" i="65"/>
  <c r="CD39" i="65"/>
  <c r="CC39" i="65"/>
  <c r="AC56" i="65"/>
  <c r="G29" i="65"/>
  <c r="G16" i="65"/>
  <c r="BX42" i="65"/>
  <c r="BY42" i="65"/>
  <c r="CA42" i="65"/>
  <c r="BZ42" i="65"/>
  <c r="BV42" i="65"/>
  <c r="BW42" i="65"/>
  <c r="I255" i="65"/>
  <c r="I268" i="65"/>
  <c r="AE295" i="65"/>
  <c r="CM281" i="65"/>
  <c r="CH281" i="65"/>
  <c r="CJ281" i="65"/>
  <c r="CL281" i="65"/>
  <c r="CK281" i="65"/>
  <c r="CI281" i="65"/>
  <c r="X48" i="38"/>
  <c r="X51" i="38"/>
  <c r="E335" i="65"/>
  <c r="E348" i="65"/>
  <c r="AA375" i="65"/>
  <c r="BN361" i="65"/>
  <c r="BM361" i="65"/>
  <c r="BO361" i="65"/>
  <c r="BJ361" i="65"/>
  <c r="BL361" i="65"/>
  <c r="BK361" i="65"/>
  <c r="D173" i="65"/>
  <c r="Z213" i="65"/>
  <c r="D186" i="65"/>
  <c r="BG199" i="65"/>
  <c r="BD199" i="65"/>
  <c r="BF199" i="65"/>
  <c r="BE199" i="65"/>
  <c r="BH199" i="65"/>
  <c r="BI199" i="65"/>
  <c r="L387" i="65"/>
  <c r="L374" i="65"/>
  <c r="H389" i="65" l="1"/>
  <c r="G135" i="65"/>
  <c r="J370" i="65"/>
  <c r="J371" i="65"/>
  <c r="L371" i="65"/>
  <c r="G216" i="65"/>
  <c r="F296" i="65"/>
  <c r="F304" i="65"/>
  <c r="G384" i="65"/>
  <c r="E38" i="65"/>
  <c r="E78" i="65" s="1"/>
  <c r="F356" i="65"/>
  <c r="F396" i="65" s="1"/>
  <c r="J277" i="65"/>
  <c r="J317" i="65" s="1"/>
  <c r="E277" i="65"/>
  <c r="E317" i="65" s="1"/>
  <c r="I356" i="65"/>
  <c r="I396" i="65" s="1"/>
  <c r="G118" i="65"/>
  <c r="G158" i="65" s="1"/>
  <c r="K212" i="65"/>
  <c r="D144" i="65"/>
  <c r="H356" i="65"/>
  <c r="H396" i="65" s="1"/>
  <c r="L356" i="65"/>
  <c r="L396" i="65" s="1"/>
  <c r="H196" i="65"/>
  <c r="H236" i="65" s="1"/>
  <c r="G196" i="65"/>
  <c r="G236" i="65" s="1"/>
  <c r="F202" i="65"/>
  <c r="F242" i="65" s="1"/>
  <c r="D196" i="65"/>
  <c r="D236" i="65" s="1"/>
  <c r="E282" i="65"/>
  <c r="E322" i="65" s="1"/>
  <c r="D296" i="65"/>
  <c r="F389" i="65"/>
  <c r="I389" i="65"/>
  <c r="K196" i="65"/>
  <c r="K236" i="65" s="1"/>
  <c r="H383" i="65"/>
  <c r="L41" i="65"/>
  <c r="L81" i="65" s="1"/>
  <c r="D117" i="65"/>
  <c r="D157" i="65" s="1"/>
  <c r="D225" i="65"/>
  <c r="J224" i="65"/>
  <c r="E196" i="65"/>
  <c r="E236" i="65" s="1"/>
  <c r="J196" i="65"/>
  <c r="J236" i="65" s="1"/>
  <c r="L117" i="65"/>
  <c r="L157" i="65" s="1"/>
  <c r="J282" i="65"/>
  <c r="J322" i="65" s="1"/>
  <c r="D389" i="65"/>
  <c r="L133" i="65"/>
  <c r="H131" i="65"/>
  <c r="L202" i="65"/>
  <c r="L242" i="65" s="1"/>
  <c r="I196" i="65"/>
  <c r="I236" i="65" s="1"/>
  <c r="H198" i="65"/>
  <c r="H238" i="65" s="1"/>
  <c r="L357" i="65"/>
  <c r="L397" i="65" s="1"/>
  <c r="H212" i="65"/>
  <c r="G117" i="65"/>
  <c r="G157" i="65" s="1"/>
  <c r="K224" i="65"/>
  <c r="L282" i="65"/>
  <c r="L322" i="65" s="1"/>
  <c r="G282" i="65"/>
  <c r="G322" i="65" s="1"/>
  <c r="D121" i="65"/>
  <c r="D161" i="65" s="1"/>
  <c r="F362" i="65"/>
  <c r="F402" i="65" s="1"/>
  <c r="I197" i="65"/>
  <c r="I237" i="65" s="1"/>
  <c r="H357" i="65"/>
  <c r="H397" i="65" s="1"/>
  <c r="L197" i="65"/>
  <c r="L237" i="65" s="1"/>
  <c r="H197" i="65"/>
  <c r="H237" i="65" s="1"/>
  <c r="G202" i="65"/>
  <c r="G242" i="65" s="1"/>
  <c r="E362" i="65"/>
  <c r="E402" i="65" s="1"/>
  <c r="K202" i="65"/>
  <c r="K242" i="65" s="1"/>
  <c r="H132" i="65"/>
  <c r="K277" i="65"/>
  <c r="K317" i="65" s="1"/>
  <c r="D277" i="65"/>
  <c r="D317" i="65" s="1"/>
  <c r="H362" i="65"/>
  <c r="H402" i="65" s="1"/>
  <c r="J357" i="65"/>
  <c r="J397" i="65" s="1"/>
  <c r="L362" i="65"/>
  <c r="L402" i="65" s="1"/>
  <c r="E376" i="65"/>
  <c r="D357" i="65"/>
  <c r="D397" i="65" s="1"/>
  <c r="E384" i="65"/>
  <c r="L376" i="65"/>
  <c r="I223" i="65"/>
  <c r="H223" i="65"/>
  <c r="F197" i="65"/>
  <c r="F237" i="65" s="1"/>
  <c r="D202" i="65"/>
  <c r="D242" i="65" s="1"/>
  <c r="K356" i="65"/>
  <c r="K396" i="65" s="1"/>
  <c r="D198" i="65"/>
  <c r="D238" i="65" s="1"/>
  <c r="J202" i="65"/>
  <c r="J242" i="65" s="1"/>
  <c r="L277" i="65"/>
  <c r="L317" i="65" s="1"/>
  <c r="G291" i="65"/>
  <c r="L225" i="65"/>
  <c r="F39" i="65"/>
  <c r="F79" i="65" s="1"/>
  <c r="H117" i="65"/>
  <c r="H157" i="65" s="1"/>
  <c r="G198" i="65"/>
  <c r="G238" i="65" s="1"/>
  <c r="E197" i="65"/>
  <c r="E237" i="65" s="1"/>
  <c r="E357" i="65"/>
  <c r="E397" i="65" s="1"/>
  <c r="K197" i="65"/>
  <c r="K237" i="65" s="1"/>
  <c r="F277" i="65"/>
  <c r="F317" i="65" s="1"/>
  <c r="I202" i="65"/>
  <c r="I242" i="65" s="1"/>
  <c r="F282" i="65"/>
  <c r="F322" i="65" s="1"/>
  <c r="I357" i="65"/>
  <c r="I397" i="65" s="1"/>
  <c r="G296" i="65"/>
  <c r="D148" i="65"/>
  <c r="H309" i="65"/>
  <c r="K383" i="65"/>
  <c r="D282" i="65"/>
  <c r="D322" i="65" s="1"/>
  <c r="G277" i="65"/>
  <c r="G317" i="65" s="1"/>
  <c r="G121" i="65"/>
  <c r="G161" i="65" s="1"/>
  <c r="F211" i="65"/>
  <c r="J197" i="65"/>
  <c r="J237" i="65" s="1"/>
  <c r="D356" i="65"/>
  <c r="D396" i="65" s="1"/>
  <c r="H118" i="65"/>
  <c r="H158" i="65" s="1"/>
  <c r="H282" i="65"/>
  <c r="H322" i="65" s="1"/>
  <c r="L198" i="65"/>
  <c r="L238" i="65" s="1"/>
  <c r="D362" i="65"/>
  <c r="D402" i="65" s="1"/>
  <c r="G357" i="65"/>
  <c r="G397" i="65" s="1"/>
  <c r="L118" i="65"/>
  <c r="L158" i="65" s="1"/>
  <c r="L119" i="65"/>
  <c r="L159" i="65" s="1"/>
  <c r="L145" i="65"/>
  <c r="D118" i="65"/>
  <c r="D158" i="65" s="1"/>
  <c r="K357" i="65"/>
  <c r="K397" i="65" s="1"/>
  <c r="I278" i="65"/>
  <c r="I318" i="65" s="1"/>
  <c r="G39" i="65"/>
  <c r="G79" i="65" s="1"/>
  <c r="H358" i="65"/>
  <c r="H398" i="65" s="1"/>
  <c r="K38" i="65"/>
  <c r="K78" i="65" s="1"/>
  <c r="F278" i="65"/>
  <c r="F318" i="65" s="1"/>
  <c r="K116" i="65"/>
  <c r="K156" i="65" s="1"/>
  <c r="J281" i="65"/>
  <c r="J321" i="65" s="1"/>
  <c r="I280" i="65"/>
  <c r="I320" i="65" s="1"/>
  <c r="K280" i="65"/>
  <c r="K320" i="65" s="1"/>
  <c r="K122" i="65"/>
  <c r="K162" i="65" s="1"/>
  <c r="K358" i="65"/>
  <c r="K398" i="65" s="1"/>
  <c r="L37" i="65"/>
  <c r="L77" i="65" s="1"/>
  <c r="I358" i="65"/>
  <c r="I398" i="65" s="1"/>
  <c r="K120" i="65"/>
  <c r="K160" i="65" s="1"/>
  <c r="H37" i="65"/>
  <c r="H77" i="65" s="1"/>
  <c r="G358" i="65"/>
  <c r="G398" i="65" s="1"/>
  <c r="E201" i="65"/>
  <c r="E241" i="65" s="1"/>
  <c r="L280" i="65"/>
  <c r="L320" i="65" s="1"/>
  <c r="E41" i="65"/>
  <c r="E81" i="65" s="1"/>
  <c r="G41" i="65"/>
  <c r="G81" i="65" s="1"/>
  <c r="F358" i="65"/>
  <c r="F398" i="65" s="1"/>
  <c r="G201" i="65"/>
  <c r="G241" i="65" s="1"/>
  <c r="F119" i="65"/>
  <c r="F159" i="65" s="1"/>
  <c r="J37" i="65"/>
  <c r="J77" i="65" s="1"/>
  <c r="K36" i="65"/>
  <c r="K76" i="65" s="1"/>
  <c r="D358" i="65"/>
  <c r="D398" i="65" s="1"/>
  <c r="I41" i="65"/>
  <c r="I81" i="65" s="1"/>
  <c r="G38" i="65"/>
  <c r="G78" i="65" s="1"/>
  <c r="F122" i="65"/>
  <c r="F162" i="65" s="1"/>
  <c r="D213" i="65"/>
  <c r="D226" i="65"/>
  <c r="E375" i="65"/>
  <c r="E388" i="65"/>
  <c r="K144" i="65"/>
  <c r="K131" i="65"/>
  <c r="J69" i="65"/>
  <c r="J56" i="65"/>
  <c r="E308" i="65"/>
  <c r="E295" i="65"/>
  <c r="D281" i="65"/>
  <c r="D321" i="65" s="1"/>
  <c r="G226" i="65"/>
  <c r="G213" i="65"/>
  <c r="J388" i="65"/>
  <c r="J375" i="65"/>
  <c r="I387" i="65"/>
  <c r="I374" i="65"/>
  <c r="F293" i="65"/>
  <c r="F306" i="65"/>
  <c r="J278" i="65"/>
  <c r="J318" i="65" s="1"/>
  <c r="F67" i="65"/>
  <c r="F54" i="65"/>
  <c r="D386" i="65"/>
  <c r="D373" i="65"/>
  <c r="I361" i="65"/>
  <c r="I401" i="65" s="1"/>
  <c r="L200" i="65"/>
  <c r="L240" i="65" s="1"/>
  <c r="H50" i="65"/>
  <c r="H63" i="65"/>
  <c r="K306" i="65"/>
  <c r="K293" i="65"/>
  <c r="E372" i="65"/>
  <c r="E385" i="65"/>
  <c r="J199" i="65"/>
  <c r="J239" i="65" s="1"/>
  <c r="G360" i="65"/>
  <c r="G400" i="65" s="1"/>
  <c r="S93" i="38"/>
  <c r="S87" i="38" s="1"/>
  <c r="T95" i="38"/>
  <c r="T98" i="38"/>
  <c r="H54" i="65"/>
  <c r="H67" i="65"/>
  <c r="K130" i="65"/>
  <c r="K143" i="65"/>
  <c r="E226" i="65"/>
  <c r="E213" i="65"/>
  <c r="L201" i="65"/>
  <c r="L241" i="65" s="1"/>
  <c r="S117" i="59"/>
  <c r="H361" i="65"/>
  <c r="H401" i="65" s="1"/>
  <c r="N99" i="46"/>
  <c r="N96" i="46" s="1"/>
  <c r="O101" i="46"/>
  <c r="O105" i="46" s="1"/>
  <c r="O104" i="46"/>
  <c r="L278" i="65"/>
  <c r="L318" i="65" s="1"/>
  <c r="H215" i="65"/>
  <c r="H228" i="65"/>
  <c r="I292" i="65"/>
  <c r="I305" i="65"/>
  <c r="F52" i="65"/>
  <c r="F65" i="65"/>
  <c r="G279" i="65"/>
  <c r="G319" i="65" s="1"/>
  <c r="D292" i="65"/>
  <c r="D305" i="65"/>
  <c r="E200" i="65"/>
  <c r="E240" i="65" s="1"/>
  <c r="F386" i="65"/>
  <c r="F373" i="65"/>
  <c r="J360" i="65"/>
  <c r="J400" i="65" s="1"/>
  <c r="I119" i="65"/>
  <c r="I159" i="65" s="1"/>
  <c r="J40" i="65"/>
  <c r="J80" i="65" s="1"/>
  <c r="K65" i="65"/>
  <c r="K52" i="65"/>
  <c r="J41" i="65"/>
  <c r="J81" i="65" s="1"/>
  <c r="H279" i="65"/>
  <c r="H319" i="65" s="1"/>
  <c r="D81" i="61"/>
  <c r="D204" i="61"/>
  <c r="D87" i="61" s="1"/>
  <c r="D102" i="64" s="1"/>
  <c r="D104" i="64" s="1"/>
  <c r="F145" i="65"/>
  <c r="F132" i="65"/>
  <c r="E75" i="64"/>
  <c r="K281" i="65"/>
  <c r="K321" i="65" s="1"/>
  <c r="J147" i="65"/>
  <c r="J134" i="65"/>
  <c r="R14" i="59"/>
  <c r="Q10" i="59"/>
  <c r="Q7" i="59" s="1"/>
  <c r="R12" i="59"/>
  <c r="R15" i="59" s="1"/>
  <c r="R56" i="59"/>
  <c r="R60" i="59" s="1"/>
  <c r="Q54" i="59"/>
  <c r="Q51" i="59" s="1"/>
  <c r="R59" i="59"/>
  <c r="I40" i="65"/>
  <c r="I80" i="65" s="1"/>
  <c r="G292" i="65"/>
  <c r="G305" i="65"/>
  <c r="J280" i="65"/>
  <c r="J320" i="65" s="1"/>
  <c r="J214" i="65"/>
  <c r="J227" i="65"/>
  <c r="F147" i="65"/>
  <c r="F134" i="65"/>
  <c r="R29" i="59"/>
  <c r="R26" i="59"/>
  <c r="R30" i="59" s="1"/>
  <c r="Q24" i="59"/>
  <c r="Q21" i="59" s="1"/>
  <c r="F133" i="65"/>
  <c r="F146" i="65"/>
  <c r="I148" i="65"/>
  <c r="I135" i="65"/>
  <c r="J53" i="65"/>
  <c r="J66" i="65"/>
  <c r="I388" i="65"/>
  <c r="I375" i="65"/>
  <c r="G361" i="65"/>
  <c r="G401" i="65" s="1"/>
  <c r="I118" i="65"/>
  <c r="I158" i="65" s="1"/>
  <c r="J201" i="65"/>
  <c r="J241" i="65" s="1"/>
  <c r="C196" i="63"/>
  <c r="D36" i="65"/>
  <c r="D76" i="65" s="1"/>
  <c r="F200" i="65"/>
  <c r="F240" i="65" s="1"/>
  <c r="D109" i="64"/>
  <c r="E120" i="65"/>
  <c r="E160" i="65" s="1"/>
  <c r="F69" i="65"/>
  <c r="F56" i="65"/>
  <c r="L51" i="65"/>
  <c r="L64" i="65"/>
  <c r="R116" i="59"/>
  <c r="R120" i="59" s="1"/>
  <c r="Q114" i="59"/>
  <c r="Q111" i="59" s="1"/>
  <c r="R119" i="59"/>
  <c r="H52" i="65"/>
  <c r="H65" i="65"/>
  <c r="E305" i="65"/>
  <c r="E292" i="65"/>
  <c r="L56" i="65"/>
  <c r="L69" i="65"/>
  <c r="F290" i="65"/>
  <c r="F303" i="65"/>
  <c r="E293" i="65"/>
  <c r="AU253" i="65"/>
  <c r="AU319" i="65"/>
  <c r="E306" i="65"/>
  <c r="J50" i="65"/>
  <c r="J63" i="65"/>
  <c r="F148" i="65"/>
  <c r="F135" i="65"/>
  <c r="J276" i="65"/>
  <c r="J316" i="65" s="1"/>
  <c r="J279" i="65"/>
  <c r="J319" i="65" s="1"/>
  <c r="K278" i="65"/>
  <c r="K318" i="65" s="1"/>
  <c r="U43" i="33"/>
  <c r="U37" i="33" s="1"/>
  <c r="V45" i="33"/>
  <c r="V48" i="33" s="1"/>
  <c r="V47" i="33"/>
  <c r="I117" i="65"/>
  <c r="I157" i="65" s="1"/>
  <c r="I37" i="65"/>
  <c r="I77" i="65" s="1"/>
  <c r="I359" i="65"/>
  <c r="I399" i="65" s="1"/>
  <c r="E54" i="65"/>
  <c r="E67" i="65"/>
  <c r="L227" i="65"/>
  <c r="L214" i="65"/>
  <c r="K374" i="65"/>
  <c r="K387" i="65"/>
  <c r="G295" i="65"/>
  <c r="G308" i="65"/>
  <c r="I147" i="65"/>
  <c r="I134" i="65"/>
  <c r="D38" i="65"/>
  <c r="D78" i="65" s="1"/>
  <c r="F116" i="65"/>
  <c r="F156" i="65" s="1"/>
  <c r="D68" i="65"/>
  <c r="D55" i="65"/>
  <c r="I276" i="65"/>
  <c r="I316" i="65" s="1"/>
  <c r="J121" i="65"/>
  <c r="J161" i="65" s="1"/>
  <c r="K276" i="65"/>
  <c r="K316" i="65" s="1"/>
  <c r="F360" i="65"/>
  <c r="F400" i="65" s="1"/>
  <c r="K200" i="65"/>
  <c r="K240" i="65" s="1"/>
  <c r="D387" i="65"/>
  <c r="D374" i="65"/>
  <c r="J292" i="65"/>
  <c r="J305" i="65"/>
  <c r="G54" i="65"/>
  <c r="G67" i="65"/>
  <c r="J306" i="65"/>
  <c r="J293" i="65"/>
  <c r="F308" i="65"/>
  <c r="F295" i="65"/>
  <c r="H295" i="65"/>
  <c r="H308" i="65"/>
  <c r="E131" i="65"/>
  <c r="E144" i="65"/>
  <c r="F51" i="65"/>
  <c r="F64" i="65"/>
  <c r="C135" i="61"/>
  <c r="D120" i="64" s="1"/>
  <c r="D128" i="64" s="1"/>
  <c r="C134" i="61"/>
  <c r="D119" i="64" s="1"/>
  <c r="D127" i="64" s="1"/>
  <c r="D118" i="64"/>
  <c r="D126" i="64" s="1"/>
  <c r="J226" i="65"/>
  <c r="J213" i="65"/>
  <c r="C55" i="64"/>
  <c r="E53" i="64"/>
  <c r="L40" i="65"/>
  <c r="L80" i="65" s="1"/>
  <c r="I39" i="65"/>
  <c r="I79" i="65" s="1"/>
  <c r="F223" i="65"/>
  <c r="F210" i="65"/>
  <c r="E69" i="65"/>
  <c r="E56" i="65"/>
  <c r="D39" i="65"/>
  <c r="D79" i="65" s="1"/>
  <c r="G280" i="65"/>
  <c r="G320" i="65" s="1"/>
  <c r="K63" i="65"/>
  <c r="K50" i="65"/>
  <c r="D200" i="65"/>
  <c r="D240" i="65" s="1"/>
  <c r="F41" i="65"/>
  <c r="F81" i="65" s="1"/>
  <c r="D295" i="65"/>
  <c r="D308" i="65"/>
  <c r="I50" i="65"/>
  <c r="I63" i="65"/>
  <c r="F199" i="65"/>
  <c r="F239" i="65" s="1"/>
  <c r="L276" i="65"/>
  <c r="L316" i="65" s="1"/>
  <c r="J374" i="65"/>
  <c r="J387" i="65"/>
  <c r="I386" i="65"/>
  <c r="I373" i="65"/>
  <c r="G36" i="65"/>
  <c r="G76" i="65" s="1"/>
  <c r="J215" i="65"/>
  <c r="J228" i="65"/>
  <c r="H293" i="65"/>
  <c r="H306" i="65"/>
  <c r="C41" i="64"/>
  <c r="E41" i="64" s="1"/>
  <c r="C40" i="64"/>
  <c r="E39" i="64"/>
  <c r="L54" i="65"/>
  <c r="L67" i="65"/>
  <c r="E122" i="65"/>
  <c r="E162" i="65" s="1"/>
  <c r="F143" i="65"/>
  <c r="AV90" i="65"/>
  <c r="F130" i="65"/>
  <c r="I290" i="65"/>
  <c r="I303" i="65"/>
  <c r="K66" i="65"/>
  <c r="K53" i="65"/>
  <c r="S60" i="33"/>
  <c r="S63" i="33" s="1"/>
  <c r="R58" i="33"/>
  <c r="R52" i="33" s="1"/>
  <c r="S62" i="33"/>
  <c r="J358" i="65"/>
  <c r="J398" i="65" s="1"/>
  <c r="K359" i="65"/>
  <c r="K399" i="65" s="1"/>
  <c r="G69" i="65"/>
  <c r="G56" i="65"/>
  <c r="I200" i="65"/>
  <c r="I240" i="65" s="1"/>
  <c r="L293" i="65"/>
  <c r="L306" i="65"/>
  <c r="E276" i="65"/>
  <c r="E316" i="65" s="1"/>
  <c r="L292" i="65"/>
  <c r="L305" i="65"/>
  <c r="I54" i="65"/>
  <c r="I67" i="65"/>
  <c r="J294" i="65"/>
  <c r="J307" i="65"/>
  <c r="E116" i="65"/>
  <c r="E156" i="65" s="1"/>
  <c r="K385" i="65"/>
  <c r="K372" i="65"/>
  <c r="E227" i="65"/>
  <c r="E214" i="65"/>
  <c r="K361" i="65"/>
  <c r="K401" i="65" s="1"/>
  <c r="D201" i="65"/>
  <c r="D241" i="65" s="1"/>
  <c r="E121" i="65"/>
  <c r="E161" i="65" s="1"/>
  <c r="I144" i="65"/>
  <c r="I131" i="65"/>
  <c r="E68" i="65"/>
  <c r="E55" i="65"/>
  <c r="K37" i="65"/>
  <c r="K77" i="65" s="1"/>
  <c r="E307" i="65"/>
  <c r="E294" i="65"/>
  <c r="D50" i="65"/>
  <c r="D63" i="65"/>
  <c r="AT63" i="65"/>
  <c r="G451" i="65"/>
  <c r="AV52" i="65" s="1"/>
  <c r="O71" i="46"/>
  <c r="O75" i="46" s="1"/>
  <c r="N69" i="46"/>
  <c r="N66" i="46" s="1"/>
  <c r="O74" i="46"/>
  <c r="F227" i="65"/>
  <c r="F214" i="65"/>
  <c r="G387" i="65"/>
  <c r="G374" i="65"/>
  <c r="K201" i="65"/>
  <c r="K241" i="65" s="1"/>
  <c r="L281" i="65"/>
  <c r="L321" i="65" s="1"/>
  <c r="E36" i="65"/>
  <c r="E76" i="65" s="1"/>
  <c r="J135" i="65"/>
  <c r="J148" i="65"/>
  <c r="K308" i="65"/>
  <c r="K295" i="65"/>
  <c r="H278" i="65"/>
  <c r="H318" i="65" s="1"/>
  <c r="J51" i="65"/>
  <c r="J64" i="65"/>
  <c r="I68" i="65"/>
  <c r="I55" i="65"/>
  <c r="J385" i="65"/>
  <c r="J372" i="65"/>
  <c r="K386" i="65"/>
  <c r="K373" i="65"/>
  <c r="E119" i="65"/>
  <c r="E159" i="65" s="1"/>
  <c r="F36" i="65"/>
  <c r="F76" i="65" s="1"/>
  <c r="D66" i="65"/>
  <c r="D53" i="65"/>
  <c r="G200" i="65"/>
  <c r="G240" i="65" s="1"/>
  <c r="J117" i="65"/>
  <c r="J157" i="65" s="1"/>
  <c r="G463" i="65"/>
  <c r="AV103" i="65" s="1"/>
  <c r="F280" i="65"/>
  <c r="F320" i="65" s="1"/>
  <c r="I201" i="65"/>
  <c r="I241" i="65" s="1"/>
  <c r="J303" i="65"/>
  <c r="J290" i="65"/>
  <c r="I146" i="65"/>
  <c r="I133" i="65"/>
  <c r="J54" i="65"/>
  <c r="J67" i="65"/>
  <c r="R131" i="59"/>
  <c r="R129" i="59"/>
  <c r="R132" i="59" s="1"/>
  <c r="Q127" i="59"/>
  <c r="Q124" i="59" s="1"/>
  <c r="K305" i="65"/>
  <c r="K292" i="65"/>
  <c r="H276" i="65"/>
  <c r="H316" i="65" s="1"/>
  <c r="H385" i="65"/>
  <c r="H372" i="65"/>
  <c r="G388" i="65"/>
  <c r="G375" i="65"/>
  <c r="I279" i="65"/>
  <c r="I319" i="65" s="1"/>
  <c r="G55" i="65"/>
  <c r="G68" i="65"/>
  <c r="L38" i="65"/>
  <c r="L78" i="65" s="1"/>
  <c r="K199" i="65"/>
  <c r="K239" i="65" s="1"/>
  <c r="E134" i="65"/>
  <c r="E147" i="65"/>
  <c r="J116" i="65"/>
  <c r="J156" i="65" s="1"/>
  <c r="F372" i="65"/>
  <c r="F385" i="65"/>
  <c r="K41" i="65"/>
  <c r="K81" i="65" s="1"/>
  <c r="D59" i="64"/>
  <c r="D77" i="64" s="1"/>
  <c r="D134" i="64"/>
  <c r="D135" i="64"/>
  <c r="D143" i="64" s="1"/>
  <c r="D141" i="64"/>
  <c r="M56" i="64"/>
  <c r="L56" i="64"/>
  <c r="Q56" i="64"/>
  <c r="P56" i="64"/>
  <c r="O56" i="64"/>
  <c r="N56" i="64"/>
  <c r="L39" i="65"/>
  <c r="L79" i="65" s="1"/>
  <c r="J308" i="65"/>
  <c r="J295" i="65"/>
  <c r="E39" i="65"/>
  <c r="E79" i="65" s="1"/>
  <c r="L228" i="65"/>
  <c r="L215" i="65"/>
  <c r="K290" i="65"/>
  <c r="K303" i="65"/>
  <c r="K119" i="65"/>
  <c r="K159" i="65" s="1"/>
  <c r="K214" i="65"/>
  <c r="K227" i="65"/>
  <c r="K307" i="65"/>
  <c r="K294" i="65"/>
  <c r="AT345" i="65"/>
  <c r="D372" i="65"/>
  <c r="D385" i="65"/>
  <c r="G293" i="65"/>
  <c r="G306" i="65"/>
  <c r="K40" i="65"/>
  <c r="K80" i="65" s="1"/>
  <c r="J359" i="65"/>
  <c r="J399" i="65" s="1"/>
  <c r="E118" i="65"/>
  <c r="E158" i="65" s="1"/>
  <c r="I385" i="65"/>
  <c r="I372" i="65"/>
  <c r="P11" i="52"/>
  <c r="P30" i="46"/>
  <c r="J68" i="65"/>
  <c r="J55" i="65"/>
  <c r="G63" i="65"/>
  <c r="G50" i="65"/>
  <c r="G464" i="65"/>
  <c r="AU213" i="65" s="1"/>
  <c r="C121" i="61"/>
  <c r="D110" i="64"/>
  <c r="D153" i="63"/>
  <c r="C121" i="64"/>
  <c r="AT38" i="65"/>
  <c r="D65" i="65"/>
  <c r="D52" i="65"/>
  <c r="W32" i="38"/>
  <c r="W35" i="38"/>
  <c r="C86" i="64"/>
  <c r="E108" i="64"/>
  <c r="H200" i="65"/>
  <c r="H240" i="65" s="1"/>
  <c r="H375" i="65"/>
  <c r="H388" i="65"/>
  <c r="I281" i="65"/>
  <c r="I321" i="65" s="1"/>
  <c r="G215" i="65"/>
  <c r="G228" i="65"/>
  <c r="H39" i="65"/>
  <c r="H79" i="65" s="1"/>
  <c r="F149" i="65"/>
  <c r="F136" i="65"/>
  <c r="D42" i="65"/>
  <c r="D82" i="65" s="1"/>
  <c r="H359" i="65"/>
  <c r="H399" i="65" s="1"/>
  <c r="D214" i="65"/>
  <c r="D227" i="65"/>
  <c r="G66" i="65"/>
  <c r="G53" i="65"/>
  <c r="F361" i="65"/>
  <c r="F401" i="65" s="1"/>
  <c r="F68" i="65"/>
  <c r="F55" i="65"/>
  <c r="F226" i="65"/>
  <c r="F213" i="65"/>
  <c r="AV186" i="65"/>
  <c r="D37" i="65"/>
  <c r="D77" i="65" s="1"/>
  <c r="D359" i="65"/>
  <c r="D399" i="65" s="1"/>
  <c r="N24" i="46"/>
  <c r="N21" i="46" s="1"/>
  <c r="O26" i="46"/>
  <c r="O29" i="46"/>
  <c r="H303" i="65"/>
  <c r="H290" i="65"/>
  <c r="F201" i="65"/>
  <c r="F241" i="65" s="1"/>
  <c r="I64" i="65"/>
  <c r="I51" i="65"/>
  <c r="I145" i="65"/>
  <c r="I132" i="65"/>
  <c r="K147" i="65"/>
  <c r="K134" i="65"/>
  <c r="I199" i="65"/>
  <c r="I239" i="65" s="1"/>
  <c r="I42" i="65"/>
  <c r="I82" i="65" s="1"/>
  <c r="E358" i="65"/>
  <c r="E398" i="65" s="1"/>
  <c r="K226" i="65"/>
  <c r="K213" i="65"/>
  <c r="T105" i="33"/>
  <c r="T108" i="33" s="1"/>
  <c r="S103" i="33"/>
  <c r="S97" i="33" s="1"/>
  <c r="T107" i="33"/>
  <c r="H64" i="65"/>
  <c r="H51" i="65"/>
  <c r="L358" i="65"/>
  <c r="L398" i="65" s="1"/>
  <c r="U29" i="38"/>
  <c r="U23" i="38" s="1"/>
  <c r="V31" i="38"/>
  <c r="V34" i="38"/>
  <c r="F305" i="65"/>
  <c r="F292" i="65"/>
  <c r="E149" i="64"/>
  <c r="C133" i="64"/>
  <c r="C151" i="64"/>
  <c r="Q39" i="59"/>
  <c r="Q36" i="59" s="1"/>
  <c r="R41" i="59"/>
  <c r="R45" i="59" s="1"/>
  <c r="R44" i="59"/>
  <c r="H40" i="65"/>
  <c r="H80" i="65" s="1"/>
  <c r="I53" i="65"/>
  <c r="I66" i="65"/>
  <c r="N10" i="46"/>
  <c r="N7" i="46" s="1"/>
  <c r="O12" i="46"/>
  <c r="O15" i="46" s="1"/>
  <c r="O14" i="46"/>
  <c r="H199" i="65"/>
  <c r="H239" i="65" s="1"/>
  <c r="H305" i="65"/>
  <c r="H292" i="65"/>
  <c r="G359" i="65"/>
  <c r="G399" i="65" s="1"/>
  <c r="K117" i="65"/>
  <c r="K157" i="65" s="1"/>
  <c r="E143" i="65"/>
  <c r="AU143" i="65"/>
  <c r="AU116" i="65"/>
  <c r="AU130" i="65"/>
  <c r="E130" i="65"/>
  <c r="AU156" i="65"/>
  <c r="AU90" i="65"/>
  <c r="AU103" i="65"/>
  <c r="J373" i="65"/>
  <c r="J386" i="65"/>
  <c r="D215" i="65"/>
  <c r="D228" i="65"/>
  <c r="G468" i="65"/>
  <c r="AT399" i="65" s="1"/>
  <c r="K136" i="65"/>
  <c r="K149" i="65"/>
  <c r="S75" i="33"/>
  <c r="S78" i="33" s="1"/>
  <c r="R73" i="33"/>
  <c r="R67" i="33" s="1"/>
  <c r="S77" i="33"/>
  <c r="R74" i="59"/>
  <c r="R71" i="59"/>
  <c r="R75" i="59" s="1"/>
  <c r="Q69" i="59"/>
  <c r="Q66" i="59" s="1"/>
  <c r="H42" i="65"/>
  <c r="H82" i="65" s="1"/>
  <c r="E360" i="65"/>
  <c r="E400" i="65" s="1"/>
  <c r="D146" i="61"/>
  <c r="D145" i="61"/>
  <c r="J143" i="65"/>
  <c r="J130" i="65"/>
  <c r="I38" i="65"/>
  <c r="I78" i="65" s="1"/>
  <c r="D276" i="65"/>
  <c r="D316" i="65" s="1"/>
  <c r="K68" i="65"/>
  <c r="K55" i="65"/>
  <c r="I122" i="65"/>
  <c r="I162" i="65" s="1"/>
  <c r="J122" i="65"/>
  <c r="J162" i="65" s="1"/>
  <c r="H41" i="65"/>
  <c r="H81" i="65" s="1"/>
  <c r="E199" i="65"/>
  <c r="E239" i="65" s="1"/>
  <c r="S27" i="59"/>
  <c r="F374" i="65"/>
  <c r="F387" i="65"/>
  <c r="K133" i="65"/>
  <c r="K146" i="65"/>
  <c r="H360" i="65"/>
  <c r="H400" i="65" s="1"/>
  <c r="G42" i="65"/>
  <c r="G82" i="65" s="1"/>
  <c r="L213" i="65"/>
  <c r="L226" i="65"/>
  <c r="G294" i="65"/>
  <c r="G307" i="65"/>
  <c r="I295" i="65"/>
  <c r="I308" i="65"/>
  <c r="W48" i="38"/>
  <c r="W51" i="38"/>
  <c r="D69" i="65"/>
  <c r="D56" i="65"/>
  <c r="T79" i="38"/>
  <c r="S77" i="38"/>
  <c r="S71" i="38" s="1"/>
  <c r="T82" i="38"/>
  <c r="Q19" i="59"/>
  <c r="Q19" i="46"/>
  <c r="S15" i="33"/>
  <c r="S18" i="33" s="1"/>
  <c r="R13" i="33"/>
  <c r="R7" i="33" s="1"/>
  <c r="S17" i="33"/>
  <c r="J36" i="65"/>
  <c r="J76" i="65" s="1"/>
  <c r="E215" i="65"/>
  <c r="E228" i="65"/>
  <c r="AU188" i="65"/>
  <c r="AU201" i="65"/>
  <c r="AU241" i="65"/>
  <c r="AU215" i="65"/>
  <c r="F38" i="65"/>
  <c r="F78" i="65" s="1"/>
  <c r="D72" i="64"/>
  <c r="D66" i="64"/>
  <c r="D67" i="64" s="1"/>
  <c r="D57" i="64"/>
  <c r="G199" i="65"/>
  <c r="G239" i="65" s="1"/>
  <c r="I294" i="65"/>
  <c r="I307" i="65"/>
  <c r="I215" i="65"/>
  <c r="I228" i="65"/>
  <c r="AT64" i="65"/>
  <c r="AT24" i="65"/>
  <c r="D51" i="65"/>
  <c r="AT77" i="65"/>
  <c r="AT37" i="65"/>
  <c r="AT11" i="65"/>
  <c r="D64" i="65"/>
  <c r="AT51" i="65"/>
  <c r="AU145" i="65"/>
  <c r="E145" i="65"/>
  <c r="E132" i="65"/>
  <c r="D279" i="65"/>
  <c r="D319" i="65" s="1"/>
  <c r="F228" i="65"/>
  <c r="F215" i="65"/>
  <c r="AV228" i="65"/>
  <c r="AV215" i="65"/>
  <c r="AV188" i="65"/>
  <c r="AV175" i="65"/>
  <c r="AV241" i="65"/>
  <c r="G276" i="65"/>
  <c r="G316" i="65" s="1"/>
  <c r="L359" i="65"/>
  <c r="L399" i="65" s="1"/>
  <c r="H36" i="65"/>
  <c r="H76" i="65" s="1"/>
  <c r="K279" i="65"/>
  <c r="K319" i="65" s="1"/>
  <c r="G281" i="65"/>
  <c r="G321" i="65" s="1"/>
  <c r="E149" i="65"/>
  <c r="E136" i="65"/>
  <c r="C89" i="63"/>
  <c r="C88" i="63"/>
  <c r="L295" i="65"/>
  <c r="L308" i="65"/>
  <c r="P13" i="52"/>
  <c r="P60" i="46"/>
  <c r="H227" i="65"/>
  <c r="H214" i="65"/>
  <c r="E53" i="65"/>
  <c r="E66" i="65"/>
  <c r="AU26" i="65"/>
  <c r="AU79" i="65"/>
  <c r="AU39" i="65"/>
  <c r="AU13" i="65"/>
  <c r="S72" i="59"/>
  <c r="Q99" i="59"/>
  <c r="Q96" i="59" s="1"/>
  <c r="R104" i="59"/>
  <c r="R101" i="59"/>
  <c r="R105" i="59" s="1"/>
  <c r="K132" i="65"/>
  <c r="K145" i="65"/>
  <c r="D294" i="65"/>
  <c r="D307" i="65"/>
  <c r="S33" i="52"/>
  <c r="J38" i="65"/>
  <c r="J78" i="65" s="1"/>
  <c r="D280" i="65"/>
  <c r="D320" i="65" s="1"/>
  <c r="L199" i="65"/>
  <c r="L239" i="65" s="1"/>
  <c r="U80" i="38"/>
  <c r="U83" i="38"/>
  <c r="R7" i="52"/>
  <c r="R49" i="46"/>
  <c r="R57" i="46" s="1"/>
  <c r="R23" i="52" s="1"/>
  <c r="R28" i="52" s="1"/>
  <c r="R109" i="46"/>
  <c r="R117" i="46" s="1"/>
  <c r="R64" i="46"/>
  <c r="R72" i="46" s="1"/>
  <c r="R94" i="46"/>
  <c r="R102" i="46" s="1"/>
  <c r="R79" i="46"/>
  <c r="R87" i="46" s="1"/>
  <c r="R34" i="46"/>
  <c r="R42" i="46" s="1"/>
  <c r="R22" i="52" s="1"/>
  <c r="R27" i="52" s="1"/>
  <c r="R27" i="46"/>
  <c r="R21" i="52" s="1"/>
  <c r="R26" i="52" s="1"/>
  <c r="E290" i="65"/>
  <c r="E303" i="65"/>
  <c r="J131" i="65"/>
  <c r="J144" i="65"/>
  <c r="E281" i="65"/>
  <c r="E321" i="65" s="1"/>
  <c r="E359" i="65"/>
  <c r="E399" i="65" s="1"/>
  <c r="J200" i="65"/>
  <c r="J240" i="65" s="1"/>
  <c r="K54" i="65"/>
  <c r="K67" i="65"/>
  <c r="I360" i="65"/>
  <c r="I400" i="65" s="1"/>
  <c r="L361" i="65"/>
  <c r="L401" i="65" s="1"/>
  <c r="K388" i="65"/>
  <c r="K375" i="65"/>
  <c r="F40" i="65"/>
  <c r="F80" i="65" s="1"/>
  <c r="K42" i="65"/>
  <c r="K82" i="65" s="1"/>
  <c r="S90" i="33"/>
  <c r="S93" i="33" s="1"/>
  <c r="R88" i="33"/>
  <c r="R82" i="33" s="1"/>
  <c r="S92" i="33"/>
  <c r="I226" i="65"/>
  <c r="I213" i="65"/>
  <c r="I120" i="65"/>
  <c r="I160" i="65" s="1"/>
  <c r="K228" i="65"/>
  <c r="K215" i="65"/>
  <c r="R89" i="59"/>
  <c r="R86" i="59"/>
  <c r="R90" i="59" s="1"/>
  <c r="Q84" i="59"/>
  <c r="Q81" i="59" s="1"/>
  <c r="O56" i="46"/>
  <c r="N54" i="46"/>
  <c r="N51" i="46" s="1"/>
  <c r="O59" i="46"/>
  <c r="I136" i="65"/>
  <c r="I149" i="65"/>
  <c r="L42" i="65"/>
  <c r="L82" i="65" s="1"/>
  <c r="AU50" i="65"/>
  <c r="AU36" i="65"/>
  <c r="E63" i="65"/>
  <c r="AU23" i="65"/>
  <c r="E50" i="65"/>
  <c r="AU63" i="65"/>
  <c r="AU10" i="65"/>
  <c r="AU76" i="65"/>
  <c r="D361" i="65"/>
  <c r="D401" i="65" s="1"/>
  <c r="J149" i="65"/>
  <c r="J136" i="65"/>
  <c r="J120" i="65"/>
  <c r="J160" i="65" s="1"/>
  <c r="O129" i="46"/>
  <c r="O132" i="46" s="1"/>
  <c r="N127" i="46"/>
  <c r="N124" i="46" s="1"/>
  <c r="O131" i="46"/>
  <c r="S87" i="59"/>
  <c r="S32" i="52"/>
  <c r="S29" i="52"/>
  <c r="S35" i="52" s="1"/>
  <c r="E146" i="65"/>
  <c r="E133" i="65"/>
  <c r="V47" i="38"/>
  <c r="U45" i="38"/>
  <c r="U39" i="38" s="1"/>
  <c r="V50" i="38"/>
  <c r="R109" i="59"/>
  <c r="R117" i="59" s="1"/>
  <c r="R34" i="59"/>
  <c r="R49" i="59"/>
  <c r="R79" i="59"/>
  <c r="R64" i="59"/>
  <c r="R94" i="59"/>
  <c r="G227" i="65"/>
  <c r="G214" i="65"/>
  <c r="J42" i="65"/>
  <c r="J82" i="65" s="1"/>
  <c r="G278" i="65"/>
  <c r="G318" i="65" s="1"/>
  <c r="I36" i="65"/>
  <c r="I76" i="65" s="1"/>
  <c r="G52" i="65"/>
  <c r="G65" i="65"/>
  <c r="AW52" i="65"/>
  <c r="AW65" i="65"/>
  <c r="AW25" i="65"/>
  <c r="AW78" i="65"/>
  <c r="AW12" i="65"/>
  <c r="AW38" i="65"/>
  <c r="L303" i="65"/>
  <c r="L290" i="65"/>
  <c r="D278" i="65"/>
  <c r="D318" i="65" s="1"/>
  <c r="O116" i="46"/>
  <c r="O120" i="46" s="1"/>
  <c r="N114" i="46"/>
  <c r="N111" i="46" s="1"/>
  <c r="O119" i="46"/>
  <c r="G40" i="65"/>
  <c r="G80" i="65" s="1"/>
  <c r="F359" i="65"/>
  <c r="F399" i="65" s="1"/>
  <c r="E135" i="65"/>
  <c r="E148" i="65"/>
  <c r="P12" i="52"/>
  <c r="P45" i="46"/>
  <c r="L373" i="65"/>
  <c r="L386" i="65"/>
  <c r="H56" i="65"/>
  <c r="H69" i="65"/>
  <c r="E117" i="65"/>
  <c r="E157" i="65" s="1"/>
  <c r="AU400" i="65"/>
  <c r="E387" i="65"/>
  <c r="E374" i="65"/>
  <c r="I69" i="65"/>
  <c r="I56" i="65"/>
  <c r="L52" i="65"/>
  <c r="L65" i="65"/>
  <c r="U28" i="33"/>
  <c r="U22" i="33" s="1"/>
  <c r="V30" i="33"/>
  <c r="V33" i="33" s="1"/>
  <c r="V32" i="33"/>
  <c r="S8" i="52"/>
  <c r="S34" i="52" s="1"/>
  <c r="U16" i="38"/>
  <c r="U19" i="38"/>
  <c r="I65" i="65"/>
  <c r="I52" i="65"/>
  <c r="AY65" i="65"/>
  <c r="AY52" i="65"/>
  <c r="AY12" i="65"/>
  <c r="AY25" i="65"/>
  <c r="AY38" i="65"/>
  <c r="AY78" i="65"/>
  <c r="G37" i="65"/>
  <c r="G77" i="65" s="1"/>
  <c r="H38" i="65"/>
  <c r="H78" i="65" s="1"/>
  <c r="C129" i="63"/>
  <c r="D84" i="63"/>
  <c r="C150" i="64"/>
  <c r="E150" i="64" s="1"/>
  <c r="D170" i="63"/>
  <c r="D146" i="63"/>
  <c r="D147" i="63" s="1"/>
  <c r="D149" i="63" s="1"/>
  <c r="D159" i="63"/>
  <c r="C216" i="63"/>
  <c r="C136" i="63"/>
  <c r="C117" i="64" s="1"/>
  <c r="C125" i="64" s="1"/>
  <c r="C133" i="63"/>
  <c r="C137" i="63"/>
  <c r="C130" i="63"/>
  <c r="D160" i="63"/>
  <c r="D161" i="63"/>
  <c r="D67" i="63"/>
  <c r="C69" i="63"/>
  <c r="D69" i="63" s="1"/>
  <c r="D68" i="63"/>
  <c r="D64" i="63"/>
  <c r="D66" i="63"/>
  <c r="F118" i="65"/>
  <c r="F158" i="65" s="1"/>
  <c r="K39" i="65"/>
  <c r="K79" i="65" s="1"/>
  <c r="L66" i="65"/>
  <c r="L53" i="65"/>
  <c r="H226" i="65"/>
  <c r="H213" i="65"/>
  <c r="S102" i="59"/>
  <c r="H374" i="65"/>
  <c r="H387" i="65"/>
  <c r="G372" i="65"/>
  <c r="G385" i="65"/>
  <c r="E361" i="65"/>
  <c r="E401" i="65" s="1"/>
  <c r="D199" i="65"/>
  <c r="D239" i="65" s="1"/>
  <c r="L279" i="65"/>
  <c r="L319" i="65" s="1"/>
  <c r="T64" i="38"/>
  <c r="T67" i="38"/>
  <c r="H386" i="65"/>
  <c r="H373" i="65"/>
  <c r="E279" i="65"/>
  <c r="E319" i="65" s="1"/>
  <c r="H201" i="65"/>
  <c r="H241" i="65" s="1"/>
  <c r="AV348" i="65"/>
  <c r="F375" i="65"/>
  <c r="F388" i="65"/>
  <c r="U112" i="38"/>
  <c r="U115" i="38"/>
  <c r="F307" i="65"/>
  <c r="F294" i="65"/>
  <c r="J361" i="65"/>
  <c r="J401" i="65" s="1"/>
  <c r="L307" i="65"/>
  <c r="L294" i="65"/>
  <c r="F279" i="65"/>
  <c r="F319" i="65" s="1"/>
  <c r="F120" i="65"/>
  <c r="F160" i="65" s="1"/>
  <c r="L375" i="65"/>
  <c r="L388" i="65"/>
  <c r="J39" i="65"/>
  <c r="J79" i="65" s="1"/>
  <c r="D293" i="65"/>
  <c r="D306" i="65"/>
  <c r="AT279" i="65"/>
  <c r="AT319" i="65"/>
  <c r="AT293" i="65"/>
  <c r="H280" i="65"/>
  <c r="H320" i="65" s="1"/>
  <c r="K69" i="65"/>
  <c r="K56" i="65"/>
  <c r="G290" i="65"/>
  <c r="G303" i="65"/>
  <c r="N39" i="46"/>
  <c r="N36" i="46" s="1"/>
  <c r="O41" i="46"/>
  <c r="O44" i="46"/>
  <c r="I293" i="65"/>
  <c r="I306" i="65"/>
  <c r="K64" i="65"/>
  <c r="K51" i="65"/>
  <c r="F281" i="65"/>
  <c r="F321" i="65" s="1"/>
  <c r="H281" i="65"/>
  <c r="H321" i="65" s="1"/>
  <c r="S13" i="38"/>
  <c r="S7" i="38" s="1"/>
  <c r="T15" i="38"/>
  <c r="T18" i="38"/>
  <c r="F42" i="65"/>
  <c r="F82" i="65" s="1"/>
  <c r="AT303" i="65"/>
  <c r="AT276" i="65"/>
  <c r="D290" i="65"/>
  <c r="D303" i="65"/>
  <c r="G467" i="65"/>
  <c r="AT252" i="65" s="1"/>
  <c r="L385" i="65"/>
  <c r="L372" i="65"/>
  <c r="E278" i="65"/>
  <c r="E318" i="65" s="1"/>
  <c r="D41" i="65"/>
  <c r="D81" i="65" s="1"/>
  <c r="F196" i="65"/>
  <c r="F236" i="65" s="1"/>
  <c r="F276" i="65"/>
  <c r="F316" i="65" s="1"/>
  <c r="S57" i="59"/>
  <c r="C84" i="61"/>
  <c r="C85" i="61"/>
  <c r="I227" i="65"/>
  <c r="I214" i="65"/>
  <c r="K118" i="65"/>
  <c r="K158" i="65" s="1"/>
  <c r="H66" i="65"/>
  <c r="H53" i="65"/>
  <c r="AX26" i="65"/>
  <c r="AX66" i="65"/>
  <c r="AX39" i="65"/>
  <c r="AX53" i="65"/>
  <c r="AX79" i="65"/>
  <c r="AX13" i="65"/>
  <c r="J65" i="65"/>
  <c r="J52" i="65"/>
  <c r="O86" i="46"/>
  <c r="O90" i="46" s="1"/>
  <c r="N84" i="46"/>
  <c r="N81" i="46" s="1"/>
  <c r="O89" i="46"/>
  <c r="AV36" i="65"/>
  <c r="AV10" i="65"/>
  <c r="AV50" i="65"/>
  <c r="F63" i="65"/>
  <c r="F50" i="65"/>
  <c r="AV63" i="65"/>
  <c r="AV23" i="65"/>
  <c r="AV76" i="65"/>
  <c r="R61" i="38"/>
  <c r="R55" i="38" s="1"/>
  <c r="S63" i="38"/>
  <c r="S66" i="38"/>
  <c r="T111" i="38"/>
  <c r="S109" i="38"/>
  <c r="S103" i="38" s="1"/>
  <c r="T114" i="38"/>
  <c r="AU386" i="65"/>
  <c r="E373" i="65"/>
  <c r="E386" i="65"/>
  <c r="D360" i="65"/>
  <c r="D400" i="65" s="1"/>
  <c r="F121" i="65"/>
  <c r="F161" i="65" s="1"/>
  <c r="I121" i="65"/>
  <c r="I161" i="65" s="1"/>
  <c r="H307" i="65"/>
  <c r="H294" i="65"/>
  <c r="E40" i="65"/>
  <c r="E80" i="65" s="1"/>
  <c r="K360" i="65"/>
  <c r="K400" i="65" s="1"/>
  <c r="E280" i="65"/>
  <c r="E320" i="65" s="1"/>
  <c r="F37" i="65"/>
  <c r="F77" i="65" s="1"/>
  <c r="C58" i="64"/>
  <c r="G51" i="65"/>
  <c r="G64" i="65"/>
  <c r="AW11" i="65"/>
  <c r="AW77" i="65"/>
  <c r="AW64" i="65"/>
  <c r="AW24" i="65"/>
  <c r="AW37" i="65"/>
  <c r="AW51" i="65"/>
  <c r="U96" i="38"/>
  <c r="U99" i="38"/>
  <c r="D388" i="65"/>
  <c r="D375" i="65"/>
  <c r="AT348" i="65"/>
  <c r="E42" i="65"/>
  <c r="E82" i="65" s="1"/>
  <c r="H55" i="65"/>
  <c r="H68" i="65"/>
  <c r="AW333" i="65"/>
  <c r="G373" i="65"/>
  <c r="AW359" i="65"/>
  <c r="G386" i="65"/>
  <c r="S42" i="59"/>
  <c r="AX81" i="65" l="1"/>
  <c r="AX28" i="65"/>
  <c r="AX15" i="65"/>
  <c r="AZ38" i="65"/>
  <c r="AZ52" i="65"/>
  <c r="AZ65" i="65"/>
  <c r="AX68" i="65"/>
  <c r="BA77" i="65"/>
  <c r="BA24" i="65"/>
  <c r="BB52" i="65"/>
  <c r="BA37" i="65"/>
  <c r="BA64" i="65"/>
  <c r="AZ12" i="65"/>
  <c r="AZ25" i="65"/>
  <c r="BB53" i="65"/>
  <c r="BB39" i="65"/>
  <c r="AY29" i="65"/>
  <c r="BA51" i="65"/>
  <c r="AY42" i="65"/>
  <c r="AX55" i="65"/>
  <c r="AX41" i="65"/>
  <c r="AX240" i="65"/>
  <c r="AT42" i="65"/>
  <c r="BA11" i="65"/>
  <c r="AT82" i="65"/>
  <c r="BA175" i="65"/>
  <c r="AZ78" i="65"/>
  <c r="AT16" i="65"/>
  <c r="AX360" i="65"/>
  <c r="BB66" i="65"/>
  <c r="AX56" i="65"/>
  <c r="AT188" i="65"/>
  <c r="AU53" i="65"/>
  <c r="AU66" i="65"/>
  <c r="AT215" i="65"/>
  <c r="AT228" i="65"/>
  <c r="AT175" i="65"/>
  <c r="AT214" i="65"/>
  <c r="AT187" i="65"/>
  <c r="AX347" i="65"/>
  <c r="AT29" i="65"/>
  <c r="AW214" i="65"/>
  <c r="BA241" i="65"/>
  <c r="AX187" i="65"/>
  <c r="AW240" i="65"/>
  <c r="BA201" i="65"/>
  <c r="AX200" i="65"/>
  <c r="AX174" i="65"/>
  <c r="AW200" i="65"/>
  <c r="AW174" i="65"/>
  <c r="AW227" i="65"/>
  <c r="BA215" i="65"/>
  <c r="AW187" i="65"/>
  <c r="BA228" i="65"/>
  <c r="AY175" i="65"/>
  <c r="AY214" i="65"/>
  <c r="AY188" i="65"/>
  <c r="BA188" i="65"/>
  <c r="AY174" i="65"/>
  <c r="AY239" i="65"/>
  <c r="AY215" i="65"/>
  <c r="AY227" i="65"/>
  <c r="AX173" i="65"/>
  <c r="AY173" i="65"/>
  <c r="AY228" i="65"/>
  <c r="AY200" i="65"/>
  <c r="AX239" i="65"/>
  <c r="AY199" i="65"/>
  <c r="AY187" i="65"/>
  <c r="AX186" i="65"/>
  <c r="AY186" i="65"/>
  <c r="AY240" i="65"/>
  <c r="AX213" i="65"/>
  <c r="AY226" i="65"/>
  <c r="AX227" i="65"/>
  <c r="AX199" i="65"/>
  <c r="AX226" i="65"/>
  <c r="AU95" i="65"/>
  <c r="AX280" i="65"/>
  <c r="AZ131" i="65"/>
  <c r="BA132" i="65"/>
  <c r="AU119" i="65"/>
  <c r="AZ144" i="65"/>
  <c r="AU118" i="65"/>
  <c r="AU148" i="65"/>
  <c r="AZ91" i="65"/>
  <c r="AZ117" i="65"/>
  <c r="AU121" i="65"/>
  <c r="AU108" i="65"/>
  <c r="AU106" i="65"/>
  <c r="AU146" i="65"/>
  <c r="AU135" i="65"/>
  <c r="AU161" i="65"/>
  <c r="BA159" i="65"/>
  <c r="BA146" i="65"/>
  <c r="BA145" i="65"/>
  <c r="BA119" i="65"/>
  <c r="AZ156" i="65"/>
  <c r="AZ103" i="65"/>
  <c r="BA158" i="65"/>
  <c r="AU136" i="65"/>
  <c r="AU105" i="65"/>
  <c r="BA133" i="65"/>
  <c r="BA106" i="65"/>
  <c r="BA92" i="65"/>
  <c r="AU132" i="65"/>
  <c r="AU122" i="65"/>
  <c r="BA105" i="65"/>
  <c r="AU133" i="65"/>
  <c r="BA118" i="65"/>
  <c r="AU93" i="65"/>
  <c r="AZ104" i="65"/>
  <c r="AU158" i="65"/>
  <c r="AY92" i="65"/>
  <c r="AU159" i="65"/>
  <c r="AZ157" i="65"/>
  <c r="AU92" i="65"/>
  <c r="AY132" i="65"/>
  <c r="BB226" i="65"/>
  <c r="AU228" i="65"/>
  <c r="AT174" i="65"/>
  <c r="AZ116" i="65"/>
  <c r="AT201" i="65"/>
  <c r="AT240" i="65"/>
  <c r="AZ90" i="65"/>
  <c r="AT241" i="65"/>
  <c r="AT39" i="65"/>
  <c r="AU117" i="65"/>
  <c r="AV226" i="65"/>
  <c r="AY158" i="65"/>
  <c r="AY145" i="65"/>
  <c r="AU268" i="65"/>
  <c r="BB199" i="65"/>
  <c r="BB239" i="65"/>
  <c r="BB173" i="65"/>
  <c r="AW263" i="65"/>
  <c r="AV334" i="65"/>
  <c r="AV373" i="65"/>
  <c r="AV254" i="65"/>
  <c r="AT294" i="65"/>
  <c r="AV374" i="65"/>
  <c r="AU318" i="65"/>
  <c r="AV266" i="65"/>
  <c r="R57" i="59"/>
  <c r="AT26" i="65"/>
  <c r="AU292" i="65"/>
  <c r="AT254" i="65"/>
  <c r="AV398" i="65"/>
  <c r="AT79" i="65"/>
  <c r="AV92" i="65"/>
  <c r="AT53" i="65"/>
  <c r="AT374" i="65"/>
  <c r="AV132" i="65"/>
  <c r="AU226" i="65"/>
  <c r="AX63" i="65"/>
  <c r="AU307" i="65"/>
  <c r="AU144" i="65"/>
  <c r="AV12" i="65"/>
  <c r="AX23" i="65"/>
  <c r="AU91" i="65"/>
  <c r="AU147" i="65"/>
  <c r="AU120" i="65"/>
  <c r="C92" i="63"/>
  <c r="C171" i="63" s="1"/>
  <c r="AU335" i="65"/>
  <c r="AU399" i="65"/>
  <c r="AX400" i="65"/>
  <c r="AV400" i="65"/>
  <c r="AV16" i="65"/>
  <c r="AV66" i="65"/>
  <c r="AU77" i="65"/>
  <c r="AV79" i="65"/>
  <c r="AU11" i="65"/>
  <c r="AV26" i="65"/>
  <c r="AU64" i="65"/>
  <c r="AV53" i="65"/>
  <c r="AT67" i="65"/>
  <c r="AT14" i="65"/>
  <c r="AU51" i="65"/>
  <c r="AT27" i="65"/>
  <c r="AU37" i="65"/>
  <c r="AT54" i="65"/>
  <c r="AU24" i="65"/>
  <c r="AT40" i="65"/>
  <c r="AU38" i="65"/>
  <c r="AT80" i="65"/>
  <c r="AU65" i="65"/>
  <c r="AU25" i="65"/>
  <c r="AU12" i="65"/>
  <c r="AU52" i="65"/>
  <c r="AU78" i="65"/>
  <c r="AV13" i="65"/>
  <c r="AV39" i="65"/>
  <c r="AU254" i="65"/>
  <c r="AT360" i="65"/>
  <c r="AU266" i="65"/>
  <c r="AU252" i="65"/>
  <c r="AV25" i="65"/>
  <c r="AX50" i="65"/>
  <c r="AU255" i="65"/>
  <c r="AV335" i="65"/>
  <c r="AU387" i="65"/>
  <c r="AV387" i="65"/>
  <c r="AT76" i="65"/>
  <c r="AT387" i="65"/>
  <c r="AU306" i="65"/>
  <c r="AU278" i="65"/>
  <c r="AV105" i="65"/>
  <c r="AV399" i="65"/>
  <c r="AV38" i="65"/>
  <c r="AU186" i="65"/>
  <c r="AU372" i="65"/>
  <c r="AV306" i="65"/>
  <c r="AU295" i="65"/>
  <c r="AU361" i="65"/>
  <c r="AU374" i="65"/>
  <c r="AT280" i="65"/>
  <c r="AT66" i="65"/>
  <c r="AT10" i="65"/>
  <c r="AU279" i="65"/>
  <c r="AV65" i="65"/>
  <c r="AV319" i="65"/>
  <c r="AU321" i="65"/>
  <c r="BB385" i="65"/>
  <c r="AV401" i="65"/>
  <c r="AX320" i="65"/>
  <c r="BB358" i="65"/>
  <c r="AT253" i="65"/>
  <c r="AV388" i="65"/>
  <c r="AU347" i="65"/>
  <c r="AV360" i="65"/>
  <c r="BB227" i="65"/>
  <c r="AW170" i="65"/>
  <c r="AT225" i="65"/>
  <c r="AT242" i="65"/>
  <c r="AU172" i="65"/>
  <c r="AW183" i="65"/>
  <c r="AU224" i="65"/>
  <c r="AT202" i="65"/>
  <c r="AT183" i="65"/>
  <c r="AU238" i="65"/>
  <c r="AW196" i="65"/>
  <c r="AU211" i="65"/>
  <c r="AT229" i="65"/>
  <c r="AT236" i="65"/>
  <c r="AU225" i="65"/>
  <c r="AU197" i="65"/>
  <c r="AU196" i="65"/>
  <c r="AT176" i="65"/>
  <c r="AT184" i="65"/>
  <c r="AU198" i="65"/>
  <c r="AU183" i="65"/>
  <c r="AT196" i="65"/>
  <c r="AW171" i="65"/>
  <c r="AV225" i="65"/>
  <c r="AU185" i="65"/>
  <c r="AU237" i="65"/>
  <c r="AT223" i="65"/>
  <c r="AW211" i="65"/>
  <c r="AV172" i="65"/>
  <c r="AU212" i="65"/>
  <c r="AU171" i="65"/>
  <c r="AU170" i="65"/>
  <c r="AT170" i="65"/>
  <c r="AX170" i="65"/>
  <c r="AV171" i="65"/>
  <c r="AT197" i="65"/>
  <c r="AV212" i="65"/>
  <c r="AU184" i="65"/>
  <c r="AU223" i="65"/>
  <c r="AX183" i="65"/>
  <c r="AV211" i="65"/>
  <c r="AT224" i="65"/>
  <c r="AV238" i="65"/>
  <c r="AU210" i="65"/>
  <c r="AW237" i="65"/>
  <c r="AX196" i="65"/>
  <c r="AT237" i="65"/>
  <c r="AV198" i="65"/>
  <c r="AU236" i="65"/>
  <c r="AW184" i="65"/>
  <c r="AV224" i="65"/>
  <c r="AT171" i="65"/>
  <c r="AV185" i="65"/>
  <c r="AW197" i="65"/>
  <c r="AX210" i="65"/>
  <c r="AV237" i="65"/>
  <c r="AT211" i="65"/>
  <c r="AT198" i="65"/>
  <c r="AW224" i="65"/>
  <c r="AX223" i="65"/>
  <c r="AV197" i="65"/>
  <c r="AW223" i="65"/>
  <c r="AT172" i="65"/>
  <c r="AX236" i="65"/>
  <c r="AV184" i="65"/>
  <c r="AT238" i="65"/>
  <c r="AT216" i="65"/>
  <c r="AW236" i="65"/>
  <c r="AT185" i="65"/>
  <c r="AW210" i="65"/>
  <c r="AT212" i="65"/>
  <c r="AT189" i="65"/>
  <c r="AT210" i="65"/>
  <c r="AT13" i="65"/>
  <c r="AV236" i="65"/>
  <c r="AU157" i="65"/>
  <c r="AU265" i="65"/>
  <c r="AV253" i="65"/>
  <c r="AU281" i="65"/>
  <c r="AT226" i="65"/>
  <c r="BB332" i="65"/>
  <c r="AV294" i="65"/>
  <c r="AV375" i="65"/>
  <c r="AW385" i="65"/>
  <c r="AU334" i="65"/>
  <c r="AV347" i="65"/>
  <c r="AV239" i="65"/>
  <c r="AT200" i="65"/>
  <c r="AW76" i="65"/>
  <c r="AT50" i="65"/>
  <c r="AT281" i="65"/>
  <c r="AV223" i="65"/>
  <c r="AT347" i="65"/>
  <c r="AU305" i="65"/>
  <c r="AT292" i="65"/>
  <c r="AU173" i="65"/>
  <c r="AU345" i="65"/>
  <c r="AV279" i="65"/>
  <c r="AU308" i="65"/>
  <c r="AT173" i="65"/>
  <c r="AU401" i="65"/>
  <c r="BB372" i="65"/>
  <c r="AW303" i="65"/>
  <c r="AT306" i="65"/>
  <c r="AV280" i="65"/>
  <c r="AW372" i="65"/>
  <c r="AV265" i="65"/>
  <c r="AV199" i="65"/>
  <c r="AT227" i="65"/>
  <c r="AW50" i="65"/>
  <c r="AT295" i="65"/>
  <c r="AV196" i="65"/>
  <c r="AV77" i="65"/>
  <c r="AT334" i="65"/>
  <c r="AV316" i="65"/>
  <c r="AT318" i="65"/>
  <c r="AU199" i="65"/>
  <c r="AU385" i="65"/>
  <c r="AT346" i="65"/>
  <c r="AV293" i="65"/>
  <c r="AT199" i="65"/>
  <c r="AV346" i="65"/>
  <c r="AW345" i="65"/>
  <c r="AU276" i="65"/>
  <c r="AV292" i="65"/>
  <c r="AX316" i="65"/>
  <c r="AW63" i="65"/>
  <c r="AT36" i="65"/>
  <c r="AT255" i="65"/>
  <c r="AV183" i="65"/>
  <c r="AV37" i="65"/>
  <c r="AU239" i="65"/>
  <c r="AU332" i="65"/>
  <c r="AT333" i="65"/>
  <c r="AT213" i="65"/>
  <c r="AT335" i="65"/>
  <c r="AW316" i="65"/>
  <c r="AT266" i="65"/>
  <c r="AV267" i="65"/>
  <c r="AX359" i="65"/>
  <c r="AW358" i="65"/>
  <c r="AU303" i="65"/>
  <c r="AX276" i="65"/>
  <c r="AV213" i="65"/>
  <c r="AT398" i="65"/>
  <c r="AV345" i="65"/>
  <c r="AT23" i="65"/>
  <c r="AT321" i="65"/>
  <c r="AV170" i="65"/>
  <c r="AV11" i="65"/>
  <c r="AU40" i="65"/>
  <c r="AV303" i="65"/>
  <c r="AW278" i="65"/>
  <c r="AU398" i="65"/>
  <c r="AT239" i="65"/>
  <c r="AY387" i="65"/>
  <c r="AW396" i="65"/>
  <c r="AW371" i="65"/>
  <c r="AU384" i="65"/>
  <c r="AV330" i="65"/>
  <c r="AX397" i="65"/>
  <c r="AW356" i="65"/>
  <c r="AW397" i="65"/>
  <c r="AT389" i="65"/>
  <c r="AV396" i="65"/>
  <c r="AX371" i="65"/>
  <c r="AU371" i="65"/>
  <c r="AV344" i="65"/>
  <c r="AW330" i="65"/>
  <c r="AU376" i="65"/>
  <c r="AW331" i="65"/>
  <c r="AU356" i="65"/>
  <c r="AT376" i="65"/>
  <c r="AV356" i="65"/>
  <c r="AX331" i="65"/>
  <c r="AV331" i="65"/>
  <c r="AW383" i="65"/>
  <c r="AU362" i="65"/>
  <c r="AW344" i="65"/>
  <c r="AU396" i="65"/>
  <c r="AT362" i="65"/>
  <c r="AT357" i="65"/>
  <c r="AU344" i="65"/>
  <c r="AV370" i="65"/>
  <c r="AX357" i="65"/>
  <c r="AV397" i="65"/>
  <c r="AW370" i="65"/>
  <c r="AU336" i="65"/>
  <c r="AW384" i="65"/>
  <c r="AU370" i="65"/>
  <c r="AT349" i="65"/>
  <c r="AT344" i="65"/>
  <c r="AU357" i="65"/>
  <c r="AV383" i="65"/>
  <c r="AX343" i="65"/>
  <c r="AV384" i="65"/>
  <c r="AU349" i="65"/>
  <c r="AU330" i="65"/>
  <c r="AT371" i="65"/>
  <c r="AV343" i="65"/>
  <c r="AW357" i="65"/>
  <c r="AX384" i="65"/>
  <c r="AX396" i="65"/>
  <c r="AV371" i="65"/>
  <c r="AU389" i="65"/>
  <c r="AU343" i="65"/>
  <c r="AX383" i="65"/>
  <c r="AV357" i="65"/>
  <c r="AU383" i="65"/>
  <c r="AT370" i="65"/>
  <c r="AX370" i="65"/>
  <c r="AU402" i="65"/>
  <c r="AT343" i="65"/>
  <c r="AT384" i="65"/>
  <c r="AX356" i="65"/>
  <c r="AT397" i="65"/>
  <c r="AW343" i="65"/>
  <c r="AX330" i="65"/>
  <c r="AT331" i="65"/>
  <c r="AT356" i="65"/>
  <c r="AT383" i="65"/>
  <c r="AT402" i="65"/>
  <c r="AT396" i="65"/>
  <c r="AU331" i="65"/>
  <c r="AT336" i="65"/>
  <c r="AT330" i="65"/>
  <c r="AU397" i="65"/>
  <c r="AX344" i="65"/>
  <c r="AU373" i="65"/>
  <c r="AW276" i="65"/>
  <c r="AV320" i="65"/>
  <c r="AX346" i="65"/>
  <c r="AW332" i="65"/>
  <c r="AU250" i="65"/>
  <c r="AV305" i="65"/>
  <c r="AX250" i="65"/>
  <c r="AT78" i="65"/>
  <c r="AW23" i="65"/>
  <c r="AT372" i="65"/>
  <c r="AV385" i="65"/>
  <c r="AU267" i="65"/>
  <c r="AU227" i="65"/>
  <c r="AV116" i="65"/>
  <c r="AV210" i="65"/>
  <c r="AV51" i="65"/>
  <c r="AU80" i="65"/>
  <c r="AV263" i="65"/>
  <c r="AW305" i="65"/>
  <c r="AU358" i="65"/>
  <c r="AT386" i="65"/>
  <c r="BB398" i="65"/>
  <c r="AW373" i="65"/>
  <c r="AY305" i="65"/>
  <c r="AT264" i="65"/>
  <c r="AW317" i="65"/>
  <c r="AW304" i="65"/>
  <c r="AT269" i="65"/>
  <c r="AU322" i="65"/>
  <c r="AT282" i="65"/>
  <c r="AU309" i="65"/>
  <c r="AT256" i="65"/>
  <c r="AV277" i="65"/>
  <c r="AW251" i="65"/>
  <c r="AU296" i="65"/>
  <c r="AT322" i="65"/>
  <c r="AU282" i="65"/>
  <c r="AT296" i="65"/>
  <c r="AV251" i="65"/>
  <c r="AU269" i="65"/>
  <c r="AU291" i="65"/>
  <c r="AT309" i="65"/>
  <c r="AV291" i="65"/>
  <c r="AV264" i="65"/>
  <c r="AW277" i="65"/>
  <c r="AT277" i="65"/>
  <c r="AU256" i="65"/>
  <c r="AU264" i="65"/>
  <c r="AT251" i="65"/>
  <c r="AV317" i="65"/>
  <c r="AU251" i="65"/>
  <c r="AU304" i="65"/>
  <c r="AT317" i="65"/>
  <c r="AU317" i="65"/>
  <c r="AW291" i="65"/>
  <c r="AV304" i="65"/>
  <c r="AT304" i="65"/>
  <c r="AU277" i="65"/>
  <c r="AW264" i="65"/>
  <c r="AT291" i="65"/>
  <c r="AW290" i="65"/>
  <c r="BB401" i="65"/>
  <c r="AV307" i="65"/>
  <c r="AX386" i="65"/>
  <c r="AW398" i="65"/>
  <c r="BB386" i="65"/>
  <c r="AU263" i="65"/>
  <c r="AX290" i="65"/>
  <c r="AT52" i="65"/>
  <c r="AW36" i="65"/>
  <c r="AT332" i="65"/>
  <c r="AV372" i="65"/>
  <c r="AU214" i="65"/>
  <c r="AV156" i="65"/>
  <c r="AT308" i="65"/>
  <c r="AV24" i="65"/>
  <c r="AU67" i="65"/>
  <c r="AV276" i="65"/>
  <c r="AW265" i="65"/>
  <c r="AT278" i="65"/>
  <c r="AT359" i="65"/>
  <c r="AT186" i="65"/>
  <c r="AT361" i="65"/>
  <c r="AT290" i="65"/>
  <c r="BB335" i="65"/>
  <c r="AX333" i="65"/>
  <c r="BB333" i="65"/>
  <c r="AU316" i="65"/>
  <c r="AV278" i="65"/>
  <c r="AX303" i="65"/>
  <c r="AV173" i="65"/>
  <c r="AT25" i="65"/>
  <c r="AV358" i="65"/>
  <c r="AU200" i="65"/>
  <c r="AT268" i="65"/>
  <c r="AV64" i="65"/>
  <c r="AU27" i="65"/>
  <c r="AV290" i="65"/>
  <c r="AW318" i="65"/>
  <c r="AT305" i="65"/>
  <c r="AT373" i="65"/>
  <c r="BB345" i="65"/>
  <c r="AW386" i="65"/>
  <c r="AT388" i="65"/>
  <c r="AU346" i="65"/>
  <c r="AT316" i="65"/>
  <c r="AW250" i="65"/>
  <c r="BB361" i="65"/>
  <c r="AX373" i="65"/>
  <c r="BB399" i="65"/>
  <c r="AT307" i="65"/>
  <c r="AY66" i="65"/>
  <c r="AV318" i="65"/>
  <c r="AX263" i="65"/>
  <c r="AT65" i="65"/>
  <c r="AW10" i="65"/>
  <c r="AV332" i="65"/>
  <c r="AV133" i="65"/>
  <c r="AW143" i="65"/>
  <c r="AT157" i="65"/>
  <c r="AV104" i="65"/>
  <c r="AW157" i="65"/>
  <c r="AT116" i="65"/>
  <c r="AX103" i="65"/>
  <c r="AW116" i="65"/>
  <c r="AT117" i="65"/>
  <c r="AV157" i="65"/>
  <c r="AW91" i="65"/>
  <c r="AX130" i="65"/>
  <c r="AV144" i="65"/>
  <c r="AX116" i="65"/>
  <c r="AV131" i="65"/>
  <c r="AX156" i="65"/>
  <c r="AV91" i="65"/>
  <c r="AT133" i="65"/>
  <c r="AT130" i="65"/>
  <c r="AT93" i="65"/>
  <c r="AX90" i="65"/>
  <c r="AT146" i="65"/>
  <c r="AT144" i="65"/>
  <c r="AT103" i="65"/>
  <c r="AT132" i="65"/>
  <c r="AT159" i="65"/>
  <c r="AT106" i="65"/>
  <c r="AT119" i="65"/>
  <c r="AT145" i="65"/>
  <c r="AT104" i="65"/>
  <c r="AW131" i="65"/>
  <c r="AW130" i="65"/>
  <c r="AT118" i="65"/>
  <c r="AW117" i="65"/>
  <c r="AT156" i="65"/>
  <c r="AW90" i="65"/>
  <c r="AT158" i="65"/>
  <c r="AW104" i="65"/>
  <c r="AT131" i="65"/>
  <c r="AT105" i="65"/>
  <c r="AT90" i="65"/>
  <c r="AW103" i="65"/>
  <c r="AT91" i="65"/>
  <c r="AT92" i="65"/>
  <c r="AV117" i="65"/>
  <c r="AT143" i="65"/>
  <c r="AX143" i="65"/>
  <c r="AW156" i="65"/>
  <c r="AW144" i="65"/>
  <c r="AU320" i="65"/>
  <c r="AU174" i="65"/>
  <c r="AV130" i="65"/>
  <c r="AU54" i="65"/>
  <c r="AV250" i="65"/>
  <c r="AW292" i="65"/>
  <c r="AV145" i="65"/>
  <c r="AV359" i="65"/>
  <c r="AT265" i="65"/>
  <c r="AX36" i="65"/>
  <c r="AU388" i="65"/>
  <c r="AT400" i="65"/>
  <c r="AX387" i="65"/>
  <c r="AU359" i="65"/>
  <c r="AW399" i="65"/>
  <c r="AT401" i="65"/>
  <c r="AU333" i="65"/>
  <c r="AT250" i="65"/>
  <c r="BB348" i="65"/>
  <c r="AX399" i="65"/>
  <c r="AX374" i="65"/>
  <c r="AU290" i="65"/>
  <c r="AT320" i="65"/>
  <c r="AV252" i="65"/>
  <c r="AT12" i="65"/>
  <c r="AT385" i="65"/>
  <c r="AU280" i="65"/>
  <c r="AU240" i="65"/>
  <c r="AU104" i="65"/>
  <c r="AU14" i="65"/>
  <c r="AV118" i="65"/>
  <c r="AV333" i="65"/>
  <c r="AX10" i="65"/>
  <c r="AU375" i="65"/>
  <c r="AW346" i="65"/>
  <c r="AT375" i="65"/>
  <c r="AT263" i="65"/>
  <c r="AX334" i="65"/>
  <c r="AU360" i="65"/>
  <c r="AT267" i="65"/>
  <c r="AT358" i="65"/>
  <c r="AU294" i="65"/>
  <c r="AU187" i="65"/>
  <c r="AV143" i="65"/>
  <c r="AU131" i="65"/>
  <c r="AU293" i="65"/>
  <c r="AW252" i="65"/>
  <c r="AV158" i="65"/>
  <c r="AV386" i="65"/>
  <c r="AV78" i="65"/>
  <c r="AX76" i="65"/>
  <c r="AU348" i="65"/>
  <c r="AY64" i="65"/>
  <c r="AY13" i="65"/>
  <c r="AX11" i="65"/>
  <c r="AV68" i="65"/>
  <c r="AX51" i="65"/>
  <c r="AX64" i="65"/>
  <c r="AX37" i="65"/>
  <c r="AW66" i="65"/>
  <c r="AW79" i="65"/>
  <c r="AW188" i="65"/>
  <c r="AY24" i="65"/>
  <c r="BB13" i="65"/>
  <c r="BA15" i="65"/>
  <c r="BB26" i="65"/>
  <c r="AY56" i="65"/>
  <c r="AX69" i="65"/>
  <c r="AY69" i="65"/>
  <c r="AX42" i="65"/>
  <c r="AY82" i="65"/>
  <c r="AX82" i="65"/>
  <c r="AY16" i="65"/>
  <c r="AX16" i="65"/>
  <c r="BA16" i="65"/>
  <c r="BA80" i="65"/>
  <c r="BA69" i="65"/>
  <c r="BB65" i="65"/>
  <c r="BA14" i="65"/>
  <c r="BA42" i="65"/>
  <c r="BB12" i="65"/>
  <c r="BA67" i="65"/>
  <c r="BA56" i="65"/>
  <c r="BB38" i="65"/>
  <c r="BA54" i="65"/>
  <c r="BA29" i="65"/>
  <c r="BB25" i="65"/>
  <c r="BA27" i="65"/>
  <c r="BB79" i="65"/>
  <c r="BB78" i="65"/>
  <c r="AU109" i="65"/>
  <c r="AU96" i="65"/>
  <c r="BA162" i="65"/>
  <c r="AU162" i="65"/>
  <c r="BA109" i="65"/>
  <c r="AZ149" i="65"/>
  <c r="BA122" i="65"/>
  <c r="AZ109" i="65"/>
  <c r="AU149" i="65"/>
  <c r="BA96" i="65"/>
  <c r="AY136" i="65"/>
  <c r="BA120" i="65"/>
  <c r="AZ136" i="65"/>
  <c r="AY122" i="65"/>
  <c r="BA94" i="65"/>
  <c r="AZ96" i="65"/>
  <c r="AY96" i="65"/>
  <c r="BA147" i="65"/>
  <c r="AY109" i="65"/>
  <c r="BA41" i="65"/>
  <c r="AZ122" i="65"/>
  <c r="BA68" i="65"/>
  <c r="AZ162" i="65"/>
  <c r="BA28" i="65"/>
  <c r="AY149" i="65"/>
  <c r="AY162" i="65"/>
  <c r="AZ121" i="65"/>
  <c r="AV162" i="65"/>
  <c r="BA213" i="65"/>
  <c r="BA186" i="65"/>
  <c r="AV122" i="65"/>
  <c r="AV149" i="65"/>
  <c r="AY37" i="65"/>
  <c r="AY77" i="65"/>
  <c r="AZ67" i="65"/>
  <c r="AX24" i="65"/>
  <c r="AY51" i="65"/>
  <c r="AW26" i="65"/>
  <c r="AX214" i="65"/>
  <c r="AY241" i="65"/>
  <c r="AU175" i="65"/>
  <c r="AT69" i="65"/>
  <c r="BB213" i="65"/>
  <c r="BA81" i="65"/>
  <c r="AX77" i="65"/>
  <c r="AY11" i="65"/>
  <c r="AW81" i="65"/>
  <c r="BB290" i="65"/>
  <c r="AZ68" i="65"/>
  <c r="AZ81" i="65"/>
  <c r="AZ55" i="65"/>
  <c r="AY201" i="65"/>
  <c r="AT56" i="65"/>
  <c r="BB186" i="65"/>
  <c r="AZ15" i="65"/>
  <c r="AX29" i="65"/>
  <c r="AY213" i="65"/>
  <c r="BA40" i="65"/>
  <c r="AV201" i="65"/>
  <c r="AY53" i="65"/>
  <c r="AV187" i="65"/>
  <c r="AY28" i="65"/>
  <c r="AW15" i="65"/>
  <c r="AZ40" i="65"/>
  <c r="AW68" i="65"/>
  <c r="AZ54" i="65"/>
  <c r="BA239" i="65"/>
  <c r="AV55" i="65"/>
  <c r="AZ28" i="65"/>
  <c r="BA199" i="65"/>
  <c r="AV15" i="65"/>
  <c r="AZ41" i="65"/>
  <c r="BA388" i="65"/>
  <c r="BA335" i="65"/>
  <c r="AX294" i="65"/>
  <c r="AY306" i="65"/>
  <c r="BA240" i="65"/>
  <c r="AY253" i="65"/>
  <c r="AY279" i="65"/>
  <c r="BB359" i="65"/>
  <c r="AY26" i="65"/>
  <c r="AY81" i="65"/>
  <c r="AY15" i="65"/>
  <c r="BB346" i="65"/>
  <c r="AY79" i="65"/>
  <c r="AW241" i="65"/>
  <c r="AY68" i="65"/>
  <c r="AX267" i="65"/>
  <c r="AY293" i="65"/>
  <c r="AZ161" i="65"/>
  <c r="AZ95" i="65"/>
  <c r="AY63" i="65"/>
  <c r="AY41" i="65"/>
  <c r="AY106" i="65"/>
  <c r="BB267" i="65"/>
  <c r="BB280" i="65"/>
  <c r="AW39" i="65"/>
  <c r="AV109" i="65"/>
  <c r="AY133" i="65"/>
  <c r="AV227" i="65"/>
  <c r="BB254" i="65"/>
  <c r="AY118" i="65"/>
  <c r="AW13" i="65"/>
  <c r="AY119" i="65"/>
  <c r="AV200" i="65"/>
  <c r="BA226" i="65"/>
  <c r="AY105" i="65"/>
  <c r="AW53" i="65"/>
  <c r="AY159" i="65"/>
  <c r="AV174" i="65"/>
  <c r="AX254" i="65"/>
  <c r="BA55" i="65"/>
  <c r="BA173" i="65"/>
  <c r="AV96" i="65"/>
  <c r="BA187" i="65"/>
  <c r="AV240" i="65"/>
  <c r="AY321" i="65"/>
  <c r="AY308" i="65"/>
  <c r="BA13" i="65"/>
  <c r="BA53" i="65"/>
  <c r="BA79" i="65"/>
  <c r="AY55" i="65"/>
  <c r="AW69" i="65"/>
  <c r="BA66" i="65"/>
  <c r="AU41" i="65"/>
  <c r="AW42" i="65"/>
  <c r="BA26" i="65"/>
  <c r="AU29" i="65"/>
  <c r="BB281" i="65"/>
  <c r="BB188" i="65"/>
  <c r="AU68" i="65"/>
  <c r="AW56" i="65"/>
  <c r="AU69" i="65"/>
  <c r="BB321" i="65"/>
  <c r="BB228" i="65"/>
  <c r="AZ24" i="65"/>
  <c r="AW82" i="65"/>
  <c r="AU16" i="65"/>
  <c r="BB308" i="65"/>
  <c r="BB201" i="65"/>
  <c r="AW29" i="65"/>
  <c r="AU56" i="65"/>
  <c r="BB294" i="65"/>
  <c r="BB215" i="65"/>
  <c r="AZ64" i="65"/>
  <c r="AW16" i="65"/>
  <c r="AU42" i="65"/>
  <c r="BB307" i="65"/>
  <c r="BB295" i="65"/>
  <c r="AV28" i="65"/>
  <c r="BB241" i="65"/>
  <c r="AZ51" i="65"/>
  <c r="AZ228" i="65"/>
  <c r="AY319" i="65"/>
  <c r="BB320" i="65"/>
  <c r="BA227" i="65"/>
  <c r="BB175" i="65"/>
  <c r="AY14" i="65"/>
  <c r="BA200" i="65"/>
  <c r="AW55" i="65"/>
  <c r="AV81" i="65"/>
  <c r="AW175" i="65"/>
  <c r="BA174" i="65"/>
  <c r="AW41" i="65"/>
  <c r="AX307" i="65"/>
  <c r="AY266" i="65"/>
  <c r="AY281" i="65"/>
  <c r="AY39" i="65"/>
  <c r="AV41" i="65"/>
  <c r="AW215" i="65"/>
  <c r="BA214" i="65"/>
  <c r="AW28" i="65"/>
  <c r="R87" i="59"/>
  <c r="R72" i="59"/>
  <c r="R102" i="59"/>
  <c r="R27" i="59"/>
  <c r="D89" i="63"/>
  <c r="C110" i="64" s="1"/>
  <c r="D88" i="63"/>
  <c r="D85" i="63"/>
  <c r="Q109" i="59"/>
  <c r="Q34" i="59"/>
  <c r="Q49" i="59"/>
  <c r="Q79" i="59"/>
  <c r="Q64" i="59"/>
  <c r="Q94" i="59"/>
  <c r="AX265" i="65"/>
  <c r="V32" i="38"/>
  <c r="V35" i="38"/>
  <c r="AW319" i="65"/>
  <c r="BA267" i="65"/>
  <c r="BA303" i="65"/>
  <c r="AZ321" i="65"/>
  <c r="D138" i="64"/>
  <c r="D146" i="64" s="1"/>
  <c r="D136" i="64"/>
  <c r="D144" i="64" s="1"/>
  <c r="D137" i="64"/>
  <c r="D145" i="64" s="1"/>
  <c r="D142" i="64"/>
  <c r="AW401" i="65"/>
  <c r="BA265" i="65"/>
  <c r="AZ250" i="65"/>
  <c r="AZ358" i="65"/>
  <c r="AZ320" i="65"/>
  <c r="BB265" i="65"/>
  <c r="AZ374" i="65"/>
  <c r="AZ63" i="65"/>
  <c r="BB11" i="65"/>
  <c r="D87" i="64"/>
  <c r="AZ66" i="65"/>
  <c r="AV119" i="65"/>
  <c r="AV160" i="65"/>
  <c r="D148" i="61"/>
  <c r="D86" i="61"/>
  <c r="D99" i="64" s="1"/>
  <c r="D101" i="64" s="1"/>
  <c r="D85" i="61"/>
  <c r="D84" i="61"/>
  <c r="D154" i="61" s="1"/>
  <c r="D95" i="64"/>
  <c r="AX175" i="65"/>
  <c r="AX14" i="65"/>
  <c r="AV27" i="65"/>
  <c r="AW186" i="65"/>
  <c r="AZ56" i="65"/>
  <c r="C132" i="63"/>
  <c r="U30" i="33"/>
  <c r="U33" i="33" s="1"/>
  <c r="T28" i="33"/>
  <c r="T22" i="33" s="1"/>
  <c r="U32" i="33"/>
  <c r="R90" i="33"/>
  <c r="R93" i="33" s="1"/>
  <c r="Q88" i="33"/>
  <c r="Q82" i="33" s="1"/>
  <c r="R92" i="33"/>
  <c r="D73" i="64"/>
  <c r="D79" i="64"/>
  <c r="D80" i="64" s="1"/>
  <c r="D76" i="64"/>
  <c r="D74" i="64"/>
  <c r="AX376" i="65"/>
  <c r="BA331" i="65"/>
  <c r="BB330" i="65"/>
  <c r="AZ371" i="65"/>
  <c r="AZ349" i="65"/>
  <c r="BB334" i="65"/>
  <c r="BA397" i="65"/>
  <c r="AZ397" i="65"/>
  <c r="AV402" i="65"/>
  <c r="AY330" i="65"/>
  <c r="AY336" i="65"/>
  <c r="BA371" i="65"/>
  <c r="BA356" i="65"/>
  <c r="AZ384" i="65"/>
  <c r="AV389" i="65"/>
  <c r="AY343" i="65"/>
  <c r="AY402" i="65"/>
  <c r="BA357" i="65"/>
  <c r="BB396" i="65"/>
  <c r="AZ344" i="65"/>
  <c r="AV349" i="65"/>
  <c r="AX336" i="65"/>
  <c r="BB344" i="65"/>
  <c r="AY396" i="65"/>
  <c r="BB347" i="65"/>
  <c r="BB387" i="65"/>
  <c r="BB374" i="65"/>
  <c r="AY376" i="65"/>
  <c r="BA344" i="65"/>
  <c r="AW376" i="65"/>
  <c r="BB356" i="65"/>
  <c r="AZ331" i="65"/>
  <c r="AV362" i="65"/>
  <c r="AX389" i="65"/>
  <c r="AY383" i="65"/>
  <c r="AY384" i="65"/>
  <c r="AY397" i="65"/>
  <c r="BA362" i="65"/>
  <c r="AY349" i="65"/>
  <c r="BA384" i="65"/>
  <c r="AW389" i="65"/>
  <c r="BA330" i="65"/>
  <c r="BB343" i="65"/>
  <c r="AZ357" i="65"/>
  <c r="AV376" i="65"/>
  <c r="AX349" i="65"/>
  <c r="AZ370" i="65"/>
  <c r="AY370" i="65"/>
  <c r="AY331" i="65"/>
  <c r="BA349" i="65"/>
  <c r="AY362" i="65"/>
  <c r="AW349" i="65"/>
  <c r="BA370" i="65"/>
  <c r="BB370" i="65"/>
  <c r="AV336" i="65"/>
  <c r="AX402" i="65"/>
  <c r="BB371" i="65"/>
  <c r="AY356" i="65"/>
  <c r="AY344" i="65"/>
  <c r="BA376" i="65"/>
  <c r="AY389" i="65"/>
  <c r="AW402" i="65"/>
  <c r="BA343" i="65"/>
  <c r="BB383" i="65"/>
  <c r="AX362" i="65"/>
  <c r="BB331" i="65"/>
  <c r="AY357" i="65"/>
  <c r="AW362" i="65"/>
  <c r="BA396" i="65"/>
  <c r="BB384" i="65"/>
  <c r="AZ330" i="65"/>
  <c r="AW336" i="65"/>
  <c r="BA383" i="65"/>
  <c r="BB357" i="65"/>
  <c r="BB349" i="65"/>
  <c r="AZ383" i="65"/>
  <c r="AY371" i="65"/>
  <c r="BA389" i="65"/>
  <c r="BB397" i="65"/>
  <c r="BB376" i="65"/>
  <c r="AZ396" i="65"/>
  <c r="BA402" i="65"/>
  <c r="AZ362" i="65"/>
  <c r="AZ343" i="65"/>
  <c r="BA336" i="65"/>
  <c r="AZ402" i="65"/>
  <c r="BB362" i="65"/>
  <c r="AZ356" i="65"/>
  <c r="AZ336" i="65"/>
  <c r="BB389" i="65"/>
  <c r="AZ389" i="65"/>
  <c r="BB402" i="65"/>
  <c r="AZ376" i="65"/>
  <c r="BB336" i="65"/>
  <c r="BB400" i="65"/>
  <c r="BB360" i="65"/>
  <c r="AX278" i="65"/>
  <c r="U31" i="38"/>
  <c r="T29" i="38"/>
  <c r="T23" i="38" s="1"/>
  <c r="U34" i="38"/>
  <c r="BA280" i="65"/>
  <c r="BA250" i="65"/>
  <c r="AZ295" i="65"/>
  <c r="AW348" i="65"/>
  <c r="BA252" i="65"/>
  <c r="AZ263" i="65"/>
  <c r="AZ254" i="65"/>
  <c r="BB305" i="65"/>
  <c r="AZ400" i="65"/>
  <c r="AV255" i="65"/>
  <c r="AY94" i="65"/>
  <c r="BA400" i="65"/>
  <c r="BB51" i="65"/>
  <c r="AZ53" i="65"/>
  <c r="AV106" i="65"/>
  <c r="AX188" i="65"/>
  <c r="AX80" i="65"/>
  <c r="AV80" i="65"/>
  <c r="AY400" i="65"/>
  <c r="AW239" i="65"/>
  <c r="AZ29" i="65"/>
  <c r="R77" i="38"/>
  <c r="R71" i="38" s="1"/>
  <c r="S79" i="38"/>
  <c r="S82" i="38"/>
  <c r="AY345" i="65"/>
  <c r="BA290" i="65"/>
  <c r="AZ268" i="65"/>
  <c r="AW375" i="65"/>
  <c r="BA292" i="65"/>
  <c r="AZ280" i="65"/>
  <c r="BB252" i="65"/>
  <c r="AZ387" i="65"/>
  <c r="AX321" i="65"/>
  <c r="AZ293" i="65"/>
  <c r="AZ252" i="65"/>
  <c r="AY160" i="65"/>
  <c r="BA387" i="65"/>
  <c r="BB77" i="65"/>
  <c r="AZ39" i="65"/>
  <c r="AV93" i="65"/>
  <c r="AZ120" i="65"/>
  <c r="AX241" i="65"/>
  <c r="AX40" i="65"/>
  <c r="AV54" i="65"/>
  <c r="AY347" i="65"/>
  <c r="AW226" i="65"/>
  <c r="AZ69" i="65"/>
  <c r="T80" i="38"/>
  <c r="T83" i="38"/>
  <c r="P69" i="59"/>
  <c r="P66" i="59" s="1"/>
  <c r="Q74" i="59"/>
  <c r="Q71" i="59"/>
  <c r="Q75" i="59" s="1"/>
  <c r="P39" i="59"/>
  <c r="P36" i="59" s="1"/>
  <c r="Q41" i="59"/>
  <c r="Q45" i="59" s="1"/>
  <c r="Q44" i="59"/>
  <c r="AY398" i="65"/>
  <c r="AW306" i="65"/>
  <c r="BA316" i="65"/>
  <c r="AZ308" i="65"/>
  <c r="AW335" i="65"/>
  <c r="BA318" i="65"/>
  <c r="BA346" i="65"/>
  <c r="AZ135" i="65"/>
  <c r="AZ267" i="65"/>
  <c r="BB292" i="65"/>
  <c r="AX253" i="65"/>
  <c r="AX281" i="65"/>
  <c r="AZ319" i="65"/>
  <c r="AZ292" i="65"/>
  <c r="AY147" i="65"/>
  <c r="BA360" i="65"/>
  <c r="AV121" i="65"/>
  <c r="BB29" i="65"/>
  <c r="AX65" i="65"/>
  <c r="BB37" i="65"/>
  <c r="AZ79" i="65"/>
  <c r="AV159" i="65"/>
  <c r="AZ214" i="65"/>
  <c r="BA78" i="65"/>
  <c r="AX228" i="65"/>
  <c r="AX67" i="65"/>
  <c r="AV14" i="65"/>
  <c r="AY360" i="65"/>
  <c r="AW173" i="65"/>
  <c r="AZ16" i="65"/>
  <c r="AY295" i="65"/>
  <c r="E151" i="64"/>
  <c r="C152" i="64"/>
  <c r="AX335" i="65"/>
  <c r="AY332" i="65"/>
  <c r="AW279" i="65"/>
  <c r="BA320" i="65"/>
  <c r="AZ281" i="65"/>
  <c r="AW361" i="65"/>
  <c r="BA278" i="65"/>
  <c r="BA359" i="65"/>
  <c r="BA268" i="65"/>
  <c r="AY117" i="65"/>
  <c r="AZ294" i="65"/>
  <c r="BB278" i="65"/>
  <c r="AX319" i="65"/>
  <c r="AY359" i="65"/>
  <c r="AX295" i="65"/>
  <c r="AZ306" i="65"/>
  <c r="AZ318" i="65"/>
  <c r="AY120" i="65"/>
  <c r="BA334" i="65"/>
  <c r="AV108" i="65"/>
  <c r="BB16" i="65"/>
  <c r="AX52" i="65"/>
  <c r="AZ13" i="65"/>
  <c r="AZ187" i="65"/>
  <c r="BA38" i="65"/>
  <c r="AX54" i="65"/>
  <c r="BA279" i="65"/>
  <c r="AY374" i="65"/>
  <c r="AW199" i="65"/>
  <c r="AZ82" i="65"/>
  <c r="C59" i="64"/>
  <c r="C135" i="64"/>
  <c r="E133" i="64"/>
  <c r="C134" i="64"/>
  <c r="C141" i="64"/>
  <c r="E141" i="64" s="1"/>
  <c r="L55" i="64"/>
  <c r="Q55" i="64"/>
  <c r="P55" i="64"/>
  <c r="O55" i="64"/>
  <c r="N55" i="64"/>
  <c r="M55" i="64"/>
  <c r="AX375" i="65"/>
  <c r="AY372" i="65"/>
  <c r="BA305" i="65"/>
  <c r="BB146" i="65"/>
  <c r="AX122" i="65"/>
  <c r="BB117" i="65"/>
  <c r="AX93" i="65"/>
  <c r="BB132" i="65"/>
  <c r="AX118" i="65"/>
  <c r="AW94" i="65"/>
  <c r="AT135" i="65"/>
  <c r="BB93" i="65"/>
  <c r="AX96" i="65"/>
  <c r="BB104" i="65"/>
  <c r="AX119" i="65"/>
  <c r="BB105" i="65"/>
  <c r="AX158" i="65"/>
  <c r="AW147" i="65"/>
  <c r="AT108" i="65"/>
  <c r="AT94" i="65"/>
  <c r="BB162" i="65"/>
  <c r="AX133" i="65"/>
  <c r="BB158" i="65"/>
  <c r="AW148" i="65"/>
  <c r="AW134" i="65"/>
  <c r="AT121" i="65"/>
  <c r="AT107" i="65"/>
  <c r="BB133" i="65"/>
  <c r="AX159" i="65"/>
  <c r="AX145" i="65"/>
  <c r="AW135" i="65"/>
  <c r="AW107" i="65"/>
  <c r="AT120" i="65"/>
  <c r="BB136" i="65"/>
  <c r="BB106" i="65"/>
  <c r="BB118" i="65"/>
  <c r="AX132" i="65"/>
  <c r="BB119" i="65"/>
  <c r="BB108" i="65"/>
  <c r="AW121" i="65"/>
  <c r="BB103" i="65"/>
  <c r="BB159" i="65"/>
  <c r="BB145" i="65"/>
  <c r="AZ133" i="65"/>
  <c r="BB148" i="65"/>
  <c r="AW95" i="65"/>
  <c r="BB143" i="65"/>
  <c r="AT147" i="65"/>
  <c r="BB149" i="65"/>
  <c r="BB92" i="65"/>
  <c r="AW158" i="65"/>
  <c r="AZ93" i="65"/>
  <c r="BB95" i="65"/>
  <c r="AW93" i="65"/>
  <c r="AY116" i="65"/>
  <c r="AZ132" i="65"/>
  <c r="AT134" i="65"/>
  <c r="BA135" i="65"/>
  <c r="AX107" i="65"/>
  <c r="BB160" i="65"/>
  <c r="AW118" i="65"/>
  <c r="AZ159" i="65"/>
  <c r="BB161" i="65"/>
  <c r="AX91" i="65"/>
  <c r="AW108" i="65"/>
  <c r="AW119" i="65"/>
  <c r="AW149" i="65"/>
  <c r="BB156" i="65"/>
  <c r="AZ118" i="65"/>
  <c r="AT160" i="65"/>
  <c r="BB96" i="65"/>
  <c r="BA108" i="65"/>
  <c r="AX147" i="65"/>
  <c r="BB134" i="65"/>
  <c r="AZ119" i="65"/>
  <c r="BB135" i="65"/>
  <c r="AX144" i="65"/>
  <c r="AX95" i="65"/>
  <c r="AW161" i="65"/>
  <c r="AT109" i="65"/>
  <c r="AW106" i="65"/>
  <c r="AW136" i="65"/>
  <c r="BB90" i="65"/>
  <c r="AZ92" i="65"/>
  <c r="BB122" i="65"/>
  <c r="BA161" i="65"/>
  <c r="BB91" i="65"/>
  <c r="AX134" i="65"/>
  <c r="BB107" i="65"/>
  <c r="AZ106" i="65"/>
  <c r="BB121" i="65"/>
  <c r="AX104" i="65"/>
  <c r="AX108" i="65"/>
  <c r="AT136" i="65"/>
  <c r="AW146" i="65"/>
  <c r="AW122" i="65"/>
  <c r="AY130" i="65"/>
  <c r="BB130" i="65"/>
  <c r="AZ158" i="65"/>
  <c r="BB109" i="65"/>
  <c r="BA148" i="65"/>
  <c r="AX120" i="65"/>
  <c r="AW132" i="65"/>
  <c r="AZ146" i="65"/>
  <c r="AX157" i="65"/>
  <c r="AX161" i="65"/>
  <c r="AT149" i="65"/>
  <c r="AW133" i="65"/>
  <c r="AW162" i="65"/>
  <c r="AY90" i="65"/>
  <c r="BB116" i="65"/>
  <c r="AZ145" i="65"/>
  <c r="AX109" i="65"/>
  <c r="BA121" i="65"/>
  <c r="BB157" i="65"/>
  <c r="AX94" i="65"/>
  <c r="AW145" i="65"/>
  <c r="AX131" i="65"/>
  <c r="AX148" i="65"/>
  <c r="AT122" i="65"/>
  <c r="AW159" i="65"/>
  <c r="AW96" i="65"/>
  <c r="AY103" i="65"/>
  <c r="AZ105" i="65"/>
  <c r="AT148" i="65"/>
  <c r="AX162" i="65"/>
  <c r="BA95" i="65"/>
  <c r="AX160" i="65"/>
  <c r="BB147" i="65"/>
  <c r="AX92" i="65"/>
  <c r="AW105" i="65"/>
  <c r="AX117" i="65"/>
  <c r="AX135" i="65"/>
  <c r="AW120" i="65"/>
  <c r="AT96" i="65"/>
  <c r="AW109" i="65"/>
  <c r="AY143" i="65"/>
  <c r="AX149" i="65"/>
  <c r="BB131" i="65"/>
  <c r="AX146" i="65"/>
  <c r="BB94" i="65"/>
  <c r="AX105" i="65"/>
  <c r="AW92" i="65"/>
  <c r="AX121" i="65"/>
  <c r="AY156" i="65"/>
  <c r="AT161" i="65"/>
  <c r="AX136" i="65"/>
  <c r="BB144" i="65"/>
  <c r="AX106" i="65"/>
  <c r="BB120" i="65"/>
  <c r="AW160" i="65"/>
  <c r="AT162" i="65"/>
  <c r="AT95" i="65"/>
  <c r="BA373" i="65"/>
  <c r="BA308" i="65"/>
  <c r="AY91" i="65"/>
  <c r="AZ307" i="65"/>
  <c r="AX279" i="65"/>
  <c r="AY386" i="65"/>
  <c r="AX268" i="65"/>
  <c r="AZ279" i="65"/>
  <c r="AZ265" i="65"/>
  <c r="AY107" i="65"/>
  <c r="BA374" i="65"/>
  <c r="AV95" i="65"/>
  <c r="BB69" i="65"/>
  <c r="AX25" i="65"/>
  <c r="AZ26" i="65"/>
  <c r="AV146" i="65"/>
  <c r="AZ174" i="65"/>
  <c r="BA65" i="65"/>
  <c r="AX201" i="65"/>
  <c r="BA266" i="65"/>
  <c r="AZ42" i="65"/>
  <c r="C95" i="63"/>
  <c r="C197" i="63"/>
  <c r="AY307" i="65"/>
  <c r="AW307" i="65"/>
  <c r="AX401" i="65"/>
  <c r="AY385" i="65"/>
  <c r="BA399" i="65"/>
  <c r="BA295" i="65"/>
  <c r="AY157" i="65"/>
  <c r="AX293" i="65"/>
  <c r="AY333" i="65"/>
  <c r="C72" i="64"/>
  <c r="E55" i="64"/>
  <c r="C57" i="64"/>
  <c r="AX308" i="65"/>
  <c r="AZ253" i="65"/>
  <c r="AZ278" i="65"/>
  <c r="AY134" i="65"/>
  <c r="BA347" i="65"/>
  <c r="AV148" i="65"/>
  <c r="BB82" i="65"/>
  <c r="AX38" i="65"/>
  <c r="AV82" i="65"/>
  <c r="AZ240" i="65"/>
  <c r="Q59" i="59"/>
  <c r="Q56" i="59"/>
  <c r="Q60" i="59" s="1"/>
  <c r="P54" i="59"/>
  <c r="P51" i="59" s="1"/>
  <c r="BA25" i="65"/>
  <c r="AX215" i="65"/>
  <c r="BA253" i="65"/>
  <c r="BA348" i="65"/>
  <c r="AY254" i="65"/>
  <c r="AW254" i="65"/>
  <c r="R75" i="33"/>
  <c r="R78" i="33" s="1"/>
  <c r="Q73" i="33"/>
  <c r="Q67" i="33" s="1"/>
  <c r="R77" i="33"/>
  <c r="M10" i="46"/>
  <c r="M7" i="46" s="1"/>
  <c r="N12" i="46"/>
  <c r="N15" i="46" s="1"/>
  <c r="N14" i="46"/>
  <c r="AX388" i="65"/>
  <c r="AY358" i="65"/>
  <c r="AX332" i="65"/>
  <c r="AY93" i="65"/>
  <c r="BA321" i="65"/>
  <c r="AW374" i="65"/>
  <c r="AY104" i="65"/>
  <c r="BA398" i="65"/>
  <c r="BB318" i="65"/>
  <c r="AY276" i="65"/>
  <c r="AX306" i="65"/>
  <c r="AY23" i="65"/>
  <c r="AU82" i="65"/>
  <c r="AZ226" i="65"/>
  <c r="AX255" i="65"/>
  <c r="AZ266" i="65"/>
  <c r="AZ305" i="65"/>
  <c r="AT15" i="65"/>
  <c r="AV135" i="65"/>
  <c r="BB56" i="65"/>
  <c r="AX12" i="65"/>
  <c r="AV56" i="65"/>
  <c r="AZ227" i="65"/>
  <c r="BA12" i="65"/>
  <c r="BA293" i="65"/>
  <c r="AZ375" i="65"/>
  <c r="C118" i="64"/>
  <c r="C138" i="63"/>
  <c r="C119" i="64" s="1"/>
  <c r="C139" i="63"/>
  <c r="C120" i="64" s="1"/>
  <c r="D99" i="63"/>
  <c r="C140" i="63" s="1"/>
  <c r="C122" i="64" s="1"/>
  <c r="C143" i="63"/>
  <c r="N116" i="46"/>
  <c r="N120" i="46" s="1"/>
  <c r="M114" i="46"/>
  <c r="M111" i="46" s="1"/>
  <c r="N119" i="46"/>
  <c r="BA361" i="65"/>
  <c r="AY294" i="65"/>
  <c r="AW280" i="65"/>
  <c r="AX348" i="65"/>
  <c r="AX372" i="65"/>
  <c r="Q131" i="59"/>
  <c r="P127" i="59"/>
  <c r="P124" i="59" s="1"/>
  <c r="Q129" i="59"/>
  <c r="Q132" i="59" s="1"/>
  <c r="AY146" i="65"/>
  <c r="BA281" i="65"/>
  <c r="AW360" i="65"/>
  <c r="N71" i="46"/>
  <c r="N75" i="46" s="1"/>
  <c r="M69" i="46"/>
  <c r="M66" i="46" s="1"/>
  <c r="N74" i="46"/>
  <c r="AY131" i="65"/>
  <c r="BA345" i="65"/>
  <c r="AY303" i="65"/>
  <c r="BB40" i="65"/>
  <c r="AX266" i="65"/>
  <c r="AY346" i="65"/>
  <c r="AY50" i="65"/>
  <c r="BA36" i="65"/>
  <c r="AZ186" i="65"/>
  <c r="AT41" i="65"/>
  <c r="AV161" i="65"/>
  <c r="BB42" i="65"/>
  <c r="AX78" i="65"/>
  <c r="AV29" i="65"/>
  <c r="AY348" i="65"/>
  <c r="AY161" i="65"/>
  <c r="Q29" i="59"/>
  <c r="P24" i="59"/>
  <c r="P21" i="59" s="1"/>
  <c r="Q26" i="59"/>
  <c r="Q30" i="59" s="1"/>
  <c r="AZ200" i="65"/>
  <c r="BA52" i="65"/>
  <c r="AY265" i="65"/>
  <c r="BA143" i="65"/>
  <c r="T96" i="38"/>
  <c r="T99" i="38"/>
  <c r="BA306" i="65"/>
  <c r="AZ388" i="65"/>
  <c r="BA157" i="65"/>
  <c r="S64" i="38"/>
  <c r="S67" i="38"/>
  <c r="R8" i="52"/>
  <c r="R33" i="52" s="1"/>
  <c r="T16" i="38"/>
  <c r="T19" i="38"/>
  <c r="BA375" i="65"/>
  <c r="AY320" i="65"/>
  <c r="AW267" i="65"/>
  <c r="BA134" i="65"/>
  <c r="AV136" i="65"/>
  <c r="AX361" i="65"/>
  <c r="AX385" i="65"/>
  <c r="BA333" i="65"/>
  <c r="BA255" i="65"/>
  <c r="AW387" i="65"/>
  <c r="AY144" i="65"/>
  <c r="BA372" i="65"/>
  <c r="AY67" i="65"/>
  <c r="BB279" i="65"/>
  <c r="AY263" i="65"/>
  <c r="BB14" i="65"/>
  <c r="AY36" i="65"/>
  <c r="BA50" i="65"/>
  <c r="AZ199" i="65"/>
  <c r="AT68" i="65"/>
  <c r="AW321" i="65"/>
  <c r="BB240" i="65"/>
  <c r="AY401" i="65"/>
  <c r="AY108" i="65"/>
  <c r="Q12" i="59"/>
  <c r="Q15" i="59" s="1"/>
  <c r="P10" i="59"/>
  <c r="P7" i="59" s="1"/>
  <c r="Q14" i="59"/>
  <c r="AY292" i="65"/>
  <c r="BA116" i="65"/>
  <c r="R93" i="38"/>
  <c r="R87" i="38" s="1"/>
  <c r="S95" i="38"/>
  <c r="S98" i="38"/>
  <c r="BA319" i="65"/>
  <c r="AZ361" i="65"/>
  <c r="BA91" i="65"/>
  <c r="S15" i="38"/>
  <c r="R13" i="38"/>
  <c r="R7" i="38" s="1"/>
  <c r="S18" i="38"/>
  <c r="BB373" i="65"/>
  <c r="N56" i="46"/>
  <c r="M54" i="46"/>
  <c r="M51" i="46" s="1"/>
  <c r="N59" i="46"/>
  <c r="BA401" i="65"/>
  <c r="R29" i="52"/>
  <c r="P99" i="59"/>
  <c r="P96" i="59" s="1"/>
  <c r="Q104" i="59"/>
  <c r="Q101" i="59"/>
  <c r="Q105" i="59" s="1"/>
  <c r="AY267" i="65"/>
  <c r="AW294" i="65"/>
  <c r="AZ346" i="65"/>
  <c r="AX345" i="65"/>
  <c r="BA386" i="65"/>
  <c r="AW347" i="65"/>
  <c r="BA82" i="65"/>
  <c r="BB50" i="65"/>
  <c r="BB63" i="65"/>
  <c r="BB15" i="65"/>
  <c r="BB28" i="65"/>
  <c r="BB81" i="65"/>
  <c r="BB23" i="65"/>
  <c r="BB68" i="65"/>
  <c r="BB41" i="65"/>
  <c r="BB10" i="65"/>
  <c r="BB55" i="65"/>
  <c r="BB36" i="65"/>
  <c r="BB76" i="65"/>
  <c r="BA332" i="65"/>
  <c r="AY27" i="65"/>
  <c r="BB253" i="65"/>
  <c r="AY250" i="65"/>
  <c r="BB67" i="65"/>
  <c r="AY373" i="65"/>
  <c r="AY76" i="65"/>
  <c r="BA63" i="65"/>
  <c r="AZ173" i="65"/>
  <c r="AV321" i="65"/>
  <c r="AW40" i="65"/>
  <c r="AT28" i="65"/>
  <c r="AW255" i="65"/>
  <c r="BB174" i="65"/>
  <c r="AV69" i="65"/>
  <c r="AY388" i="65"/>
  <c r="AY148" i="65"/>
  <c r="BA117" i="65"/>
  <c r="BB303" i="65"/>
  <c r="R42" i="59"/>
  <c r="O13" i="52"/>
  <c r="O60" i="46"/>
  <c r="AY280" i="65"/>
  <c r="AW320" i="65"/>
  <c r="AZ386" i="65"/>
  <c r="O11" i="52"/>
  <c r="O30" i="46"/>
  <c r="C129" i="64"/>
  <c r="E129" i="64" s="1"/>
  <c r="E121" i="64"/>
  <c r="AX398" i="65"/>
  <c r="AZ276" i="65"/>
  <c r="AZ398" i="65"/>
  <c r="AW334" i="65"/>
  <c r="AY80" i="65"/>
  <c r="BB319" i="65"/>
  <c r="AY316" i="65"/>
  <c r="BB80" i="65"/>
  <c r="AZ188" i="65"/>
  <c r="AY399" i="65"/>
  <c r="AY10" i="65"/>
  <c r="BA76" i="65"/>
  <c r="AZ213" i="65"/>
  <c r="AV295" i="65"/>
  <c r="AW14" i="65"/>
  <c r="AT81" i="65"/>
  <c r="AW295" i="65"/>
  <c r="BB200" i="65"/>
  <c r="AZ10" i="65"/>
  <c r="AV42" i="65"/>
  <c r="AY335" i="65"/>
  <c r="AY95" i="65"/>
  <c r="AV147" i="65"/>
  <c r="AZ147" i="65"/>
  <c r="AY252" i="65"/>
  <c r="M99" i="46"/>
  <c r="M96" i="46" s="1"/>
  <c r="N101" i="46"/>
  <c r="N105" i="46" s="1"/>
  <c r="N104" i="46"/>
  <c r="BA156" i="65"/>
  <c r="AZ348" i="65"/>
  <c r="BA104" i="65"/>
  <c r="S111" i="38"/>
  <c r="R109" i="38"/>
  <c r="R103" i="38" s="1"/>
  <c r="S114" i="38"/>
  <c r="BB316" i="65"/>
  <c r="N129" i="46"/>
  <c r="N132" i="46" s="1"/>
  <c r="M127" i="46"/>
  <c r="M124" i="46" s="1"/>
  <c r="N131" i="46"/>
  <c r="P84" i="59"/>
  <c r="P81" i="59" s="1"/>
  <c r="Q89" i="59"/>
  <c r="Q86" i="59"/>
  <c r="Q90" i="59" s="1"/>
  <c r="AZ373" i="65"/>
  <c r="AX318" i="65"/>
  <c r="R103" i="33"/>
  <c r="R97" i="33" s="1"/>
  <c r="S105" i="33"/>
  <c r="S108" i="33" s="1"/>
  <c r="S107" i="33"/>
  <c r="M24" i="46"/>
  <c r="M21" i="46" s="1"/>
  <c r="N26" i="46"/>
  <c r="N29" i="46"/>
  <c r="D60" i="64"/>
  <c r="D62" i="64" s="1"/>
  <c r="AU107" i="65"/>
  <c r="AX358" i="65"/>
  <c r="AZ303" i="65"/>
  <c r="AZ345" i="65"/>
  <c r="AZ108" i="65"/>
  <c r="AW400" i="65"/>
  <c r="AU15" i="65"/>
  <c r="BA385" i="65"/>
  <c r="AY54" i="65"/>
  <c r="BB266" i="65"/>
  <c r="AY290" i="65"/>
  <c r="BB27" i="65"/>
  <c r="AZ241" i="65"/>
  <c r="AZ334" i="65"/>
  <c r="BA10" i="65"/>
  <c r="AZ239" i="65"/>
  <c r="AV281" i="65"/>
  <c r="AW54" i="65"/>
  <c r="AT55" i="65"/>
  <c r="AW268" i="65"/>
  <c r="BB214" i="65"/>
  <c r="AZ76" i="65"/>
  <c r="Q116" i="59"/>
  <c r="Q120" i="59" s="1"/>
  <c r="P114" i="59"/>
  <c r="P111" i="59" s="1"/>
  <c r="Q119" i="59"/>
  <c r="AY375" i="65"/>
  <c r="AY121" i="65"/>
  <c r="AV94" i="65"/>
  <c r="AZ134" i="65"/>
  <c r="AY278" i="65"/>
  <c r="BA90" i="65"/>
  <c r="BA144" i="65"/>
  <c r="E58" i="64"/>
  <c r="BB388" i="65"/>
  <c r="AV361" i="65"/>
  <c r="D151" i="63"/>
  <c r="D152" i="63"/>
  <c r="BB276" i="65"/>
  <c r="P19" i="59"/>
  <c r="P19" i="46"/>
  <c r="R15" i="33"/>
  <c r="R18" i="33" s="1"/>
  <c r="Q13" i="33"/>
  <c r="Q7" i="33" s="1"/>
  <c r="R17" i="33"/>
  <c r="BA93" i="65"/>
  <c r="AZ143" i="65"/>
  <c r="BA149" i="65"/>
  <c r="AZ399" i="65"/>
  <c r="AX252" i="65"/>
  <c r="BA107" i="65"/>
  <c r="AW228" i="65"/>
  <c r="D113" i="64"/>
  <c r="AW293" i="65"/>
  <c r="BA307" i="65"/>
  <c r="AU134" i="65"/>
  <c r="AZ14" i="65"/>
  <c r="AZ290" i="65"/>
  <c r="AZ372" i="65"/>
  <c r="AZ77" i="65"/>
  <c r="AU55" i="65"/>
  <c r="AY40" i="65"/>
  <c r="BB293" i="65"/>
  <c r="Q58" i="33"/>
  <c r="Q52" i="33" s="1"/>
  <c r="R60" i="33"/>
  <c r="R63" i="33" s="1"/>
  <c r="R62" i="33"/>
  <c r="BB54" i="65"/>
  <c r="AZ215" i="65"/>
  <c r="AZ360" i="65"/>
  <c r="BA23" i="65"/>
  <c r="AV308" i="65"/>
  <c r="AW67" i="65"/>
  <c r="AW308" i="65"/>
  <c r="BB187" i="65"/>
  <c r="AZ50" i="65"/>
  <c r="AY361" i="65"/>
  <c r="AY135" i="65"/>
  <c r="AV120" i="65"/>
  <c r="AZ107" i="65"/>
  <c r="BA103" i="65"/>
  <c r="AZ335" i="65"/>
  <c r="BA131" i="65"/>
  <c r="N86" i="46"/>
  <c r="N90" i="46" s="1"/>
  <c r="M84" i="46"/>
  <c r="M81" i="46" s="1"/>
  <c r="N89" i="46"/>
  <c r="Q61" i="38"/>
  <c r="Q55" i="38" s="1"/>
  <c r="R63" i="38"/>
  <c r="R66" i="38"/>
  <c r="BA264" i="65"/>
  <c r="AX251" i="65"/>
  <c r="AZ282" i="65"/>
  <c r="BB309" i="65"/>
  <c r="BA322" i="65"/>
  <c r="AX256" i="65"/>
  <c r="AY304" i="65"/>
  <c r="AW309" i="65"/>
  <c r="AW322" i="65"/>
  <c r="AX322" i="65"/>
  <c r="AX296" i="65"/>
  <c r="AW269" i="65"/>
  <c r="AX304" i="65"/>
  <c r="AZ309" i="65"/>
  <c r="BA256" i="65"/>
  <c r="AY317" i="65"/>
  <c r="AY264" i="65"/>
  <c r="AW296" i="65"/>
  <c r="AX264" i="65"/>
  <c r="AZ296" i="65"/>
  <c r="BB304" i="65"/>
  <c r="BA282" i="65"/>
  <c r="AX282" i="65"/>
  <c r="AX277" i="65"/>
  <c r="AV256" i="65"/>
  <c r="AZ251" i="65"/>
  <c r="BB317" i="65"/>
  <c r="BA269" i="65"/>
  <c r="AY251" i="65"/>
  <c r="AV269" i="65"/>
  <c r="AZ291" i="65"/>
  <c r="BB264" i="65"/>
  <c r="BA309" i="65"/>
  <c r="AY277" i="65"/>
  <c r="AV322" i="65"/>
  <c r="AZ256" i="65"/>
  <c r="AZ304" i="65"/>
  <c r="BA296" i="65"/>
  <c r="AX269" i="65"/>
  <c r="AY296" i="65"/>
  <c r="AV282" i="65"/>
  <c r="AZ269" i="65"/>
  <c r="AZ264" i="65"/>
  <c r="BA277" i="65"/>
  <c r="AW282" i="65"/>
  <c r="AY322" i="65"/>
  <c r="AV309" i="65"/>
  <c r="AZ322" i="65"/>
  <c r="AZ317" i="65"/>
  <c r="BA317" i="65"/>
  <c r="AV296" i="65"/>
  <c r="AZ277" i="65"/>
  <c r="BA304" i="65"/>
  <c r="BA291" i="65"/>
  <c r="AY282" i="65"/>
  <c r="BA251" i="65"/>
  <c r="AW256" i="65"/>
  <c r="AY309" i="65"/>
  <c r="BB322" i="65"/>
  <c r="AY256" i="65"/>
  <c r="BB296" i="65"/>
  <c r="AY269" i="65"/>
  <c r="BB282" i="65"/>
  <c r="BB291" i="65"/>
  <c r="AX317" i="65"/>
  <c r="BB256" i="65"/>
  <c r="BB251" i="65"/>
  <c r="AX291" i="65"/>
  <c r="BB269" i="65"/>
  <c r="BB277" i="65"/>
  <c r="AY291" i="65"/>
  <c r="AX309" i="65"/>
  <c r="O12" i="52"/>
  <c r="O45" i="46"/>
  <c r="BB375" i="65"/>
  <c r="BB263" i="65"/>
  <c r="T45" i="38"/>
  <c r="T39" i="38" s="1"/>
  <c r="U47" i="38"/>
  <c r="U50" i="38"/>
  <c r="BB268" i="65"/>
  <c r="AY255" i="65"/>
  <c r="AZ130" i="65"/>
  <c r="BA136" i="65"/>
  <c r="AZ359" i="65"/>
  <c r="AX305" i="65"/>
  <c r="BA160" i="65"/>
  <c r="AW201" i="65"/>
  <c r="E86" i="64"/>
  <c r="D117" i="61"/>
  <c r="D119" i="61"/>
  <c r="D120" i="61"/>
  <c r="AW253" i="65"/>
  <c r="BA294" i="65"/>
  <c r="BA276" i="65"/>
  <c r="AU94" i="65"/>
  <c r="AZ27" i="65"/>
  <c r="AZ316" i="65"/>
  <c r="AZ385" i="65"/>
  <c r="AZ11" i="65"/>
  <c r="AU28" i="65"/>
  <c r="BA358" i="65"/>
  <c r="BB306" i="65"/>
  <c r="AZ201" i="65"/>
  <c r="AV268" i="65"/>
  <c r="AW27" i="65"/>
  <c r="AW281" i="65"/>
  <c r="T43" i="33"/>
  <c r="T37" i="33" s="1"/>
  <c r="U45" i="33"/>
  <c r="U48" i="33" s="1"/>
  <c r="U47" i="33"/>
  <c r="AZ23" i="65"/>
  <c r="BB24" i="65"/>
  <c r="AV107" i="65"/>
  <c r="AZ160" i="65"/>
  <c r="D162" i="61"/>
  <c r="BA130" i="65"/>
  <c r="AV67" i="65"/>
  <c r="AZ401" i="65"/>
  <c r="T112" i="38"/>
  <c r="T115" i="38"/>
  <c r="N41" i="46"/>
  <c r="M39" i="46"/>
  <c r="M36" i="46" s="1"/>
  <c r="N44" i="46"/>
  <c r="BB250" i="65"/>
  <c r="V48" i="38"/>
  <c r="V51" i="38"/>
  <c r="BB255" i="65"/>
  <c r="D61" i="64"/>
  <c r="Q7" i="52"/>
  <c r="Q94" i="46"/>
  <c r="Q102" i="46" s="1"/>
  <c r="Q49" i="46"/>
  <c r="Q57" i="46" s="1"/>
  <c r="Q23" i="52" s="1"/>
  <c r="Q28" i="52" s="1"/>
  <c r="Q27" i="46"/>
  <c r="Q21" i="52" s="1"/>
  <c r="Q26" i="52" s="1"/>
  <c r="Q64" i="46"/>
  <c r="Q72" i="46" s="1"/>
  <c r="Q109" i="46"/>
  <c r="Q117" i="46" s="1"/>
  <c r="Q79" i="46"/>
  <c r="Q87" i="46" s="1"/>
  <c r="Q34" i="46"/>
  <c r="Q42" i="46" s="1"/>
  <c r="Q22" i="52" s="1"/>
  <c r="Q27" i="52" s="1"/>
  <c r="AY268" i="65"/>
  <c r="AZ333" i="65"/>
  <c r="AX292" i="65"/>
  <c r="AZ184" i="65"/>
  <c r="BA223" i="65"/>
  <c r="BB172" i="65"/>
  <c r="BA202" i="65"/>
  <c r="AU189" i="65"/>
  <c r="AZ170" i="65"/>
  <c r="AZ216" i="65"/>
  <c r="AY225" i="65"/>
  <c r="AX212" i="65"/>
  <c r="BA198" i="65"/>
  <c r="AZ197" i="65"/>
  <c r="BA170" i="65"/>
  <c r="BB212" i="65"/>
  <c r="BA242" i="65"/>
  <c r="AU242" i="65"/>
  <c r="AZ223" i="65"/>
  <c r="AZ242" i="65"/>
  <c r="AX198" i="65"/>
  <c r="BA185" i="65"/>
  <c r="AX184" i="65"/>
  <c r="AX224" i="65"/>
  <c r="AZ224" i="65"/>
  <c r="BA183" i="65"/>
  <c r="BB176" i="65"/>
  <c r="BB185" i="65"/>
  <c r="BA189" i="65"/>
  <c r="AU202" i="65"/>
  <c r="AZ189" i="65"/>
  <c r="AY171" i="65"/>
  <c r="AX185" i="65"/>
  <c r="BA225" i="65"/>
  <c r="AZ237" i="65"/>
  <c r="BB242" i="65"/>
  <c r="BB238" i="65"/>
  <c r="BA229" i="65"/>
  <c r="AZ176" i="65"/>
  <c r="AY211" i="65"/>
  <c r="AX225" i="65"/>
  <c r="BA238" i="65"/>
  <c r="AX197" i="65"/>
  <c r="AZ211" i="65"/>
  <c r="BB189" i="65"/>
  <c r="BB198" i="65"/>
  <c r="BA176" i="65"/>
  <c r="AZ202" i="65"/>
  <c r="AY184" i="65"/>
  <c r="BA172" i="65"/>
  <c r="AX237" i="65"/>
  <c r="AX211" i="65"/>
  <c r="BB202" i="65"/>
  <c r="AV242" i="65"/>
  <c r="BB225" i="65"/>
  <c r="AY189" i="65"/>
  <c r="AY223" i="65"/>
  <c r="AY197" i="65"/>
  <c r="AZ238" i="65"/>
  <c r="BB216" i="65"/>
  <c r="AV189" i="65"/>
  <c r="AY229" i="65"/>
  <c r="AY170" i="65"/>
  <c r="AY237" i="65"/>
  <c r="AX189" i="65"/>
  <c r="AX171" i="65"/>
  <c r="AW202" i="65"/>
  <c r="BB223" i="65"/>
  <c r="BA171" i="65"/>
  <c r="BB229" i="65"/>
  <c r="AV229" i="65"/>
  <c r="AY242" i="65"/>
  <c r="AY210" i="65"/>
  <c r="AY224" i="65"/>
  <c r="AX202" i="65"/>
  <c r="AZ225" i="65"/>
  <c r="BB183" i="65"/>
  <c r="BA211" i="65"/>
  <c r="BB197" i="65"/>
  <c r="AV202" i="65"/>
  <c r="AY216" i="65"/>
  <c r="AY183" i="65"/>
  <c r="AX242" i="65"/>
  <c r="AZ198" i="65"/>
  <c r="BB210" i="65"/>
  <c r="BA224" i="65"/>
  <c r="BB237" i="65"/>
  <c r="AW212" i="65"/>
  <c r="AV176" i="65"/>
  <c r="AY202" i="65"/>
  <c r="AY196" i="65"/>
  <c r="AX229" i="65"/>
  <c r="AZ172" i="65"/>
  <c r="BA197" i="65"/>
  <c r="BB171" i="65"/>
  <c r="AW185" i="65"/>
  <c r="AV216" i="65"/>
  <c r="AY176" i="65"/>
  <c r="AY236" i="65"/>
  <c r="AX176" i="65"/>
  <c r="AZ212" i="65"/>
  <c r="AW229" i="65"/>
  <c r="BB196" i="65"/>
  <c r="BA237" i="65"/>
  <c r="BB184" i="65"/>
  <c r="AW238" i="65"/>
  <c r="AY198" i="65"/>
  <c r="AX216" i="65"/>
  <c r="BB236" i="65"/>
  <c r="BA184" i="65"/>
  <c r="BB224" i="65"/>
  <c r="AW172" i="65"/>
  <c r="AZ210" i="65"/>
  <c r="AY212" i="65"/>
  <c r="AZ185" i="65"/>
  <c r="AW242" i="65"/>
  <c r="BB170" i="65"/>
  <c r="BB211" i="65"/>
  <c r="BA196" i="65"/>
  <c r="AW225" i="65"/>
  <c r="AU216" i="65"/>
  <c r="AZ196" i="65"/>
  <c r="AY172" i="65"/>
  <c r="AW189" i="65"/>
  <c r="BA210" i="65"/>
  <c r="AW198" i="65"/>
  <c r="AU229" i="65"/>
  <c r="AZ183" i="65"/>
  <c r="AY185" i="65"/>
  <c r="AX172" i="65"/>
  <c r="AW216" i="65"/>
  <c r="AZ171" i="65"/>
  <c r="BA236" i="65"/>
  <c r="BA216" i="65"/>
  <c r="AU176" i="65"/>
  <c r="AZ236" i="65"/>
  <c r="AZ229" i="65"/>
  <c r="AY238" i="65"/>
  <c r="AX238" i="65"/>
  <c r="AW176" i="65"/>
  <c r="BA212" i="65"/>
  <c r="AW266" i="65"/>
  <c r="BA254" i="65"/>
  <c r="BA263" i="65"/>
  <c r="AZ255" i="65"/>
  <c r="AU160" i="65"/>
  <c r="AW388" i="65"/>
  <c r="AZ80" i="65"/>
  <c r="AZ332" i="65"/>
  <c r="AZ37" i="65"/>
  <c r="AZ148" i="65"/>
  <c r="AV214" i="65"/>
  <c r="AU81" i="65"/>
  <c r="BA39" i="65"/>
  <c r="AZ175" i="65"/>
  <c r="AZ347" i="65"/>
  <c r="AW80" i="65"/>
  <c r="AZ36" i="65"/>
  <c r="BB64" i="65"/>
  <c r="D118" i="61"/>
  <c r="AV134" i="65"/>
  <c r="AZ94" i="65"/>
  <c r="AY318" i="65"/>
  <c r="AX27" i="65"/>
  <c r="AV40" i="65"/>
  <c r="AY334" i="65"/>
  <c r="AW213" i="65"/>
  <c r="Q72" i="59" l="1"/>
  <c r="L84" i="46"/>
  <c r="L81" i="46" s="1"/>
  <c r="M86" i="46"/>
  <c r="M90" i="46" s="1"/>
  <c r="M89" i="46"/>
  <c r="D49" i="64"/>
  <c r="D48" i="64"/>
  <c r="D45" i="64"/>
  <c r="D114" i="64"/>
  <c r="O84" i="59"/>
  <c r="O81" i="59" s="1"/>
  <c r="P89" i="59"/>
  <c r="P86" i="59"/>
  <c r="P90" i="59" s="1"/>
  <c r="N13" i="52"/>
  <c r="N60" i="46"/>
  <c r="P129" i="59"/>
  <c r="P132" i="59" s="1"/>
  <c r="P131" i="59"/>
  <c r="O127" i="59"/>
  <c r="O124" i="59" s="1"/>
  <c r="D130" i="63"/>
  <c r="D131" i="63"/>
  <c r="D128" i="63"/>
  <c r="D46" i="64"/>
  <c r="D129" i="63"/>
  <c r="M129" i="46"/>
  <c r="M132" i="46" s="1"/>
  <c r="L127" i="46"/>
  <c r="L124" i="46" s="1"/>
  <c r="M131" i="46"/>
  <c r="C61" i="64"/>
  <c r="E61" i="64" s="1"/>
  <c r="E57" i="64"/>
  <c r="T31" i="38"/>
  <c r="S29" i="38"/>
  <c r="S23" i="38" s="1"/>
  <c r="T34" i="38"/>
  <c r="Q34" i="52"/>
  <c r="R15" i="38"/>
  <c r="Q13" i="38"/>
  <c r="Q7" i="38" s="1"/>
  <c r="R18" i="38"/>
  <c r="U32" i="38"/>
  <c r="U35" i="38"/>
  <c r="P58" i="33"/>
  <c r="P52" i="33" s="1"/>
  <c r="Q60" i="33"/>
  <c r="Q63" i="33" s="1"/>
  <c r="Q62" i="33"/>
  <c r="Q8" i="52"/>
  <c r="S16" i="38"/>
  <c r="S19" i="38"/>
  <c r="C60" i="64"/>
  <c r="Q32" i="52"/>
  <c r="Q29" i="52"/>
  <c r="Q35" i="52" s="1"/>
  <c r="O54" i="59"/>
  <c r="O51" i="59" s="1"/>
  <c r="P59" i="59"/>
  <c r="P56" i="59"/>
  <c r="P60" i="59" s="1"/>
  <c r="C73" i="64"/>
  <c r="C76" i="64"/>
  <c r="C74" i="64"/>
  <c r="Q27" i="59"/>
  <c r="Q109" i="38"/>
  <c r="Q103" i="38" s="1"/>
  <c r="R111" i="38"/>
  <c r="R114" i="38"/>
  <c r="C137" i="64"/>
  <c r="C138" i="64"/>
  <c r="C136" i="64"/>
  <c r="E134" i="64"/>
  <c r="C142" i="64"/>
  <c r="E142" i="64" s="1"/>
  <c r="Q102" i="59"/>
  <c r="N11" i="52"/>
  <c r="N30" i="46"/>
  <c r="S112" i="38"/>
  <c r="S115" i="38"/>
  <c r="P26" i="59"/>
  <c r="P30" i="59" s="1"/>
  <c r="O24" i="59"/>
  <c r="O21" i="59" s="1"/>
  <c r="P29" i="59"/>
  <c r="E72" i="64"/>
  <c r="D97" i="64"/>
  <c r="D98" i="64"/>
  <c r="M26" i="46"/>
  <c r="L24" i="46"/>
  <c r="L21" i="46" s="1"/>
  <c r="M29" i="46"/>
  <c r="M116" i="46"/>
  <c r="M120" i="46" s="1"/>
  <c r="L114" i="46"/>
  <c r="L111" i="46" s="1"/>
  <c r="M119" i="46"/>
  <c r="E135" i="64"/>
  <c r="C143" i="64"/>
  <c r="E143" i="64" s="1"/>
  <c r="Q87" i="59"/>
  <c r="O19" i="59"/>
  <c r="Q15" i="33"/>
  <c r="Q18" i="33" s="1"/>
  <c r="P13" i="33"/>
  <c r="P7" i="33" s="1"/>
  <c r="Q17" i="33"/>
  <c r="S96" i="38"/>
  <c r="S99" i="38"/>
  <c r="C77" i="64"/>
  <c r="E59" i="64"/>
  <c r="E152" i="64"/>
  <c r="C63" i="64"/>
  <c r="Q57" i="59"/>
  <c r="S43" i="33"/>
  <c r="S37" i="33" s="1"/>
  <c r="T45" i="33"/>
  <c r="T48" i="33" s="1"/>
  <c r="T47" i="33"/>
  <c r="O99" i="59"/>
  <c r="O96" i="59" s="1"/>
  <c r="P104" i="59"/>
  <c r="P101" i="59"/>
  <c r="P105" i="59" s="1"/>
  <c r="R95" i="38"/>
  <c r="Q93" i="38"/>
  <c r="Q87" i="38" s="1"/>
  <c r="R98" i="38"/>
  <c r="M71" i="46"/>
  <c r="M75" i="46" s="1"/>
  <c r="L69" i="46"/>
  <c r="L66" i="46" s="1"/>
  <c r="M74" i="46"/>
  <c r="S80" i="38"/>
  <c r="S83" i="38"/>
  <c r="Q42" i="59"/>
  <c r="P7" i="52"/>
  <c r="P94" i="46"/>
  <c r="P102" i="46" s="1"/>
  <c r="P27" i="46"/>
  <c r="P21" i="52" s="1"/>
  <c r="P26" i="52" s="1"/>
  <c r="P49" i="46"/>
  <c r="P57" i="46" s="1"/>
  <c r="P23" i="52" s="1"/>
  <c r="P28" i="52" s="1"/>
  <c r="P109" i="46"/>
  <c r="P117" i="46" s="1"/>
  <c r="P64" i="46"/>
  <c r="P72" i="46" s="1"/>
  <c r="P79" i="46"/>
  <c r="P87" i="46" s="1"/>
  <c r="P34" i="46"/>
  <c r="P42" i="46" s="1"/>
  <c r="P22" i="52" s="1"/>
  <c r="P27" i="52" s="1"/>
  <c r="R105" i="33"/>
  <c r="R108" i="33" s="1"/>
  <c r="Q103" i="33"/>
  <c r="Q97" i="33" s="1"/>
  <c r="R107" i="33"/>
  <c r="R35" i="52"/>
  <c r="E122" i="64"/>
  <c r="C130" i="64"/>
  <c r="E130" i="64" s="1"/>
  <c r="M12" i="46"/>
  <c r="M15" i="46" s="1"/>
  <c r="L10" i="46"/>
  <c r="L7" i="46" s="1"/>
  <c r="M14" i="46"/>
  <c r="R79" i="38"/>
  <c r="Q77" i="38"/>
  <c r="Q71" i="38" s="1"/>
  <c r="R82" i="38"/>
  <c r="Q90" i="33"/>
  <c r="Q93" i="33" s="1"/>
  <c r="P88" i="33"/>
  <c r="P82" i="33" s="1"/>
  <c r="Q92" i="33"/>
  <c r="Q117" i="59"/>
  <c r="M41" i="46"/>
  <c r="L39" i="46"/>
  <c r="L36" i="46" s="1"/>
  <c r="M44" i="46"/>
  <c r="D121" i="61"/>
  <c r="P109" i="59"/>
  <c r="P34" i="59"/>
  <c r="P49" i="59"/>
  <c r="P94" i="59"/>
  <c r="P79" i="59"/>
  <c r="P64" i="59"/>
  <c r="R32" i="52"/>
  <c r="E120" i="64"/>
  <c r="C128" i="64"/>
  <c r="E128" i="64" s="1"/>
  <c r="P44" i="59"/>
  <c r="P41" i="59"/>
  <c r="P45" i="59" s="1"/>
  <c r="O39" i="59"/>
  <c r="O36" i="59" s="1"/>
  <c r="R34" i="52"/>
  <c r="N12" i="52"/>
  <c r="N45" i="46"/>
  <c r="R64" i="38"/>
  <c r="R67" i="38"/>
  <c r="P116" i="59"/>
  <c r="P120" i="59" s="1"/>
  <c r="O114" i="59"/>
  <c r="O111" i="59" s="1"/>
  <c r="P119" i="59"/>
  <c r="L99" i="46"/>
  <c r="L96" i="46" s="1"/>
  <c r="M101" i="46"/>
  <c r="M105" i="46" s="1"/>
  <c r="M104" i="46"/>
  <c r="E119" i="64"/>
  <c r="C127" i="64"/>
  <c r="E127" i="64" s="1"/>
  <c r="Q75" i="33"/>
  <c r="Q78" i="33" s="1"/>
  <c r="P73" i="33"/>
  <c r="P67" i="33" s="1"/>
  <c r="Q77" i="33"/>
  <c r="D232" i="63"/>
  <c r="D98" i="63" s="1"/>
  <c r="C102" i="64" s="1"/>
  <c r="Q33" i="52"/>
  <c r="U48" i="38"/>
  <c r="U51" i="38"/>
  <c r="Q63" i="38"/>
  <c r="P61" i="38"/>
  <c r="P55" i="38" s="1"/>
  <c r="Q66" i="38"/>
  <c r="P12" i="59"/>
  <c r="P15" i="59" s="1"/>
  <c r="O10" i="59"/>
  <c r="O7" i="59" s="1"/>
  <c r="P14" i="59"/>
  <c r="C126" i="64"/>
  <c r="E126" i="64" s="1"/>
  <c r="E118" i="64"/>
  <c r="T30" i="33"/>
  <c r="T33" i="33" s="1"/>
  <c r="S28" i="33"/>
  <c r="S22" i="33" s="1"/>
  <c r="T32" i="33"/>
  <c r="C109" i="64"/>
  <c r="D92" i="63"/>
  <c r="T47" i="38"/>
  <c r="S45" i="38"/>
  <c r="S39" i="38" s="1"/>
  <c r="T50" i="38"/>
  <c r="D47" i="64"/>
  <c r="M56" i="46"/>
  <c r="L54" i="46"/>
  <c r="L51" i="46" s="1"/>
  <c r="M59" i="46"/>
  <c r="P71" i="59"/>
  <c r="P75" i="59" s="1"/>
  <c r="O69" i="59"/>
  <c r="O66" i="59" s="1"/>
  <c r="P74" i="59"/>
  <c r="D88" i="64"/>
  <c r="Q84" i="64"/>
  <c r="P84" i="64"/>
  <c r="O84" i="64"/>
  <c r="L84" i="64"/>
  <c r="N84" i="64"/>
  <c r="M84" i="64"/>
  <c r="E110" i="64"/>
  <c r="P27" i="59" l="1"/>
  <c r="P42" i="59"/>
  <c r="P87" i="59"/>
  <c r="P102" i="59"/>
  <c r="O56" i="59"/>
  <c r="O60" i="59" s="1"/>
  <c r="N54" i="59"/>
  <c r="N51" i="59" s="1"/>
  <c r="O59" i="59"/>
  <c r="K114" i="46"/>
  <c r="K111" i="46" s="1"/>
  <c r="L116" i="46"/>
  <c r="L120" i="46" s="1"/>
  <c r="L119" i="46"/>
  <c r="S31" i="38"/>
  <c r="R29" i="38"/>
  <c r="R23" i="38" s="1"/>
  <c r="S34" i="38"/>
  <c r="N99" i="59"/>
  <c r="N96" i="59" s="1"/>
  <c r="O101" i="59"/>
  <c r="O105" i="59" s="1"/>
  <c r="O104" i="59"/>
  <c r="O116" i="59"/>
  <c r="O120" i="59" s="1"/>
  <c r="N114" i="59"/>
  <c r="N111" i="59" s="1"/>
  <c r="O119" i="59"/>
  <c r="T32" i="38"/>
  <c r="T35" i="38"/>
  <c r="L101" i="46"/>
  <c r="L105" i="46" s="1"/>
  <c r="K99" i="46"/>
  <c r="K96" i="46" s="1"/>
  <c r="L104" i="46"/>
  <c r="L56" i="46"/>
  <c r="K54" i="46"/>
  <c r="K51" i="46" s="1"/>
  <c r="L59" i="46"/>
  <c r="Q64" i="38"/>
  <c r="Q67" i="38"/>
  <c r="C144" i="64"/>
  <c r="E144" i="64" s="1"/>
  <c r="E136" i="64"/>
  <c r="E60" i="64"/>
  <c r="C62" i="64"/>
  <c r="E62" i="64" s="1"/>
  <c r="P90" i="33"/>
  <c r="P93" i="33" s="1"/>
  <c r="O88" i="33"/>
  <c r="O82" i="33" s="1"/>
  <c r="P92" i="33"/>
  <c r="R43" i="33"/>
  <c r="R37" i="33" s="1"/>
  <c r="S45" i="33"/>
  <c r="S48" i="33" s="1"/>
  <c r="S47" i="33"/>
  <c r="E138" i="64"/>
  <c r="C146" i="64"/>
  <c r="E146" i="64" s="1"/>
  <c r="O89" i="59"/>
  <c r="N84" i="59"/>
  <c r="N81" i="59" s="1"/>
  <c r="O86" i="59"/>
  <c r="O90" i="59" s="1"/>
  <c r="O109" i="59"/>
  <c r="O34" i="59"/>
  <c r="O94" i="59"/>
  <c r="O64" i="59"/>
  <c r="O72" i="59" s="1"/>
  <c r="O49" i="59"/>
  <c r="O79" i="59"/>
  <c r="L12" i="46"/>
  <c r="L15" i="46" s="1"/>
  <c r="K10" i="46"/>
  <c r="K7" i="46" s="1"/>
  <c r="L14" i="46"/>
  <c r="M11" i="52"/>
  <c r="M30" i="46"/>
  <c r="E137" i="64"/>
  <c r="C145" i="64"/>
  <c r="E145" i="64" s="1"/>
  <c r="O129" i="59"/>
  <c r="O132" i="59" s="1"/>
  <c r="N127" i="59"/>
  <c r="N124" i="59" s="1"/>
  <c r="O131" i="59"/>
  <c r="M13" i="52"/>
  <c r="M60" i="46"/>
  <c r="L129" i="46"/>
  <c r="L132" i="46" s="1"/>
  <c r="K127" i="46"/>
  <c r="K124" i="46" s="1"/>
  <c r="L131" i="46"/>
  <c r="D89" i="64"/>
  <c r="D105" i="64"/>
  <c r="D92" i="64"/>
  <c r="O71" i="59"/>
  <c r="O75" i="59" s="1"/>
  <c r="N69" i="59"/>
  <c r="N66" i="59" s="1"/>
  <c r="O74" i="59"/>
  <c r="P29" i="52"/>
  <c r="P72" i="59"/>
  <c r="P57" i="59"/>
  <c r="R45" i="38"/>
  <c r="R39" i="38" s="1"/>
  <c r="S47" i="38"/>
  <c r="S50" i="38"/>
  <c r="R112" i="38"/>
  <c r="R115" i="38"/>
  <c r="P8" i="52"/>
  <c r="P33" i="52" s="1"/>
  <c r="R16" i="38"/>
  <c r="R19" i="38"/>
  <c r="P77" i="38"/>
  <c r="P71" i="38" s="1"/>
  <c r="Q79" i="38"/>
  <c r="Q82" i="38"/>
  <c r="R80" i="38"/>
  <c r="R83" i="38"/>
  <c r="L26" i="46"/>
  <c r="K24" i="46"/>
  <c r="K21" i="46" s="1"/>
  <c r="L29" i="46"/>
  <c r="L41" i="46"/>
  <c r="K39" i="46"/>
  <c r="K36" i="46" s="1"/>
  <c r="L44" i="46"/>
  <c r="Q105" i="33"/>
  <c r="Q108" i="33" s="1"/>
  <c r="P103" i="33"/>
  <c r="P97" i="33" s="1"/>
  <c r="Q107" i="33"/>
  <c r="E73" i="64"/>
  <c r="E74" i="64"/>
  <c r="E76" i="64"/>
  <c r="Q111" i="38"/>
  <c r="P109" i="38"/>
  <c r="P103" i="38" s="1"/>
  <c r="Q114" i="38"/>
  <c r="P63" i="38"/>
  <c r="O61" i="38"/>
  <c r="O55" i="38" s="1"/>
  <c r="P66" i="38"/>
  <c r="C104" i="64"/>
  <c r="E104" i="64" s="1"/>
  <c r="E102" i="64"/>
  <c r="O41" i="59"/>
  <c r="O45" i="59" s="1"/>
  <c r="O44" i="59"/>
  <c r="N39" i="59"/>
  <c r="N36" i="59" s="1"/>
  <c r="M12" i="52"/>
  <c r="M45" i="46"/>
  <c r="P93" i="38"/>
  <c r="P87" i="38" s="1"/>
  <c r="Q95" i="38"/>
  <c r="Q98" i="38"/>
  <c r="P15" i="33"/>
  <c r="P18" i="33" s="1"/>
  <c r="O13" i="33"/>
  <c r="O7" i="33" s="1"/>
  <c r="P17" i="33"/>
  <c r="O58" i="33"/>
  <c r="O52" i="33" s="1"/>
  <c r="P60" i="33"/>
  <c r="P63" i="33" s="1"/>
  <c r="P62" i="33"/>
  <c r="Q18" i="38"/>
  <c r="Q15" i="38"/>
  <c r="P13" i="38"/>
  <c r="P7" i="38" s="1"/>
  <c r="C65" i="64"/>
  <c r="E63" i="64"/>
  <c r="T48" i="38"/>
  <c r="T51" i="38"/>
  <c r="L71" i="46"/>
  <c r="L75" i="46" s="1"/>
  <c r="K69" i="46"/>
  <c r="K66" i="46" s="1"/>
  <c r="L74" i="46"/>
  <c r="D96" i="63"/>
  <c r="D95" i="63"/>
  <c r="G410" i="65" s="1"/>
  <c r="G411" i="65" s="1"/>
  <c r="G407" i="65"/>
  <c r="C95" i="64"/>
  <c r="D97" i="63"/>
  <c r="C99" i="64" s="1"/>
  <c r="D158" i="63"/>
  <c r="D154" i="63"/>
  <c r="E109" i="64"/>
  <c r="C87" i="64"/>
  <c r="C113" i="64"/>
  <c r="S30" i="33"/>
  <c r="S33" i="33" s="1"/>
  <c r="R28" i="33"/>
  <c r="R22" i="33" s="1"/>
  <c r="S32" i="33"/>
  <c r="R96" i="38"/>
  <c r="R99" i="38"/>
  <c r="O26" i="59"/>
  <c r="O30" i="59" s="1"/>
  <c r="N24" i="59"/>
  <c r="N21" i="59" s="1"/>
  <c r="O29" i="59"/>
  <c r="D132" i="63"/>
  <c r="N10" i="59"/>
  <c r="N7" i="59" s="1"/>
  <c r="O12" i="59"/>
  <c r="O15" i="59" s="1"/>
  <c r="O14" i="59"/>
  <c r="P117" i="59"/>
  <c r="D90" i="64"/>
  <c r="D171" i="63"/>
  <c r="O73" i="33"/>
  <c r="O67" i="33" s="1"/>
  <c r="P75" i="33"/>
  <c r="P78" i="33" s="1"/>
  <c r="P77" i="33"/>
  <c r="O19" i="46"/>
  <c r="K84" i="46"/>
  <c r="K81" i="46" s="1"/>
  <c r="L86" i="46"/>
  <c r="L90" i="46" s="1"/>
  <c r="L89" i="46"/>
  <c r="O57" i="59" l="1"/>
  <c r="O87" i="59"/>
  <c r="O27" i="59"/>
  <c r="O75" i="33"/>
  <c r="O78" i="33" s="1"/>
  <c r="N73" i="33"/>
  <c r="N67" i="33" s="1"/>
  <c r="O77" i="33"/>
  <c r="P95" i="38"/>
  <c r="O93" i="38"/>
  <c r="O87" i="38" s="1"/>
  <c r="P98" i="38"/>
  <c r="N14" i="59"/>
  <c r="M10" i="59"/>
  <c r="M7" i="59" s="1"/>
  <c r="N12" i="59"/>
  <c r="N15" i="59" s="1"/>
  <c r="N104" i="59"/>
  <c r="N101" i="59"/>
  <c r="N105" i="59" s="1"/>
  <c r="M99" i="59"/>
  <c r="M96" i="59" s="1"/>
  <c r="O8" i="52"/>
  <c r="Q16" i="38"/>
  <c r="Q19" i="38"/>
  <c r="O117" i="59"/>
  <c r="M114" i="59"/>
  <c r="M111" i="59" s="1"/>
  <c r="N116" i="59"/>
  <c r="N120" i="59" s="1"/>
  <c r="N119" i="59"/>
  <c r="Q29" i="38"/>
  <c r="Q23" i="38" s="1"/>
  <c r="R31" i="38"/>
  <c r="R34" i="38"/>
  <c r="O90" i="33"/>
  <c r="O93" i="33" s="1"/>
  <c r="N88" i="33"/>
  <c r="N82" i="33" s="1"/>
  <c r="O92" i="33"/>
  <c r="C45" i="64"/>
  <c r="E45" i="64" s="1"/>
  <c r="E113" i="64"/>
  <c r="C49" i="64"/>
  <c r="E49" i="64" s="1"/>
  <c r="C114" i="64"/>
  <c r="C48" i="64"/>
  <c r="E48" i="64" s="1"/>
  <c r="C47" i="64"/>
  <c r="E47" i="64" s="1"/>
  <c r="P105" i="33"/>
  <c r="P108" i="33" s="1"/>
  <c r="O103" i="33"/>
  <c r="O97" i="33" s="1"/>
  <c r="P107" i="33"/>
  <c r="P15" i="38"/>
  <c r="O13" i="38"/>
  <c r="O7" i="38" s="1"/>
  <c r="P18" i="38"/>
  <c r="R47" i="38"/>
  <c r="Q45" i="38"/>
  <c r="Q39" i="38" s="1"/>
  <c r="R50" i="38"/>
  <c r="K26" i="46"/>
  <c r="J24" i="46"/>
  <c r="J21" i="46" s="1"/>
  <c r="K29" i="46"/>
  <c r="M84" i="59"/>
  <c r="M81" i="59" s="1"/>
  <c r="N89" i="59"/>
  <c r="N86" i="59"/>
  <c r="N90" i="59" s="1"/>
  <c r="S32" i="38"/>
  <c r="S35" i="38"/>
  <c r="E65" i="64"/>
  <c r="C78" i="64"/>
  <c r="C66" i="64"/>
  <c r="M39" i="59"/>
  <c r="M36" i="59" s="1"/>
  <c r="N44" i="59"/>
  <c r="N41" i="59"/>
  <c r="N45" i="59" s="1"/>
  <c r="K41" i="46"/>
  <c r="J39" i="46"/>
  <c r="J36" i="46" s="1"/>
  <c r="K44" i="46"/>
  <c r="L12" i="52"/>
  <c r="L45" i="46"/>
  <c r="J54" i="46"/>
  <c r="J51" i="46" s="1"/>
  <c r="K56" i="46"/>
  <c r="K59" i="46"/>
  <c r="C46" i="64"/>
  <c r="E46" i="64" s="1"/>
  <c r="P35" i="52"/>
  <c r="L13" i="52"/>
  <c r="L60" i="46"/>
  <c r="E87" i="64"/>
  <c r="Q83" i="64"/>
  <c r="N83" i="64"/>
  <c r="M83" i="64"/>
  <c r="L83" i="64"/>
  <c r="O83" i="64"/>
  <c r="C88" i="64"/>
  <c r="P83" i="64"/>
  <c r="O102" i="59"/>
  <c r="N58" i="33"/>
  <c r="N52" i="33" s="1"/>
  <c r="O60" i="33"/>
  <c r="O63" i="33" s="1"/>
  <c r="O62" i="33"/>
  <c r="J84" i="46"/>
  <c r="J81" i="46" s="1"/>
  <c r="K86" i="46"/>
  <c r="K90" i="46" s="1"/>
  <c r="K89" i="46"/>
  <c r="K116" i="46"/>
  <c r="K120" i="46" s="1"/>
  <c r="J114" i="46"/>
  <c r="J111" i="46" s="1"/>
  <c r="K119" i="46"/>
  <c r="Q96" i="38"/>
  <c r="Q99" i="38"/>
  <c r="O42" i="59"/>
  <c r="E99" i="64"/>
  <c r="C101" i="64"/>
  <c r="E101" i="64" s="1"/>
  <c r="N131" i="59"/>
  <c r="N129" i="59"/>
  <c r="N132" i="59" s="1"/>
  <c r="M127" i="59"/>
  <c r="M124" i="59" s="1"/>
  <c r="N26" i="59"/>
  <c r="N30" i="59" s="1"/>
  <c r="N29" i="59"/>
  <c r="M24" i="59"/>
  <c r="M21" i="59" s="1"/>
  <c r="P32" i="52"/>
  <c r="N19" i="46"/>
  <c r="O109" i="38"/>
  <c r="O103" i="38" s="1"/>
  <c r="P111" i="38"/>
  <c r="P114" i="38"/>
  <c r="N74" i="59"/>
  <c r="M69" i="59"/>
  <c r="M66" i="59" s="1"/>
  <c r="N71" i="59"/>
  <c r="N75" i="59" s="1"/>
  <c r="J99" i="46"/>
  <c r="J96" i="46" s="1"/>
  <c r="K101" i="46"/>
  <c r="K105" i="46" s="1"/>
  <c r="K104" i="46"/>
  <c r="R30" i="33"/>
  <c r="R33" i="33" s="1"/>
  <c r="Q28" i="33"/>
  <c r="Q22" i="33" s="1"/>
  <c r="R32" i="33"/>
  <c r="S48" i="38"/>
  <c r="S51" i="38"/>
  <c r="P34" i="52"/>
  <c r="G422" i="65"/>
  <c r="G423" i="65" s="1"/>
  <c r="G419" i="65"/>
  <c r="G420" i="65" s="1"/>
  <c r="G425" i="65"/>
  <c r="G426" i="65" s="1"/>
  <c r="G408" i="65"/>
  <c r="L11" i="52"/>
  <c r="L30" i="46"/>
  <c r="M19" i="59"/>
  <c r="M19" i="46"/>
  <c r="O15" i="33"/>
  <c r="O18" i="33" s="1"/>
  <c r="N13" i="33"/>
  <c r="N7" i="33" s="1"/>
  <c r="O17" i="33"/>
  <c r="J69" i="46"/>
  <c r="J66" i="46" s="1"/>
  <c r="K71" i="46"/>
  <c r="K75" i="46" s="1"/>
  <c r="K74" i="46"/>
  <c r="N19" i="59"/>
  <c r="Q112" i="38"/>
  <c r="Q115" i="38"/>
  <c r="Q80" i="38"/>
  <c r="Q83" i="38"/>
  <c r="N56" i="59"/>
  <c r="N60" i="59" s="1"/>
  <c r="M54" i="59"/>
  <c r="M51" i="59" s="1"/>
  <c r="N59" i="59"/>
  <c r="K129" i="46"/>
  <c r="K132" i="46" s="1"/>
  <c r="J127" i="46"/>
  <c r="J124" i="46" s="1"/>
  <c r="K131" i="46"/>
  <c r="E95" i="64"/>
  <c r="C98" i="64"/>
  <c r="C97" i="64"/>
  <c r="E97" i="64" s="1"/>
  <c r="N61" i="38"/>
  <c r="N55" i="38" s="1"/>
  <c r="O63" i="38"/>
  <c r="O66" i="38"/>
  <c r="P64" i="38"/>
  <c r="P67" i="38"/>
  <c r="O79" i="46"/>
  <c r="O87" i="46" s="1"/>
  <c r="O7" i="52"/>
  <c r="O49" i="46"/>
  <c r="O57" i="46" s="1"/>
  <c r="O23" i="52" s="1"/>
  <c r="O28" i="52" s="1"/>
  <c r="O34" i="46"/>
  <c r="O42" i="46" s="1"/>
  <c r="O22" i="52" s="1"/>
  <c r="O27" i="52" s="1"/>
  <c r="O109" i="46"/>
  <c r="O117" i="46" s="1"/>
  <c r="O64" i="46"/>
  <c r="O72" i="46" s="1"/>
  <c r="O94" i="46"/>
  <c r="O102" i="46" s="1"/>
  <c r="O27" i="46"/>
  <c r="O21" i="52" s="1"/>
  <c r="O26" i="52" s="1"/>
  <c r="P79" i="38"/>
  <c r="O77" i="38"/>
  <c r="O71" i="38" s="1"/>
  <c r="P82" i="38"/>
  <c r="K12" i="46"/>
  <c r="K15" i="46" s="1"/>
  <c r="J10" i="46"/>
  <c r="J7" i="46" s="1"/>
  <c r="K14" i="46"/>
  <c r="Q43" i="33"/>
  <c r="Q37" i="33" s="1"/>
  <c r="R45" i="33"/>
  <c r="R48" i="33" s="1"/>
  <c r="R47" i="33"/>
  <c r="M104" i="59" l="1"/>
  <c r="M101" i="59"/>
  <c r="M105" i="59" s="1"/>
  <c r="L99" i="59"/>
  <c r="L96" i="59" s="1"/>
  <c r="N49" i="59"/>
  <c r="N57" i="59" s="1"/>
  <c r="N34" i="59"/>
  <c r="N42" i="59" s="1"/>
  <c r="N109" i="59"/>
  <c r="N117" i="59" s="1"/>
  <c r="N79" i="59"/>
  <c r="N87" i="59" s="1"/>
  <c r="N64" i="59"/>
  <c r="N72" i="59" s="1"/>
  <c r="N94" i="59"/>
  <c r="N102" i="59" s="1"/>
  <c r="N27" i="59"/>
  <c r="M13" i="33"/>
  <c r="M7" i="33" s="1"/>
  <c r="N15" i="33"/>
  <c r="N18" i="33" s="1"/>
  <c r="N17" i="33"/>
  <c r="L84" i="59"/>
  <c r="L81" i="59" s="1"/>
  <c r="M86" i="59"/>
  <c r="M90" i="59" s="1"/>
  <c r="M89" i="59"/>
  <c r="P43" i="33"/>
  <c r="P37" i="33" s="1"/>
  <c r="Q45" i="33"/>
  <c r="Q48" i="33" s="1"/>
  <c r="Q47" i="33"/>
  <c r="I84" i="46"/>
  <c r="I81" i="46" s="1"/>
  <c r="J86" i="46"/>
  <c r="J90" i="46" s="1"/>
  <c r="J89" i="46"/>
  <c r="J56" i="46"/>
  <c r="I54" i="46"/>
  <c r="I51" i="46" s="1"/>
  <c r="J59" i="46"/>
  <c r="J101" i="46"/>
  <c r="J105" i="46" s="1"/>
  <c r="I99" i="46"/>
  <c r="I96" i="46" s="1"/>
  <c r="J104" i="46"/>
  <c r="N90" i="33"/>
  <c r="N93" i="33" s="1"/>
  <c r="M88" i="33"/>
  <c r="M82" i="33" s="1"/>
  <c r="N92" i="33"/>
  <c r="L10" i="59"/>
  <c r="L7" i="59" s="1"/>
  <c r="M14" i="59"/>
  <c r="M12" i="59"/>
  <c r="M15" i="59" s="1"/>
  <c r="K13" i="52"/>
  <c r="K60" i="46"/>
  <c r="M94" i="59"/>
  <c r="M79" i="59"/>
  <c r="M49" i="59"/>
  <c r="M64" i="59"/>
  <c r="M34" i="59"/>
  <c r="M109" i="59"/>
  <c r="Q47" i="38"/>
  <c r="P45" i="38"/>
  <c r="P39" i="38" s="1"/>
  <c r="Q50" i="38"/>
  <c r="J12" i="46"/>
  <c r="J15" i="46" s="1"/>
  <c r="I10" i="46"/>
  <c r="I7" i="46" s="1"/>
  <c r="J14" i="46"/>
  <c r="R48" i="38"/>
  <c r="R51" i="38"/>
  <c r="M131" i="59"/>
  <c r="M129" i="59"/>
  <c r="M132" i="59" s="1"/>
  <c r="L127" i="59"/>
  <c r="L124" i="59" s="1"/>
  <c r="K11" i="52"/>
  <c r="K30" i="46"/>
  <c r="C90" i="64"/>
  <c r="E90" i="64" s="1"/>
  <c r="M56" i="59"/>
  <c r="M60" i="59" s="1"/>
  <c r="M59" i="59"/>
  <c r="L54" i="59"/>
  <c r="L51" i="59" s="1"/>
  <c r="R32" i="38"/>
  <c r="R35" i="38"/>
  <c r="O95" i="38"/>
  <c r="N93" i="38"/>
  <c r="N87" i="38" s="1"/>
  <c r="O98" i="38"/>
  <c r="M29" i="59"/>
  <c r="M26" i="59"/>
  <c r="M30" i="59" s="1"/>
  <c r="L24" i="59"/>
  <c r="L21" i="59" s="1"/>
  <c r="C89" i="64"/>
  <c r="E89" i="64" s="1"/>
  <c r="C92" i="64"/>
  <c r="E92" i="64" s="1"/>
  <c r="E88" i="64"/>
  <c r="C105" i="64"/>
  <c r="J129" i="46"/>
  <c r="J132" i="46" s="1"/>
  <c r="I127" i="46"/>
  <c r="I124" i="46" s="1"/>
  <c r="J131" i="46"/>
  <c r="K12" i="52"/>
  <c r="K45" i="46"/>
  <c r="O34" i="52"/>
  <c r="M44" i="59"/>
  <c r="M41" i="59"/>
  <c r="M45" i="59" s="1"/>
  <c r="L39" i="59"/>
  <c r="L36" i="59" s="1"/>
  <c r="O15" i="38"/>
  <c r="N13" i="38"/>
  <c r="N7" i="38" s="1"/>
  <c r="O18" i="38"/>
  <c r="Q31" i="38"/>
  <c r="P29" i="38"/>
  <c r="P23" i="38" s="1"/>
  <c r="Q34" i="38"/>
  <c r="P96" i="38"/>
  <c r="P99" i="38"/>
  <c r="O64" i="38"/>
  <c r="O67" i="38"/>
  <c r="I69" i="46"/>
  <c r="I66" i="46" s="1"/>
  <c r="J71" i="46"/>
  <c r="J75" i="46" s="1"/>
  <c r="J74" i="46"/>
  <c r="N77" i="38"/>
  <c r="N71" i="38" s="1"/>
  <c r="O79" i="38"/>
  <c r="O82" i="38"/>
  <c r="P80" i="38"/>
  <c r="P83" i="38"/>
  <c r="O32" i="52"/>
  <c r="O29" i="52"/>
  <c r="O35" i="52" s="1"/>
  <c r="M7" i="52"/>
  <c r="M109" i="46"/>
  <c r="M117" i="46" s="1"/>
  <c r="M27" i="46"/>
  <c r="M21" i="52" s="1"/>
  <c r="M26" i="52" s="1"/>
  <c r="M34" i="46"/>
  <c r="M42" i="46" s="1"/>
  <c r="M22" i="52" s="1"/>
  <c r="M27" i="52" s="1"/>
  <c r="M49" i="46"/>
  <c r="M57" i="46" s="1"/>
  <c r="M23" i="52" s="1"/>
  <c r="M28" i="52" s="1"/>
  <c r="M64" i="46"/>
  <c r="M72" i="46" s="1"/>
  <c r="M79" i="46"/>
  <c r="M87" i="46" s="1"/>
  <c r="M94" i="46"/>
  <c r="M102" i="46" s="1"/>
  <c r="J41" i="46"/>
  <c r="I39" i="46"/>
  <c r="I36" i="46" s="1"/>
  <c r="J44" i="46"/>
  <c r="L69" i="59"/>
  <c r="L66" i="59" s="1"/>
  <c r="M74" i="59"/>
  <c r="M71" i="59"/>
  <c r="M75" i="59" s="1"/>
  <c r="O33" i="52"/>
  <c r="P112" i="38"/>
  <c r="P115" i="38"/>
  <c r="I114" i="46"/>
  <c r="I111" i="46" s="1"/>
  <c r="J116" i="46"/>
  <c r="J120" i="46" s="1"/>
  <c r="J119" i="46"/>
  <c r="E66" i="64"/>
  <c r="C67" i="64"/>
  <c r="E67" i="64" s="1"/>
  <c r="N8" i="52"/>
  <c r="P16" i="38"/>
  <c r="P19" i="38"/>
  <c r="N63" i="38"/>
  <c r="M61" i="38"/>
  <c r="M55" i="38" s="1"/>
  <c r="N66" i="38"/>
  <c r="Q30" i="33"/>
  <c r="Q33" i="33" s="1"/>
  <c r="P28" i="33"/>
  <c r="P22" i="33" s="1"/>
  <c r="Q32" i="33"/>
  <c r="E78" i="64"/>
  <c r="E79" i="64" s="1"/>
  <c r="E80" i="64" s="1"/>
  <c r="C79" i="64"/>
  <c r="C80" i="64" s="1"/>
  <c r="M73" i="33"/>
  <c r="M67" i="33" s="1"/>
  <c r="N75" i="33"/>
  <c r="N78" i="33" s="1"/>
  <c r="N77" i="33"/>
  <c r="M58" i="33"/>
  <c r="M52" i="33" s="1"/>
  <c r="N60" i="33"/>
  <c r="N63" i="33" s="1"/>
  <c r="N62" i="33"/>
  <c r="J26" i="46"/>
  <c r="I24" i="46"/>
  <c r="I21" i="46" s="1"/>
  <c r="J29" i="46"/>
  <c r="O111" i="38"/>
  <c r="N109" i="38"/>
  <c r="N103" i="38" s="1"/>
  <c r="O114" i="38"/>
  <c r="N7" i="52"/>
  <c r="N27" i="46"/>
  <c r="N21" i="52" s="1"/>
  <c r="N26" i="52" s="1"/>
  <c r="N34" i="46"/>
  <c r="N42" i="46" s="1"/>
  <c r="N22" i="52" s="1"/>
  <c r="N27" i="52" s="1"/>
  <c r="N49" i="46"/>
  <c r="N57" i="46" s="1"/>
  <c r="N23" i="52" s="1"/>
  <c r="N28" i="52" s="1"/>
  <c r="N109" i="46"/>
  <c r="N117" i="46" s="1"/>
  <c r="N64" i="46"/>
  <c r="N72" i="46" s="1"/>
  <c r="N94" i="46"/>
  <c r="N102" i="46" s="1"/>
  <c r="N79" i="46"/>
  <c r="N87" i="46" s="1"/>
  <c r="N103" i="33"/>
  <c r="N97" i="33" s="1"/>
  <c r="L19" i="59" s="1"/>
  <c r="O105" i="33"/>
  <c r="O108" i="33" s="1"/>
  <c r="O107" i="33"/>
  <c r="M116" i="59"/>
  <c r="M120" i="59" s="1"/>
  <c r="L114" i="59"/>
  <c r="L111" i="59" s="1"/>
  <c r="M119" i="59"/>
  <c r="M27" i="59" l="1"/>
  <c r="M102" i="59"/>
  <c r="M72" i="59"/>
  <c r="M87" i="59"/>
  <c r="M42" i="59"/>
  <c r="L94" i="59"/>
  <c r="L79" i="59"/>
  <c r="L49" i="59"/>
  <c r="L64" i="59"/>
  <c r="L34" i="59"/>
  <c r="L109" i="59"/>
  <c r="J12" i="52"/>
  <c r="J45" i="46"/>
  <c r="L89" i="59"/>
  <c r="L86" i="59"/>
  <c r="L90" i="59" s="1"/>
  <c r="K84" i="59"/>
  <c r="K81" i="59" s="1"/>
  <c r="L19" i="46"/>
  <c r="K54" i="59"/>
  <c r="K51" i="59" s="1"/>
  <c r="L56" i="59"/>
  <c r="L60" i="59" s="1"/>
  <c r="L59" i="59"/>
  <c r="I26" i="46"/>
  <c r="H24" i="46"/>
  <c r="H21" i="46" s="1"/>
  <c r="I29" i="46"/>
  <c r="I56" i="46"/>
  <c r="H54" i="46"/>
  <c r="H51" i="46" s="1"/>
  <c r="I59" i="46"/>
  <c r="I129" i="46"/>
  <c r="I132" i="46" s="1"/>
  <c r="H127" i="46"/>
  <c r="H124" i="46" s="1"/>
  <c r="I131" i="46"/>
  <c r="L73" i="33"/>
  <c r="L67" i="33" s="1"/>
  <c r="M75" i="33"/>
  <c r="M78" i="33" s="1"/>
  <c r="M77" i="33"/>
  <c r="M57" i="59"/>
  <c r="I101" i="46"/>
  <c r="I105" i="46" s="1"/>
  <c r="H99" i="46"/>
  <c r="H96" i="46" s="1"/>
  <c r="I104" i="46"/>
  <c r="P31" i="38"/>
  <c r="O29" i="38"/>
  <c r="O23" i="38" s="1"/>
  <c r="P34" i="38"/>
  <c r="Q48" i="38"/>
  <c r="Q51" i="38"/>
  <c r="H114" i="46"/>
  <c r="H111" i="46" s="1"/>
  <c r="I116" i="46"/>
  <c r="I120" i="46" s="1"/>
  <c r="I119" i="46"/>
  <c r="N105" i="33"/>
  <c r="N108" i="33" s="1"/>
  <c r="M103" i="33"/>
  <c r="M97" i="33" s="1"/>
  <c r="N107" i="33"/>
  <c r="M29" i="52"/>
  <c r="M35" i="52" s="1"/>
  <c r="M32" i="52"/>
  <c r="J13" i="52"/>
  <c r="J60" i="46"/>
  <c r="K24" i="59"/>
  <c r="K21" i="59" s="1"/>
  <c r="L26" i="59"/>
  <c r="L30" i="59" s="1"/>
  <c r="L29" i="59"/>
  <c r="H84" i="46"/>
  <c r="H81" i="46" s="1"/>
  <c r="I86" i="46"/>
  <c r="I90" i="46" s="1"/>
  <c r="I89" i="46"/>
  <c r="H69" i="46"/>
  <c r="H66" i="46" s="1"/>
  <c r="I71" i="46"/>
  <c r="I75" i="46" s="1"/>
  <c r="I74" i="46"/>
  <c r="L58" i="33"/>
  <c r="L52" i="33" s="1"/>
  <c r="M60" i="33"/>
  <c r="M63" i="33" s="1"/>
  <c r="M62" i="33"/>
  <c r="K127" i="59"/>
  <c r="K124" i="59" s="1"/>
  <c r="L131" i="59"/>
  <c r="L129" i="59"/>
  <c r="L132" i="59" s="1"/>
  <c r="Q32" i="38"/>
  <c r="Q35" i="38"/>
  <c r="P47" i="38"/>
  <c r="O45" i="38"/>
  <c r="O39" i="38" s="1"/>
  <c r="P50" i="38"/>
  <c r="M117" i="59"/>
  <c r="N32" i="52"/>
  <c r="N29" i="52"/>
  <c r="N35" i="52" s="1"/>
  <c r="M90" i="33"/>
  <c r="M93" i="33" s="1"/>
  <c r="L88" i="33"/>
  <c r="L82" i="33" s="1"/>
  <c r="M92" i="33"/>
  <c r="J11" i="52"/>
  <c r="J30" i="46"/>
  <c r="N33" i="52"/>
  <c r="P30" i="33"/>
  <c r="P33" i="33" s="1"/>
  <c r="O28" i="33"/>
  <c r="O22" i="33" s="1"/>
  <c r="P32" i="33"/>
  <c r="N15" i="38"/>
  <c r="M13" i="38"/>
  <c r="M7" i="38" s="1"/>
  <c r="N18" i="38"/>
  <c r="N111" i="38"/>
  <c r="M109" i="38"/>
  <c r="M103" i="38" s="1"/>
  <c r="N114" i="38"/>
  <c r="L74" i="59"/>
  <c r="L71" i="59"/>
  <c r="L75" i="59" s="1"/>
  <c r="K69" i="59"/>
  <c r="K66" i="59" s="1"/>
  <c r="L41" i="59"/>
  <c r="L45" i="59" s="1"/>
  <c r="L44" i="59"/>
  <c r="K39" i="59"/>
  <c r="K36" i="59" s="1"/>
  <c r="O43" i="33"/>
  <c r="O37" i="33" s="1"/>
  <c r="P45" i="33"/>
  <c r="P48" i="33" s="1"/>
  <c r="P47" i="33"/>
  <c r="K99" i="59"/>
  <c r="K96" i="59" s="1"/>
  <c r="L104" i="59"/>
  <c r="L101" i="59"/>
  <c r="L105" i="59" s="1"/>
  <c r="N34" i="52"/>
  <c r="M8" i="52"/>
  <c r="M33" i="52" s="1"/>
  <c r="O16" i="38"/>
  <c r="O19" i="38"/>
  <c r="O112" i="38"/>
  <c r="O115" i="38"/>
  <c r="M93" i="38"/>
  <c r="M87" i="38" s="1"/>
  <c r="N95" i="38"/>
  <c r="N98" i="38"/>
  <c r="I12" i="46"/>
  <c r="I15" i="46" s="1"/>
  <c r="H10" i="46"/>
  <c r="H7" i="46" s="1"/>
  <c r="I14" i="46"/>
  <c r="K10" i="59"/>
  <c r="K7" i="59" s="1"/>
  <c r="L14" i="59"/>
  <c r="L12" i="59"/>
  <c r="L15" i="59" s="1"/>
  <c r="L13" i="33"/>
  <c r="L7" i="33" s="1"/>
  <c r="M15" i="33"/>
  <c r="M18" i="33" s="1"/>
  <c r="M17" i="33"/>
  <c r="M63" i="38"/>
  <c r="L61" i="38"/>
  <c r="L55" i="38" s="1"/>
  <c r="M66" i="38"/>
  <c r="O80" i="38"/>
  <c r="O83" i="38"/>
  <c r="L116" i="59"/>
  <c r="L120" i="59" s="1"/>
  <c r="K114" i="59"/>
  <c r="K111" i="59" s="1"/>
  <c r="L119" i="59"/>
  <c r="N64" i="38"/>
  <c r="N67" i="38"/>
  <c r="I41" i="46"/>
  <c r="H39" i="46"/>
  <c r="H36" i="46" s="1"/>
  <c r="I44" i="46"/>
  <c r="M77" i="38"/>
  <c r="M71" i="38" s="1"/>
  <c r="N79" i="38"/>
  <c r="N82" i="38"/>
  <c r="O96" i="38"/>
  <c r="O99" i="38"/>
  <c r="L27" i="59" l="1"/>
  <c r="O30" i="33"/>
  <c r="O33" i="33" s="1"/>
  <c r="N28" i="33"/>
  <c r="N22" i="33" s="1"/>
  <c r="O32" i="33"/>
  <c r="N43" i="33"/>
  <c r="N37" i="33" s="1"/>
  <c r="O45" i="33"/>
  <c r="O48" i="33" s="1"/>
  <c r="O47" i="33"/>
  <c r="K89" i="59"/>
  <c r="K86" i="59"/>
  <c r="K90" i="59" s="1"/>
  <c r="J84" i="59"/>
  <c r="J81" i="59" s="1"/>
  <c r="N96" i="38"/>
  <c r="N99" i="38"/>
  <c r="K116" i="59"/>
  <c r="K120" i="59" s="1"/>
  <c r="J114" i="59"/>
  <c r="J111" i="59" s="1"/>
  <c r="K119" i="59"/>
  <c r="L7" i="52"/>
  <c r="L8" i="52" s="1"/>
  <c r="L79" i="46"/>
  <c r="L87" i="46" s="1"/>
  <c r="L27" i="46"/>
  <c r="L21" i="52" s="1"/>
  <c r="L26" i="52" s="1"/>
  <c r="L34" i="46"/>
  <c r="L42" i="46" s="1"/>
  <c r="L22" i="52" s="1"/>
  <c r="L27" i="52" s="1"/>
  <c r="L49" i="46"/>
  <c r="L57" i="46" s="1"/>
  <c r="L23" i="52" s="1"/>
  <c r="L28" i="52" s="1"/>
  <c r="L109" i="46"/>
  <c r="L117" i="46" s="1"/>
  <c r="L94" i="46"/>
  <c r="L102" i="46" s="1"/>
  <c r="L64" i="46"/>
  <c r="L72" i="46" s="1"/>
  <c r="M95" i="38"/>
  <c r="L93" i="38"/>
  <c r="L87" i="38" s="1"/>
  <c r="M98" i="38"/>
  <c r="H71" i="46"/>
  <c r="H75" i="46" s="1"/>
  <c r="H74" i="46"/>
  <c r="K58" i="33"/>
  <c r="K52" i="33" s="1"/>
  <c r="L60" i="33"/>
  <c r="L63" i="33" s="1"/>
  <c r="L62" i="33"/>
  <c r="L117" i="59"/>
  <c r="K59" i="59"/>
  <c r="K56" i="59"/>
  <c r="K60" i="59" s="1"/>
  <c r="J54" i="59"/>
  <c r="J51" i="59" s="1"/>
  <c r="H116" i="46"/>
  <c r="H120" i="46" s="1"/>
  <c r="H119" i="46"/>
  <c r="K13" i="33"/>
  <c r="K7" i="33" s="1"/>
  <c r="L15" i="33"/>
  <c r="L18" i="33" s="1"/>
  <c r="L17" i="33"/>
  <c r="H56" i="46"/>
  <c r="H59" i="46"/>
  <c r="L42" i="59"/>
  <c r="K12" i="59"/>
  <c r="K15" i="59" s="1"/>
  <c r="J10" i="59"/>
  <c r="J7" i="59" s="1"/>
  <c r="K14" i="59"/>
  <c r="H129" i="46"/>
  <c r="H132" i="46" s="1"/>
  <c r="H131" i="46"/>
  <c r="H86" i="46"/>
  <c r="H90" i="46" s="1"/>
  <c r="H89" i="46"/>
  <c r="I13" i="52"/>
  <c r="I60" i="46"/>
  <c r="L72" i="59"/>
  <c r="J39" i="59"/>
  <c r="J36" i="59" s="1"/>
  <c r="K44" i="59"/>
  <c r="K41" i="59"/>
  <c r="K45" i="59" s="1"/>
  <c r="L90" i="33"/>
  <c r="L93" i="33" s="1"/>
  <c r="K88" i="33"/>
  <c r="K82" i="33" s="1"/>
  <c r="L92" i="33"/>
  <c r="M64" i="38"/>
  <c r="M67" i="38"/>
  <c r="M15" i="38"/>
  <c r="L13" i="38"/>
  <c r="L7" i="38" s="1"/>
  <c r="M18" i="38"/>
  <c r="N45" i="38"/>
  <c r="N39" i="38" s="1"/>
  <c r="O47" i="38"/>
  <c r="O50" i="38"/>
  <c r="O31" i="38"/>
  <c r="N29" i="38"/>
  <c r="N23" i="38" s="1"/>
  <c r="O34" i="38"/>
  <c r="L57" i="59"/>
  <c r="H101" i="46"/>
  <c r="H105" i="46" s="1"/>
  <c r="H104" i="46"/>
  <c r="M105" i="33"/>
  <c r="M108" i="33" s="1"/>
  <c r="L103" i="33"/>
  <c r="L97" i="33" s="1"/>
  <c r="J19" i="59" s="1"/>
  <c r="M107" i="33"/>
  <c r="K73" i="33"/>
  <c r="K67" i="33" s="1"/>
  <c r="L75" i="33"/>
  <c r="L78" i="33" s="1"/>
  <c r="L77" i="33"/>
  <c r="M34" i="52"/>
  <c r="K19" i="46"/>
  <c r="N16" i="38"/>
  <c r="N19" i="38"/>
  <c r="P48" i="38"/>
  <c r="P51" i="38"/>
  <c r="P32" i="38"/>
  <c r="P35" i="38"/>
  <c r="H26" i="46"/>
  <c r="H29" i="46"/>
  <c r="L87" i="59"/>
  <c r="H12" i="46"/>
  <c r="H15" i="46" s="1"/>
  <c r="AD9" i="46"/>
  <c r="AD10" i="46"/>
  <c r="H14" i="46"/>
  <c r="J127" i="59"/>
  <c r="J124" i="59" s="1"/>
  <c r="K129" i="59"/>
  <c r="K132" i="59" s="1"/>
  <c r="K131" i="59"/>
  <c r="K71" i="59"/>
  <c r="K75" i="59" s="1"/>
  <c r="K74" i="59"/>
  <c r="J69" i="59"/>
  <c r="J66" i="59" s="1"/>
  <c r="L63" i="38"/>
  <c r="K61" i="38"/>
  <c r="K55" i="38" s="1"/>
  <c r="L66" i="38"/>
  <c r="N80" i="38"/>
  <c r="N83" i="38"/>
  <c r="M111" i="38"/>
  <c r="L109" i="38"/>
  <c r="L103" i="38" s="1"/>
  <c r="M114" i="38"/>
  <c r="L77" i="38"/>
  <c r="L71" i="38" s="1"/>
  <c r="M79" i="38"/>
  <c r="M82" i="38"/>
  <c r="N112" i="38"/>
  <c r="N115" i="38"/>
  <c r="H41" i="46"/>
  <c r="H44" i="46"/>
  <c r="K19" i="59"/>
  <c r="I12" i="52"/>
  <c r="I45" i="46"/>
  <c r="K101" i="59"/>
  <c r="K105" i="59" s="1"/>
  <c r="J99" i="59"/>
  <c r="J96" i="59" s="1"/>
  <c r="K104" i="59"/>
  <c r="K26" i="59"/>
  <c r="K30" i="59" s="1"/>
  <c r="K29" i="59"/>
  <c r="J24" i="59"/>
  <c r="J21" i="59" s="1"/>
  <c r="I11" i="52"/>
  <c r="I30" i="46"/>
  <c r="L102" i="59"/>
  <c r="J94" i="59" l="1"/>
  <c r="J79" i="59"/>
  <c r="J64" i="59"/>
  <c r="J109" i="59"/>
  <c r="J34" i="59"/>
  <c r="J49" i="59"/>
  <c r="I10" i="59"/>
  <c r="I7" i="59" s="1"/>
  <c r="J12" i="59"/>
  <c r="J15" i="59" s="1"/>
  <c r="J14" i="59"/>
  <c r="K109" i="38"/>
  <c r="K103" i="38" s="1"/>
  <c r="L111" i="38"/>
  <c r="L114" i="38"/>
  <c r="M80" i="38"/>
  <c r="M83" i="38"/>
  <c r="K77" i="38"/>
  <c r="K71" i="38" s="1"/>
  <c r="L79" i="38"/>
  <c r="L82" i="38"/>
  <c r="I24" i="59"/>
  <c r="I21" i="59" s="1"/>
  <c r="J26" i="59"/>
  <c r="J30" i="59" s="1"/>
  <c r="J29" i="59"/>
  <c r="M96" i="38"/>
  <c r="M99" i="38"/>
  <c r="H11" i="52"/>
  <c r="H30" i="46"/>
  <c r="I114" i="59"/>
  <c r="I111" i="59" s="1"/>
  <c r="J116" i="59"/>
  <c r="J120" i="59" s="1"/>
  <c r="J119" i="59"/>
  <c r="H13" i="52"/>
  <c r="H60" i="46"/>
  <c r="J61" i="38"/>
  <c r="J55" i="38" s="1"/>
  <c r="K63" i="38"/>
  <c r="K66" i="38"/>
  <c r="L64" i="38"/>
  <c r="L67" i="38"/>
  <c r="J41" i="59"/>
  <c r="J45" i="59" s="1"/>
  <c r="I39" i="59"/>
  <c r="I36" i="59" s="1"/>
  <c r="J44" i="59"/>
  <c r="O32" i="38"/>
  <c r="O35" i="38"/>
  <c r="K8" i="52"/>
  <c r="M16" i="38"/>
  <c r="M19" i="38"/>
  <c r="J101" i="59"/>
  <c r="J105" i="59" s="1"/>
  <c r="J104" i="59"/>
  <c r="I99" i="59"/>
  <c r="I96" i="59" s="1"/>
  <c r="I19" i="59"/>
  <c r="I19" i="46"/>
  <c r="J13" i="33"/>
  <c r="J7" i="33" s="1"/>
  <c r="K15" i="33"/>
  <c r="K18" i="33" s="1"/>
  <c r="K17" i="33"/>
  <c r="M43" i="33"/>
  <c r="M37" i="33" s="1"/>
  <c r="N45" i="33"/>
  <c r="N48" i="33" s="1"/>
  <c r="N47" i="33"/>
  <c r="L15" i="38"/>
  <c r="K13" i="38"/>
  <c r="K7" i="38" s="1"/>
  <c r="L18" i="38"/>
  <c r="K103" i="33"/>
  <c r="K97" i="33" s="1"/>
  <c r="L105" i="33"/>
  <c r="L108" i="33" s="1"/>
  <c r="L107" i="33"/>
  <c r="J88" i="33"/>
  <c r="J82" i="33" s="1"/>
  <c r="K90" i="33"/>
  <c r="K93" i="33" s="1"/>
  <c r="K92" i="33"/>
  <c r="K94" i="59"/>
  <c r="K102" i="59" s="1"/>
  <c r="K79" i="59"/>
  <c r="K87" i="59" s="1"/>
  <c r="K64" i="59"/>
  <c r="K72" i="59" s="1"/>
  <c r="K34" i="59"/>
  <c r="K42" i="59" s="1"/>
  <c r="K49" i="59"/>
  <c r="K57" i="59" s="1"/>
  <c r="K109" i="59"/>
  <c r="K117" i="59" s="1"/>
  <c r="K27" i="59"/>
  <c r="H12" i="52"/>
  <c r="H45" i="46"/>
  <c r="O48" i="38"/>
  <c r="O51" i="38"/>
  <c r="L34" i="52"/>
  <c r="J73" i="33"/>
  <c r="J67" i="33" s="1"/>
  <c r="K75" i="33"/>
  <c r="K78" i="33" s="1"/>
  <c r="K77" i="33"/>
  <c r="M112" i="38"/>
  <c r="M115" i="38"/>
  <c r="I84" i="59"/>
  <c r="I81" i="59" s="1"/>
  <c r="J89" i="59"/>
  <c r="J86" i="59"/>
  <c r="J90" i="59" s="1"/>
  <c r="I69" i="59"/>
  <c r="I66" i="59" s="1"/>
  <c r="J74" i="59"/>
  <c r="J71" i="59"/>
  <c r="J75" i="59" s="1"/>
  <c r="J19" i="46"/>
  <c r="K7" i="52"/>
  <c r="K79" i="46"/>
  <c r="K87" i="46" s="1"/>
  <c r="K27" i="46"/>
  <c r="K21" i="52" s="1"/>
  <c r="K26" i="52" s="1"/>
  <c r="K49" i="46"/>
  <c r="K57" i="46" s="1"/>
  <c r="K23" i="52" s="1"/>
  <c r="K28" i="52" s="1"/>
  <c r="K34" i="52" s="1"/>
  <c r="K109" i="46"/>
  <c r="K117" i="46" s="1"/>
  <c r="K94" i="46"/>
  <c r="K102" i="46" s="1"/>
  <c r="K64" i="46"/>
  <c r="K72" i="46" s="1"/>
  <c r="K34" i="46"/>
  <c r="K42" i="46" s="1"/>
  <c r="K22" i="52" s="1"/>
  <c r="K27" i="52" s="1"/>
  <c r="K33" i="52" s="1"/>
  <c r="N47" i="38"/>
  <c r="M45" i="38"/>
  <c r="M39" i="38" s="1"/>
  <c r="N50" i="38"/>
  <c r="J56" i="59"/>
  <c r="J60" i="59" s="1"/>
  <c r="I54" i="59"/>
  <c r="I51" i="59" s="1"/>
  <c r="J59" i="59"/>
  <c r="L33" i="52"/>
  <c r="N30" i="33"/>
  <c r="N33" i="33" s="1"/>
  <c r="M28" i="33"/>
  <c r="M22" i="33" s="1"/>
  <c r="N32" i="33"/>
  <c r="J58" i="33"/>
  <c r="J52" i="33" s="1"/>
  <c r="K60" i="33"/>
  <c r="K63" i="33" s="1"/>
  <c r="K62" i="33"/>
  <c r="K93" i="38"/>
  <c r="K87" i="38" s="1"/>
  <c r="L95" i="38"/>
  <c r="L98" i="38"/>
  <c r="N31" i="38"/>
  <c r="M29" i="38"/>
  <c r="M23" i="38" s="1"/>
  <c r="N34" i="38"/>
  <c r="J129" i="59"/>
  <c r="J132" i="59" s="1"/>
  <c r="J131" i="59"/>
  <c r="I127" i="59"/>
  <c r="I124" i="59" s="1"/>
  <c r="L32" i="52"/>
  <c r="L29" i="52"/>
  <c r="L35" i="52" s="1"/>
  <c r="J27" i="59" l="1"/>
  <c r="J57" i="59"/>
  <c r="K64" i="38"/>
  <c r="K67" i="38"/>
  <c r="I7" i="52"/>
  <c r="I109" i="46"/>
  <c r="I117" i="46" s="1"/>
  <c r="I94" i="46"/>
  <c r="I102" i="46" s="1"/>
  <c r="I79" i="46"/>
  <c r="I87" i="46" s="1"/>
  <c r="I49" i="46"/>
  <c r="I57" i="46" s="1"/>
  <c r="I23" i="52" s="1"/>
  <c r="I28" i="52" s="1"/>
  <c r="I64" i="46"/>
  <c r="I72" i="46" s="1"/>
  <c r="I34" i="46"/>
  <c r="I42" i="46" s="1"/>
  <c r="I22" i="52" s="1"/>
  <c r="I27" i="52" s="1"/>
  <c r="I27" i="46"/>
  <c r="I21" i="52" s="1"/>
  <c r="I26" i="52" s="1"/>
  <c r="L112" i="38"/>
  <c r="L115" i="38"/>
  <c r="I94" i="59"/>
  <c r="I102" i="59" s="1"/>
  <c r="I79" i="59"/>
  <c r="I87" i="59" s="1"/>
  <c r="I109" i="59"/>
  <c r="I64" i="59"/>
  <c r="I34" i="59"/>
  <c r="I49" i="59"/>
  <c r="L96" i="38"/>
  <c r="L99" i="38"/>
  <c r="K95" i="38"/>
  <c r="J93" i="38"/>
  <c r="J87" i="38" s="1"/>
  <c r="K98" i="38"/>
  <c r="M30" i="33"/>
  <c r="M33" i="33" s="1"/>
  <c r="L28" i="33"/>
  <c r="L22" i="33" s="1"/>
  <c r="M32" i="33"/>
  <c r="K29" i="52"/>
  <c r="K35" i="52" s="1"/>
  <c r="K32" i="52"/>
  <c r="N32" i="38"/>
  <c r="N35" i="38"/>
  <c r="J63" i="38"/>
  <c r="J66" i="38"/>
  <c r="J60" i="33"/>
  <c r="J63" i="33" s="1"/>
  <c r="J62" i="33"/>
  <c r="J7" i="52"/>
  <c r="J8" i="52" s="1"/>
  <c r="J64" i="46"/>
  <c r="J72" i="46" s="1"/>
  <c r="J94" i="46"/>
  <c r="J102" i="46" s="1"/>
  <c r="J79" i="46"/>
  <c r="J87" i="46" s="1"/>
  <c r="J109" i="46"/>
  <c r="J117" i="46" s="1"/>
  <c r="J49" i="46"/>
  <c r="J57" i="46" s="1"/>
  <c r="J23" i="52" s="1"/>
  <c r="J28" i="52" s="1"/>
  <c r="J34" i="46"/>
  <c r="J42" i="46" s="1"/>
  <c r="J22" i="52" s="1"/>
  <c r="J27" i="52" s="1"/>
  <c r="J27" i="46"/>
  <c r="J21" i="52" s="1"/>
  <c r="J26" i="52" s="1"/>
  <c r="I44" i="59"/>
  <c r="I41" i="59"/>
  <c r="I45" i="59" s="1"/>
  <c r="H39" i="59"/>
  <c r="H36" i="59" s="1"/>
  <c r="J42" i="59"/>
  <c r="J77" i="38"/>
  <c r="J71" i="38" s="1"/>
  <c r="K79" i="38"/>
  <c r="K82" i="38"/>
  <c r="I119" i="59"/>
  <c r="I116" i="59"/>
  <c r="H114" i="59"/>
  <c r="H111" i="59" s="1"/>
  <c r="J117" i="59"/>
  <c r="J103" i="33"/>
  <c r="J97" i="33" s="1"/>
  <c r="K105" i="33"/>
  <c r="K108" i="33" s="1"/>
  <c r="K107" i="33"/>
  <c r="I12" i="59"/>
  <c r="I15" i="59" s="1"/>
  <c r="I14" i="59"/>
  <c r="H10" i="59"/>
  <c r="H7" i="59" s="1"/>
  <c r="M45" i="33"/>
  <c r="M48" i="33" s="1"/>
  <c r="L43" i="33"/>
  <c r="L37" i="33" s="1"/>
  <c r="M47" i="33"/>
  <c r="I26" i="59"/>
  <c r="I30" i="59" s="1"/>
  <c r="H24" i="59"/>
  <c r="H21" i="59" s="1"/>
  <c r="I29" i="59"/>
  <c r="J72" i="59"/>
  <c r="I101" i="59"/>
  <c r="I105" i="59" s="1"/>
  <c r="I104" i="59"/>
  <c r="H99" i="59"/>
  <c r="H96" i="59" s="1"/>
  <c r="J90" i="33"/>
  <c r="J93" i="33" s="1"/>
  <c r="J92" i="33"/>
  <c r="J75" i="33"/>
  <c r="J78" i="33" s="1"/>
  <c r="J77" i="33"/>
  <c r="J109" i="38"/>
  <c r="J103" i="38" s="1"/>
  <c r="K111" i="38"/>
  <c r="K114" i="38"/>
  <c r="J13" i="38"/>
  <c r="J7" i="38" s="1"/>
  <c r="K15" i="38"/>
  <c r="K18" i="38"/>
  <c r="L16" i="38"/>
  <c r="L19" i="38"/>
  <c r="H127" i="59"/>
  <c r="H124" i="59" s="1"/>
  <c r="I131" i="59"/>
  <c r="I129" i="59"/>
  <c r="I132" i="59" s="1"/>
  <c r="H54" i="59"/>
  <c r="H51" i="59" s="1"/>
  <c r="I56" i="59"/>
  <c r="I60" i="59" s="1"/>
  <c r="I59" i="59"/>
  <c r="J87" i="59"/>
  <c r="N48" i="38"/>
  <c r="N51" i="38"/>
  <c r="H69" i="59"/>
  <c r="H66" i="59" s="1"/>
  <c r="I71" i="59"/>
  <c r="I75" i="59" s="1"/>
  <c r="I74" i="59"/>
  <c r="M31" i="38"/>
  <c r="L29" i="38"/>
  <c r="L23" i="38" s="1"/>
  <c r="M34" i="38"/>
  <c r="L45" i="38"/>
  <c r="L39" i="38" s="1"/>
  <c r="M47" i="38"/>
  <c r="M50" i="38"/>
  <c r="I89" i="59"/>
  <c r="I86" i="59"/>
  <c r="I90" i="59" s="1"/>
  <c r="H84" i="59"/>
  <c r="H81" i="59" s="1"/>
  <c r="H19" i="59"/>
  <c r="H19" i="46"/>
  <c r="J15" i="33"/>
  <c r="J18" i="33" s="1"/>
  <c r="J17" i="33"/>
  <c r="L80" i="38"/>
  <c r="L83" i="38"/>
  <c r="J102" i="59"/>
  <c r="I72" i="59" l="1"/>
  <c r="J79" i="38"/>
  <c r="J82" i="38"/>
  <c r="H71" i="59"/>
  <c r="H75" i="59" s="1"/>
  <c r="H74" i="59"/>
  <c r="M32" i="38"/>
  <c r="M35" i="38"/>
  <c r="H79" i="59"/>
  <c r="H109" i="59"/>
  <c r="H64" i="59"/>
  <c r="H72" i="59" s="1"/>
  <c r="H49" i="59"/>
  <c r="H94" i="59"/>
  <c r="H102" i="59" s="1"/>
  <c r="H34" i="59"/>
  <c r="J64" i="38"/>
  <c r="J67" i="38"/>
  <c r="H7" i="52"/>
  <c r="H109" i="46"/>
  <c r="H117" i="46" s="1"/>
  <c r="H94" i="46"/>
  <c r="H102" i="46" s="1"/>
  <c r="H79" i="46"/>
  <c r="H87" i="46" s="1"/>
  <c r="H34" i="46"/>
  <c r="H42" i="46" s="1"/>
  <c r="H22" i="52" s="1"/>
  <c r="H27" i="52" s="1"/>
  <c r="H49" i="46"/>
  <c r="H57" i="46" s="1"/>
  <c r="H23" i="52" s="1"/>
  <c r="H28" i="52" s="1"/>
  <c r="H27" i="46"/>
  <c r="H21" i="52" s="1"/>
  <c r="H64" i="46"/>
  <c r="H72" i="46" s="1"/>
  <c r="J34" i="52"/>
  <c r="J95" i="38"/>
  <c r="J98" i="38"/>
  <c r="H116" i="59"/>
  <c r="H119" i="59"/>
  <c r="J15" i="38"/>
  <c r="J18" i="38"/>
  <c r="H14" i="59"/>
  <c r="H12" i="59"/>
  <c r="H15" i="59" s="1"/>
  <c r="AD9" i="59"/>
  <c r="AD10" i="59"/>
  <c r="J111" i="38"/>
  <c r="J114" i="38"/>
  <c r="I29" i="52"/>
  <c r="H86" i="59"/>
  <c r="H90" i="59" s="1"/>
  <c r="H89" i="59"/>
  <c r="H56" i="59"/>
  <c r="H60" i="59" s="1"/>
  <c r="H59" i="59"/>
  <c r="H129" i="59"/>
  <c r="H132" i="59" s="1"/>
  <c r="H131" i="59"/>
  <c r="I27" i="59"/>
  <c r="H41" i="59"/>
  <c r="H45" i="59" s="1"/>
  <c r="H44" i="59"/>
  <c r="K112" i="38"/>
  <c r="K115" i="38"/>
  <c r="J33" i="52"/>
  <c r="H104" i="59"/>
  <c r="H101" i="59"/>
  <c r="H105" i="59" s="1"/>
  <c r="I117" i="59"/>
  <c r="I120" i="59"/>
  <c r="I57" i="59"/>
  <c r="I8" i="52"/>
  <c r="I32" i="52" s="1"/>
  <c r="K16" i="38"/>
  <c r="K19" i="38"/>
  <c r="L45" i="33"/>
  <c r="L48" i="33" s="1"/>
  <c r="K43" i="33"/>
  <c r="K37" i="33" s="1"/>
  <c r="L47" i="33"/>
  <c r="J29" i="52"/>
  <c r="J35" i="52" s="1"/>
  <c r="J32" i="52"/>
  <c r="L30" i="33"/>
  <c r="L33" i="33" s="1"/>
  <c r="K28" i="33"/>
  <c r="K22" i="33" s="1"/>
  <c r="L32" i="33"/>
  <c r="J105" i="33"/>
  <c r="J108" i="33" s="1"/>
  <c r="J107" i="33"/>
  <c r="K96" i="38"/>
  <c r="K99" i="38"/>
  <c r="M48" i="38"/>
  <c r="M51" i="38"/>
  <c r="L47" i="38"/>
  <c r="K45" i="38"/>
  <c r="K39" i="38" s="1"/>
  <c r="L50" i="38"/>
  <c r="L31" i="38"/>
  <c r="K29" i="38"/>
  <c r="K23" i="38" s="1"/>
  <c r="L34" i="38"/>
  <c r="H26" i="59"/>
  <c r="H30" i="59" s="1"/>
  <c r="H29" i="59"/>
  <c r="K80" i="38"/>
  <c r="K83" i="38"/>
  <c r="I42" i="59"/>
  <c r="H27" i="59" l="1"/>
  <c r="L48" i="38"/>
  <c r="L51" i="38"/>
  <c r="H42" i="59"/>
  <c r="K45" i="33"/>
  <c r="K48" i="33" s="1"/>
  <c r="J43" i="33"/>
  <c r="J37" i="33" s="1"/>
  <c r="K47" i="33"/>
  <c r="J96" i="38"/>
  <c r="J99" i="38"/>
  <c r="H87" i="59"/>
  <c r="J112" i="38"/>
  <c r="J115" i="38"/>
  <c r="J45" i="38"/>
  <c r="J39" i="38" s="1"/>
  <c r="K47" i="38"/>
  <c r="K50" i="38"/>
  <c r="H57" i="59"/>
  <c r="I34" i="52"/>
  <c r="H117" i="59"/>
  <c r="H120" i="59"/>
  <c r="I33" i="52"/>
  <c r="I35" i="52"/>
  <c r="C35" i="56"/>
  <c r="H26" i="52"/>
  <c r="K31" i="38"/>
  <c r="J29" i="38"/>
  <c r="J23" i="38" s="1"/>
  <c r="K34" i="38"/>
  <c r="L32" i="38"/>
  <c r="L35" i="38"/>
  <c r="H8" i="52"/>
  <c r="H34" i="52" s="1"/>
  <c r="J16" i="38"/>
  <c r="J19" i="38"/>
  <c r="H33" i="52"/>
  <c r="J28" i="33"/>
  <c r="J22" i="33" s="1"/>
  <c r="K30" i="33"/>
  <c r="K33" i="33" s="1"/>
  <c r="K32" i="33"/>
  <c r="J80" i="38"/>
  <c r="J83" i="38"/>
  <c r="J31" i="38" l="1"/>
  <c r="J34" i="38"/>
  <c r="K48" i="38"/>
  <c r="K51" i="38"/>
  <c r="K32" i="38"/>
  <c r="K35" i="38"/>
  <c r="J47" i="38"/>
  <c r="J50" i="38"/>
  <c r="H32" i="52"/>
  <c r="H29" i="52"/>
  <c r="H35" i="52" s="1"/>
  <c r="J45" i="33"/>
  <c r="J48" i="33" s="1"/>
  <c r="J47" i="33"/>
  <c r="J30" i="33"/>
  <c r="J33" i="33" s="1"/>
  <c r="AF27" i="33"/>
  <c r="AF28" i="33"/>
  <c r="J32" i="33"/>
  <c r="J48" i="38" l="1"/>
  <c r="J51" i="38"/>
  <c r="J32" i="38"/>
  <c r="AF32" i="38" s="1"/>
  <c r="J35" i="38"/>
  <c r="C8" i="60" l="1"/>
  <c r="C50" i="60" l="1"/>
  <c r="C53" i="60"/>
  <c r="C55" i="60" s="1"/>
  <c r="C109" i="60" s="1"/>
  <c r="C57" i="60"/>
  <c r="C100" i="60"/>
  <c r="D92" i="60" l="1"/>
  <c r="E92" i="60"/>
  <c r="C66" i="60"/>
  <c r="C68" i="60" s="1"/>
  <c r="D73" i="60"/>
  <c r="D66" i="60"/>
  <c r="D68" i="60" s="1"/>
  <c r="E73" i="60"/>
  <c r="E66" i="60"/>
  <c r="E68" i="60" s="1"/>
  <c r="D74" i="60"/>
  <c r="D75" i="60"/>
  <c r="E74" i="60"/>
  <c r="E75" i="60"/>
  <c r="C56" i="60"/>
  <c r="D78" i="60" l="1"/>
  <c r="D83" i="60" s="1"/>
  <c r="E78" i="60"/>
  <c r="E83" i="60" s="1"/>
  <c r="C58" i="60"/>
  <c r="D79" i="60"/>
  <c r="D84" i="60" s="1"/>
  <c r="E79" i="60"/>
  <c r="E84" i="60" s="1"/>
  <c r="D80" i="60"/>
  <c r="D85" i="60" s="1"/>
  <c r="E80" i="60"/>
  <c r="E85" i="60" s="1"/>
  <c r="E88" i="60"/>
  <c r="E90" i="60" s="1"/>
  <c r="E91" i="60" s="1"/>
  <c r="E93" i="60" s="1"/>
  <c r="E94" i="60" s="1"/>
  <c r="D88" i="60"/>
  <c r="D90" i="60" s="1"/>
  <c r="D91" i="60" s="1"/>
  <c r="D93" i="60" s="1"/>
  <c r="D94" i="60" s="1"/>
  <c r="C69" i="60"/>
  <c r="D69" i="60"/>
  <c r="D70" i="60" s="1"/>
  <c r="E69" i="60"/>
  <c r="E70" i="60" s="1"/>
  <c r="C70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C6" authorId="0" shapeId="0" xr:uid="{C30F3D9B-2ED5-4FEC-82BA-D38167FE60E0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Input — AMB base case as of 09/27/26 (was linked to P&amp;L Overview K16 (PF Jul'26 run-rate revenue))</t>
        </r>
      </text>
    </comment>
    <comment ref="C11" authorId="0" shapeId="0" xr:uid="{092D315E-9C50-4ACB-8790-04ACF8F2C685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Input — AMB base case as of 09/27/26 (was linked to Offer Comparison C37 (Topkey equity issued to Ben))</t>
        </r>
      </text>
    </comment>
    <comment ref="C13" authorId="0" shapeId="0" xr:uid="{ECD0519A-12D3-47B1-8C3E-1AF886C4BF2E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Input — AMB base case as of 09/27/26 (was linked to Offer Comparison C36 (cash at close))</t>
        </r>
      </text>
    </comment>
    <comment ref="C52" authorId="0" shapeId="0" xr:uid="{A4481E5F-AA1D-46FA-BC4F-3DCF56AF48AC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Input — AMB base case as of 09/27/26 (was linked to Offer Comparison C9 (Topkey pre-deal valuation))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<sst xmlns="http://schemas.openxmlformats.org/spreadsheetml/2006/main" count="26822" uniqueCount="2920">
  <si>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</si>
  <si>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</si>
  <si>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</si>
  <si>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</si>
  <si>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</si>
  <si>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</si>
  <si>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</si>
  <si>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</si>
  <si>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</si>
  <si>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</si>
  <si>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</si>
  <si>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</si>
  <si>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</si>
  <si>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</si>
  <si>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</si>
  <si>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</si>
  <si>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</si>
  <si>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</si>
  <si>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</si>
  <si>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</si>
  <si>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</si>
  <si>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</si>
  <si>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</si>
  <si>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</si>
  <si>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</si>
  <si>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</si>
  <si>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</si>
  <si>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</si>
  <si>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</si>
  <si>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</si>
  <si>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</si>
  <si>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</si>
  <si>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</si>
  <si>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</si>
  <si>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</si>
  <si>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</si>
  <si>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</si>
  <si>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</si>
  <si>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</si>
  <si>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</si>
  <si>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</si>
  <si>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</si>
  <si>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</si>
  <si>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</si>
  <si>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</si>
  <si>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</si>
  <si>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</si>
  <si>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</si>
  <si>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</si>
  <si>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</si>
  <si>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</si>
  <si>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</si>
  <si>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</si>
  <si>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</si>
  <si>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</si>
  <si>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</si>
  <si>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</si>
  <si>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</si>
  <si>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</si>
  <si>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</si>
  <si>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</si>
  <si>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</si>
  <si>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</si>
  <si>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</si>
  <si>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</si>
  <si>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</si>
  <si>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</si>
  <si>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</si>
  <si>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</si>
  <si>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</si>
  <si>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</si>
  <si>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</si>
  <si>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</si>
  <si>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</si>
  <si>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</si>
  <si>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</si>
  <si>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</si>
  <si>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</si>
  <si>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</si>
  <si>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</si>
  <si>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</si>
  <si>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</si>
  <si>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</si>
  <si>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</si>
  <si>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</si>
  <si>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</si>
  <si>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</si>
  <si>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</si>
  <si>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</si>
  <si>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</si>
  <si>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</si>
  <si>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</si>
  <si>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</si>
  <si>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</si>
  <si>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</si>
  <si>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</si>
  <si>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</si>
  <si>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</si>
  <si>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</si>
  <si>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</si>
  <si>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</si>
  <si>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</si>
  <si>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</si>
  <si>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</si>
  <si>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</si>
  <si>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</si>
  <si>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</si>
  <si>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</si>
  <si>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</si>
  <si>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</si>
  <si>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</si>
  <si>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</si>
  <si>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</si>
  <si>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</si>
  <si>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</si>
  <si>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</si>
  <si>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</si>
  <si>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</si>
  <si>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</si>
  <si>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</si>
  <si>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</si>
  <si>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</si>
  <si>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</si>
  <si>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</si>
  <si>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</si>
  <si>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</si>
  <si>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</si>
  <si>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</si>
  <si>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</si>
  <si>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</si>
  <si>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</si>
  <si>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</si>
  <si>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</si>
  <si>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</si>
  <si>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</si>
  <si>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</si>
  <si>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</si>
  <si>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</si>
  <si>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</si>
  <si>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</si>
  <si>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</si>
  <si>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</si>
  <si>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</si>
  <si>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</si>
  <si>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</si>
  <si>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</si>
  <si>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</si>
  <si>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</si>
  <si>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</si>
  <si>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</si>
  <si>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</si>
  <si>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</si>
  <si>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</si>
  <si>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</si>
  <si>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</si>
  <si>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</si>
  <si>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</si>
  <si>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</si>
  <si>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</si>
  <si>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</si>
  <si>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</si>
  <si>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</si>
  <si>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</si>
  <si>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</si>
  <si>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</si>
  <si>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</si>
  <si>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</si>
  <si>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</si>
  <si>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</si>
  <si>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</si>
  <si>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</si>
  <si>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</si>
  <si>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</si>
  <si>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</si>
  <si>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</si>
  <si>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</si>
  <si>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</si>
  <si>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</si>
  <si>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</si>
  <si>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</si>
  <si>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</si>
  <si>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</si>
  <si>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</si>
  <si>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</si>
  <si>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</si>
  <si>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</si>
  <si>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</si>
  <si>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</si>
  <si>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</si>
  <si>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</si>
  <si>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</si>
  <si>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</si>
  <si>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</si>
  <si>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</si>
  <si>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</si>
  <si>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</si>
  <si>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</si>
  <si>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</si>
  <si>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</si>
  <si>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</si>
  <si>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</si>
  <si>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</si>
  <si>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</si>
  <si>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</si>
  <si>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</si>
  <si>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</si>
  <si>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</si>
  <si>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</si>
  <si>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</si>
  <si>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</si>
  <si>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</si>
  <si>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</si>
  <si>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</si>
  <si>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</si>
  <si>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</si>
  <si>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</si>
  <si>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</si>
  <si>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</si>
  <si>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</si>
  <si>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</si>
  <si>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</si>
  <si>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</si>
  <si>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</si>
  <si>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</si>
  <si>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</si>
  <si>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</si>
  <si>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</si>
  <si>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</si>
  <si>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</si>
  <si>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</si>
  <si>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</si>
  <si>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</si>
  <si>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</si>
  <si>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</si>
  <si>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</si>
  <si>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</si>
  <si>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</si>
  <si>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</si>
  <si>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</si>
  <si>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</si>
  <si>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</si>
  <si>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</si>
  <si>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</si>
  <si>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</si>
  <si>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</si>
  <si>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</si>
  <si>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</si>
  <si>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</si>
  <si>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</si>
  <si>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</si>
  <si>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</si>
  <si>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</si>
  <si>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</si>
  <si>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</si>
  <si>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</si>
  <si>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</si>
  <si>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</si>
  <si>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</si>
  <si>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</si>
  <si>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</si>
  <si>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</si>
  <si>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</si>
  <si>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</si>
  <si>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</si>
  <si>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</si>
  <si>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</si>
  <si>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</si>
  <si>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</si>
  <si>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</si>
  <si>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</si>
  <si>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</si>
  <si>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</si>
  <si>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</si>
  <si>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</si>
  <si>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</si>
  <si>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</si>
  <si>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</si>
  <si>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</si>
  <si>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</si>
  <si>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</si>
  <si>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</si>
  <si>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</si>
  <si>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</si>
  <si>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</si>
  <si>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</si>
  <si>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</si>
  <si>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</si>
  <si>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</si>
  <si>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</si>
  <si>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</si>
  <si>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</si>
  <si>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</si>
  <si>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</si>
  <si>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</si>
  <si>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</si>
  <si>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</si>
  <si>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</si>
  <si>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</si>
  <si>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</si>
  <si>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</si>
  <si>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</si>
  <si>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</si>
  <si>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</si>
  <si>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</si>
  <si>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</si>
  <si>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</si>
  <si>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</si>
  <si>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</si>
  <si>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</si>
  <si>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</si>
  <si>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</si>
  <si>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</si>
  <si>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</si>
  <si>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</si>
  <si>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</si>
  <si>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</si>
  <si>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</si>
  <si>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</si>
  <si>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</si>
  <si>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</si>
  <si>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</si>
  <si>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</si>
  <si>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</si>
  <si>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</si>
  <si>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</si>
  <si>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</si>
  <si>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</si>
  <si>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</si>
  <si>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</si>
  <si>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</si>
  <si>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</si>
  <si>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</si>
  <si>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</si>
  <si>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</si>
  <si>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</si>
  <si>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</si>
  <si>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</si>
  <si>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</si>
  <si>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</si>
  <si>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</si>
  <si>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</si>
  <si>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</si>
  <si>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</si>
  <si>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</si>
  <si>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</si>
  <si>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</si>
  <si>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</si>
  <si>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</si>
  <si>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</si>
  <si>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</si>
  <si>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</si>
  <si>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</si>
  <si>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</si>
  <si>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</si>
  <si>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</si>
  <si>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</si>
  <si>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</si>
  <si>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</si>
  <si>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</si>
  <si>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</si>
  <si>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</si>
  <si>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</si>
  <si>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</si>
  <si>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</si>
  <si>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</si>
  <si>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</si>
  <si>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</si>
  <si>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</si>
  <si>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</si>
  <si>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</si>
  <si>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</si>
  <si>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</si>
  <si>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</si>
  <si>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</si>
  <si>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</si>
  <si>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</si>
  <si>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</si>
  <si>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</si>
  <si>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</si>
  <si>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</si>
  <si>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</si>
  <si>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</si>
  <si>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</si>
  <si>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</si>
  <si>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</si>
  <si>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</si>
  <si>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</si>
  <si>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</si>
  <si>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</si>
  <si>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</si>
  <si>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</si>
  <si>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</si>
  <si>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</si>
  <si>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</si>
  <si>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</si>
  <si>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</si>
  <si>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</si>
  <si>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</si>
  <si>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</si>
  <si>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</si>
  <si>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</si>
  <si>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</si>
  <si>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</si>
  <si>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</si>
  <si>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</si>
  <si>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</si>
  <si>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</si>
  <si>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</si>
  <si>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</si>
  <si>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</si>
  <si>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</si>
  <si>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</si>
  <si>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</si>
  <si>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</si>
  <si>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</si>
  <si>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</si>
  <si>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</si>
  <si>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</si>
  <si>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</si>
  <si>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</si>
  <si>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</si>
  <si>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</si>
  <si>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</si>
  <si>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</si>
  <si>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</si>
  <si>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</si>
  <si>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</si>
  <si>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</si>
  <si>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</si>
  <si>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</si>
  <si>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</si>
  <si>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</si>
  <si>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</si>
  <si>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</si>
  <si>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</si>
  <si>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</si>
  <si>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</si>
  <si>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</si>
  <si>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</si>
  <si>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</si>
  <si>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</si>
  <si>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</si>
  <si>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</si>
  <si>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</si>
  <si>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</si>
  <si>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</si>
  <si>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</si>
  <si>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</si>
  <si>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</si>
  <si>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</si>
  <si>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</si>
  <si>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</si>
  <si>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</si>
  <si>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</si>
  <si>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</si>
  <si>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</si>
  <si>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</si>
  <si>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</si>
  <si>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</si>
  <si>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</si>
  <si>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</si>
  <si>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</si>
  <si>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</si>
  <si>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</si>
  <si>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</si>
  <si>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</si>
  <si>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</si>
  <si>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</si>
  <si>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</si>
  <si>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</si>
  <si>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</si>
  <si>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</si>
  <si>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</si>
  <si>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</si>
  <si>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</si>
  <si>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</si>
  <si>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</si>
  <si>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</si>
  <si>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</si>
  <si>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</si>
  <si>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</si>
  <si>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</si>
  <si>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</si>
  <si>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</si>
  <si>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</si>
  <si>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</si>
  <si>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</si>
  <si>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</si>
  <si>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</si>
  <si>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</si>
  <si>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</si>
  <si>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</si>
  <si>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</si>
  <si>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</si>
  <si>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</si>
  <si>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</si>
  <si>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</si>
  <si>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</si>
  <si>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</si>
  <si>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</si>
  <si>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</si>
  <si>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</si>
  <si>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</si>
  <si>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</si>
  <si>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</si>
  <si>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</si>
  <si>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</si>
  <si>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</si>
  <si>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</si>
  <si>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</si>
  <si>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</si>
  <si>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</si>
  <si>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</si>
  <si>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</si>
  <si>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</si>
  <si>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</si>
  <si>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</si>
  <si>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</si>
  <si>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</si>
  <si>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</si>
  <si>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</si>
  <si>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</si>
  <si>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</si>
  <si>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</si>
  <si>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</si>
  <si>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</si>
  <si>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</si>
  <si>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</si>
  <si>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</si>
  <si>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</si>
  <si>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</si>
  <si>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</si>
  <si>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</si>
  <si>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</si>
  <si>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</si>
  <si>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</si>
  <si>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</si>
  <si>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</si>
  <si>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</si>
  <si>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</si>
  <si>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</si>
  <si>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</si>
  <si>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</si>
  <si>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</si>
  <si>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</si>
  <si>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</si>
  <si>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</si>
  <si>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</si>
  <si>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</si>
  <si>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</si>
  <si>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</si>
  <si>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</si>
  <si>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</si>
  <si>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</si>
  <si>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</si>
  <si>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</si>
  <si>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</si>
  <si>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</si>
  <si>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</si>
  <si>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</si>
  <si>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</si>
  <si>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</si>
  <si>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</si>
  <si>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</si>
  <si>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</si>
  <si>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</si>
  <si>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</si>
  <si>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</si>
  <si>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</si>
  <si>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</si>
  <si>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</si>
  <si>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</si>
  <si>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</si>
  <si>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</si>
  <si>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</si>
  <si>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</si>
  <si>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</si>
  <si>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</si>
  <si>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</si>
  <si>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</si>
  <si>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</si>
  <si>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</si>
  <si>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</si>
  <si>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</si>
  <si>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</si>
  <si>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</si>
  <si>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</si>
  <si>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</si>
  <si>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</si>
  <si>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</si>
  <si>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</si>
  <si>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</si>
  <si>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</si>
  <si>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</si>
  <si>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</si>
  <si>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</si>
  <si>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</si>
  <si>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</si>
  <si>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</si>
  <si>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</si>
  <si>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</si>
  <si>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</si>
  <si>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</si>
  <si>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</si>
  <si>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</si>
  <si>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</si>
  <si>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</si>
  <si>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</si>
  <si>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</si>
  <si>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</si>
  <si>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</si>
  <si>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</si>
  <si>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</si>
  <si>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</si>
  <si>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</si>
  <si>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</si>
  <si>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</si>
  <si>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</si>
  <si>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</si>
  <si>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</si>
  <si>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</si>
  <si>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</si>
  <si>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</si>
  <si>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</si>
  <si>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</si>
  <si>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</si>
  <si>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</si>
  <si>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</si>
  <si>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</si>
  <si>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</si>
  <si>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</si>
  <si>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</si>
  <si>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</si>
  <si>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</si>
  <si>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</si>
  <si>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</si>
  <si>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</si>
  <si>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</si>
  <si>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</si>
  <si>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</si>
  <si>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</si>
  <si>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</si>
  <si>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</si>
  <si>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</si>
  <si>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</si>
  <si>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</si>
  <si>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</si>
  <si>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</si>
  <si>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</si>
  <si>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</si>
  <si>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</si>
  <si>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</si>
  <si>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</si>
  <si>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</si>
  <si>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</si>
  <si>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</si>
  <si>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</si>
  <si>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</si>
  <si>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</si>
  <si>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</si>
  <si>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</si>
  <si>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</si>
  <si>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</si>
  <si>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</si>
  <si>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</si>
  <si>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</si>
  <si>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</si>
  <si>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</si>
  <si>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</si>
  <si>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</si>
  <si>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</si>
  <si>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</si>
  <si>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</si>
  <si>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</si>
  <si>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</si>
  <si>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</si>
  <si>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</si>
  <si>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</si>
  <si>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</si>
  <si>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</si>
  <si>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</si>
  <si>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</si>
  <si>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</si>
  <si>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</si>
  <si>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</si>
  <si>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</si>
  <si>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</si>
  <si>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</si>
  <si>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</si>
  <si>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</si>
  <si>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</si>
  <si>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</si>
  <si>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</si>
  <si>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</si>
  <si>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</si>
  <si>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</si>
  <si>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</si>
  <si>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</si>
  <si>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</si>
  <si>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</si>
  <si>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</si>
  <si>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</si>
  <si>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</si>
  <si>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</si>
  <si>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</si>
  <si>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</si>
  <si>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</si>
  <si>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</si>
  <si>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</si>
  <si>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</si>
  <si>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</si>
  <si>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</si>
  <si>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</si>
  <si>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</si>
  <si>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</si>
  <si>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</si>
  <si>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</si>
  <si>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</si>
  <si>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</si>
  <si>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</si>
  <si>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</si>
  <si>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</si>
  <si>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</si>
  <si>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</si>
  <si>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</si>
  <si>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</si>
  <si>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</si>
  <si>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</si>
  <si>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</si>
  <si>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</si>
  <si>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</si>
  <si>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</si>
  <si>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</si>
  <si>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</si>
  <si>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</si>
  <si>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</si>
  <si>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</si>
  <si>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</si>
  <si>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</si>
  <si>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</si>
  <si>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</si>
  <si>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</si>
  <si>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</si>
  <si>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</si>
  <si>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</si>
  <si>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</si>
  <si>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</si>
  <si>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</si>
  <si>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</si>
  <si>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</si>
  <si>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</si>
  <si>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</si>
  <si>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</si>
  <si>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</si>
  <si>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</si>
  <si>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</si>
  <si>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</si>
  <si>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</si>
  <si>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</si>
  <si>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</si>
  <si>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</si>
  <si>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</si>
  <si>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</si>
  <si>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</si>
  <si>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</si>
  <si>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</si>
  <si>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</si>
  <si>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</si>
  <si>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</si>
  <si>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</si>
  <si>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</si>
  <si>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</si>
  <si>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</si>
  <si>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</si>
  <si>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</si>
  <si>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</si>
  <si>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</si>
  <si>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</si>
  <si>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</si>
  <si>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</si>
  <si>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</si>
  <si>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</si>
  <si>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</si>
  <si>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</si>
  <si>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</si>
  <si>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</si>
  <si>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</si>
  <si>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</si>
  <si>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</si>
  <si>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</si>
  <si>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</si>
  <si>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</si>
  <si>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</si>
  <si>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</si>
  <si>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</si>
  <si>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</si>
  <si>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</si>
  <si>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</si>
  <si>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</si>
  <si>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</si>
  <si>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</si>
  <si>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</si>
  <si>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</si>
  <si>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</si>
  <si>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</si>
  <si>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</si>
  <si>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</si>
  <si>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</si>
  <si>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</si>
  <si>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</si>
  <si>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</si>
  <si>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</si>
  <si>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</si>
  <si>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</si>
  <si>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</si>
  <si>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</si>
  <si>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</si>
  <si>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</si>
  <si>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</si>
  <si>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</si>
  <si>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</si>
  <si>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</si>
  <si>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</si>
  <si>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</si>
  <si>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</si>
  <si>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</si>
  <si>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</si>
  <si>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</si>
  <si>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</si>
  <si>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</si>
  <si>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</si>
  <si>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</si>
  <si>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</si>
  <si>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</si>
  <si>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</si>
  <si>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</si>
  <si>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</si>
  <si>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</si>
  <si>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</si>
  <si>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</si>
  <si>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</si>
  <si>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</si>
  <si>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</si>
  <si>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</si>
  <si>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</si>
  <si>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</si>
  <si>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</si>
  <si>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</si>
  <si>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</si>
  <si>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</si>
  <si>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</si>
  <si>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</si>
  <si>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</si>
  <si>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</si>
  <si>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</si>
  <si>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</si>
  <si>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</si>
  <si>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</si>
  <si>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</si>
  <si>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</si>
  <si>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</si>
  <si>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</si>
  <si>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</si>
  <si>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</si>
  <si>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</si>
  <si>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</si>
  <si>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</si>
  <si>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</si>
  <si>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</si>
  <si>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</si>
  <si>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</si>
  <si>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</si>
  <si>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</si>
  <si>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</si>
  <si>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</si>
  <si>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</si>
  <si>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</si>
  <si>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</si>
  <si>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</si>
  <si>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</si>
  <si>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</si>
  <si>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</si>
  <si>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</si>
  <si>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</si>
  <si>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</si>
  <si>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</si>
  <si>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</si>
  <si>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</si>
  <si>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</si>
  <si>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</si>
  <si>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</si>
  <si>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</si>
  <si>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</si>
  <si>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</si>
  <si>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</si>
  <si>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</si>
  <si>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</si>
  <si>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</si>
  <si>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</si>
  <si>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</si>
  <si>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</si>
  <si>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</si>
  <si>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</si>
  <si>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</si>
  <si>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</si>
  <si>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</si>
  <si>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</si>
  <si>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</si>
  <si>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</si>
  <si>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</si>
  <si>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</si>
  <si>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</si>
  <si>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</si>
  <si>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</si>
  <si>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</si>
  <si>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</si>
  <si>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</si>
  <si>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</si>
  <si>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</si>
  <si>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</si>
  <si>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</si>
  <si>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</si>
  <si>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</si>
  <si>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</si>
  <si>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</si>
  <si>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</si>
  <si>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</si>
  <si>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</si>
  <si>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</si>
  <si>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</si>
  <si>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</si>
  <si>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</si>
  <si>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</si>
  <si>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</si>
  <si>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</si>
  <si>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</si>
  <si>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</si>
  <si>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</si>
  <si>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</si>
  <si>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</si>
  <si>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</si>
  <si>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</si>
  <si>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</si>
  <si>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</si>
  <si>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</si>
  <si>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</si>
  <si>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</si>
  <si>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</si>
  <si>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</si>
  <si>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</si>
  <si>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</si>
  <si>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</si>
  <si>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</si>
  <si>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</si>
  <si>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</si>
  <si>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</si>
  <si>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</si>
  <si>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</si>
  <si>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</si>
  <si>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</si>
  <si>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</si>
  <si>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</si>
  <si>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</si>
  <si>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</si>
  <si>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</si>
  <si>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</si>
  <si>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</si>
  <si>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</si>
  <si>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</si>
  <si>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</si>
  <si>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</si>
  <si>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</si>
  <si>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</si>
  <si>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</si>
  <si>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</si>
  <si>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</si>
  <si>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</si>
  <si>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</si>
  <si>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</si>
  <si>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</si>
  <si>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</si>
  <si>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</si>
  <si>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</si>
  <si>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</si>
  <si>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</si>
  <si>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</si>
  <si>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</si>
  <si>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</si>
  <si>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</si>
  <si>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</si>
  <si>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</si>
  <si>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</si>
  <si>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</si>
  <si>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</si>
  <si>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</si>
  <si>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</si>
  <si>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</si>
  <si>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</si>
  <si>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</si>
  <si>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</si>
  <si>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</si>
  <si>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</si>
  <si>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</si>
  <si>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</si>
  <si>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</si>
  <si>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</si>
  <si>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</si>
  <si>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</si>
  <si>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</si>
  <si>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</si>
  <si>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</si>
  <si>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</si>
  <si>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</si>
  <si>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</si>
  <si>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</si>
  <si>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</si>
  <si>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</si>
  <si>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</si>
  <si>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</si>
  <si>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</si>
  <si>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</si>
  <si>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</si>
  <si>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</si>
  <si>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</si>
  <si>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</si>
  <si>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</si>
  <si>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</si>
  <si>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</si>
  <si>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</si>
  <si>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</si>
  <si>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</si>
  <si>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</si>
  <si>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</si>
  <si>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</si>
  <si>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</si>
  <si>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</si>
  <si>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</si>
  <si>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</si>
  <si>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</si>
  <si>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</si>
  <si>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</si>
  <si>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</si>
  <si>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</si>
  <si>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</si>
  <si>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</si>
  <si>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</si>
  <si>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</si>
  <si>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</si>
  <si>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</si>
  <si>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</si>
  <si>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</si>
  <si>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</si>
  <si>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</si>
  <si>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</si>
  <si>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</si>
  <si>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</si>
  <si>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</si>
  <si>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</si>
  <si>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</si>
  <si>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</si>
  <si>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</si>
  <si>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</si>
  <si>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</si>
  <si>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</si>
  <si>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</si>
  <si>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</si>
  <si>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</si>
  <si>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</si>
  <si>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</si>
  <si>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</si>
  <si>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</si>
  <si>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</si>
  <si>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</si>
  <si>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</si>
  <si>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</si>
  <si>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</si>
  <si>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</si>
  <si>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</si>
  <si>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</si>
  <si>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</si>
  <si>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</si>
  <si>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</si>
  <si>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</si>
  <si>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</si>
  <si>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</si>
  <si>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</si>
  <si>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</si>
  <si>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</si>
  <si>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</si>
  <si>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</si>
  <si>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</si>
  <si>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</si>
  <si>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</si>
  <si>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</si>
  <si>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</si>
  <si>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</si>
  <si>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</si>
  <si>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</si>
  <si>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</si>
  <si>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</si>
  <si>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</si>
  <si>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</si>
  <si>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</si>
  <si>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</si>
  <si>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</si>
  <si>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</si>
  <si>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</si>
  <si>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</si>
  <si>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</si>
  <si>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</si>
  <si>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</si>
  <si>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</si>
  <si>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</si>
  <si>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</si>
  <si>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</si>
  <si>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</si>
  <si>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</si>
  <si>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</si>
  <si>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</si>
  <si>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</si>
  <si>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</si>
  <si>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</si>
  <si>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</si>
  <si>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</si>
  <si>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</si>
  <si>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</si>
  <si>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</si>
  <si>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</si>
  <si>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</si>
  <si>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</si>
  <si>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</si>
  <si>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</si>
  <si>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</si>
  <si>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</si>
  <si>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</si>
  <si>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</si>
  <si>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</si>
  <si>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</si>
  <si>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</si>
  <si>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</si>
  <si>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</si>
  <si>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</si>
  <si>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</si>
  <si>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</si>
  <si>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</si>
  <si>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</si>
  <si>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</si>
  <si>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</si>
  <si>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</si>
  <si>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</si>
  <si>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</si>
  <si>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</si>
  <si>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</si>
  <si>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</si>
  <si>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</si>
  <si>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</si>
  <si>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</si>
  <si>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</si>
  <si>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</si>
  <si>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</si>
  <si>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</si>
  <si>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</si>
  <si>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</si>
  <si>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</si>
  <si>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</si>
  <si>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</si>
  <si>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</si>
  <si>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</si>
  <si>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</si>
  <si>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</si>
  <si>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</si>
  <si>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</si>
  <si>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</si>
  <si>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</si>
  <si>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</si>
  <si>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</si>
  <si>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</si>
  <si>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</si>
  <si>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</si>
  <si>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</si>
  <si>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</si>
  <si>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</si>
  <si>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</si>
  <si>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</si>
  <si>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</si>
  <si>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</si>
  <si>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</si>
  <si>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</si>
  <si>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</si>
  <si>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</si>
  <si>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</si>
  <si>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</si>
  <si>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</si>
  <si>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</si>
  <si>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</si>
  <si>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</si>
  <si>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</si>
  <si>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</si>
  <si>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</si>
  <si>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</si>
  <si>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</si>
  <si>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</si>
  <si>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</si>
  <si>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</si>
  <si>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</si>
  <si>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</si>
  <si>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</si>
  <si>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</si>
  <si>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</si>
  <si>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</si>
  <si>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</si>
  <si>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</si>
  <si>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</si>
  <si>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</si>
  <si>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</si>
  <si>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</si>
  <si>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</si>
  <si>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</si>
  <si>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</si>
  <si>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</si>
  <si>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</si>
  <si>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</si>
  <si>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</si>
  <si>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</si>
  <si>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</si>
  <si>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</si>
  <si>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</si>
  <si>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</si>
  <si>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</si>
  <si>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</si>
  <si>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</si>
  <si>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</si>
  <si>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</si>
  <si>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</si>
  <si>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</si>
  <si>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</si>
  <si>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</si>
  <si>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</si>
  <si>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</si>
  <si>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</si>
  <si>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</si>
  <si>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</si>
  <si>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</si>
  <si>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</si>
  <si>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</si>
  <si>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</si>
  <si>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</si>
  <si>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</si>
  <si>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</si>
  <si>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</si>
  <si>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</si>
  <si>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</si>
  <si>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</si>
  <si>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</si>
  <si>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</si>
  <si>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</si>
  <si>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</si>
  <si>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</si>
  <si>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</si>
  <si>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</si>
  <si>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</si>
  <si>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</si>
  <si>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</si>
  <si>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</si>
  <si>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</si>
  <si>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</si>
  <si>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</si>
  <si>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</si>
  <si>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</si>
  <si>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</si>
  <si>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</si>
  <si>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</si>
  <si>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</si>
  <si>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</si>
  <si>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</si>
  <si>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</si>
  <si>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</si>
  <si>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</si>
  <si>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</si>
  <si>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</si>
  <si>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</si>
  <si>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</si>
  <si>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</si>
  <si>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</si>
  <si>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</si>
  <si>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</si>
  <si>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</si>
  <si>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</si>
  <si>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</si>
  <si>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</si>
  <si>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</si>
  <si>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</si>
  <si>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</si>
  <si>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</si>
  <si>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</si>
  <si>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</si>
  <si>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</si>
  <si>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</si>
  <si>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</si>
  <si>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</si>
  <si>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</si>
  <si>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</si>
  <si>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</si>
  <si>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</si>
  <si>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</si>
  <si>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</si>
  <si>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</si>
  <si>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</si>
  <si>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</si>
  <si>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</si>
  <si>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</si>
  <si>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</si>
  <si>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</si>
  <si>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</si>
  <si>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</si>
  <si>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</si>
  <si>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</si>
  <si>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</si>
  <si>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</si>
  <si>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</si>
  <si>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</si>
  <si>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</si>
  <si>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</si>
  <si>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</si>
  <si>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</si>
  <si>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</si>
  <si>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</si>
  <si>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</si>
  <si>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</si>
  <si>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</si>
  <si>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</si>
  <si>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</si>
  <si>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</si>
  <si>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</si>
  <si>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</si>
  <si>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</si>
  <si>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</si>
  <si>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</si>
  <si>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</si>
  <si>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</si>
  <si>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</si>
  <si>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</si>
  <si>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</si>
  <si>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</si>
  <si>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</si>
  <si>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</si>
  <si>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</si>
  <si>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</si>
  <si>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</si>
  <si>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</si>
  <si>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</si>
  <si>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</si>
  <si>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</si>
  <si>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</si>
  <si>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</si>
  <si>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</si>
  <si>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</si>
  <si>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</si>
  <si>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</si>
  <si>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</si>
  <si>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</si>
  <si>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</si>
  <si>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</si>
  <si>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</si>
  <si>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</si>
  <si>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</si>
  <si>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</si>
  <si>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</si>
  <si>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</si>
  <si>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</si>
  <si>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</si>
  <si>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</si>
  <si>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</si>
  <si>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</si>
  <si>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</si>
  <si>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</si>
  <si>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</si>
  <si>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</si>
  <si>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</si>
  <si>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</si>
  <si>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</si>
  <si>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</si>
  <si>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</si>
  <si>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</si>
  <si>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</si>
  <si>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</si>
  <si>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</si>
  <si>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</si>
  <si>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</si>
  <si>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</si>
  <si>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</si>
  <si>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</si>
  <si>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</si>
  <si>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</si>
  <si>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</si>
  <si>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</si>
  <si>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</si>
  <si>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</si>
  <si>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</si>
  <si>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</si>
  <si>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</si>
  <si>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</si>
  <si>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</si>
  <si>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</si>
  <si>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</si>
  <si>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</si>
  <si>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</si>
  <si>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</si>
  <si>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</si>
  <si>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</si>
  <si>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</si>
  <si>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</si>
  <si>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</si>
  <si>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</si>
  <si>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</si>
  <si>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</si>
  <si>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</si>
  <si>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</si>
  <si>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</si>
  <si>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</si>
  <si>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</si>
  <si>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</si>
  <si>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</si>
  <si>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</si>
  <si>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</si>
  <si>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</si>
  <si>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</si>
  <si>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</si>
  <si>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</si>
  <si>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</si>
  <si>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</si>
  <si>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</si>
  <si>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</si>
  <si>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</si>
  <si>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</si>
  <si>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</si>
  <si>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</si>
  <si>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</si>
  <si>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</si>
  <si>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</si>
  <si>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</si>
  <si>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</si>
  <si>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</si>
  <si>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</si>
  <si>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</si>
  <si>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</si>
  <si>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</si>
  <si>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</si>
  <si>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</si>
  <si>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</si>
  <si>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</si>
  <si>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</si>
  <si>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</si>
  <si>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</si>
  <si>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</si>
  <si>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</si>
  <si>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</si>
  <si>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</si>
  <si>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</si>
  <si>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</si>
  <si>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</si>
  <si>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</si>
  <si>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</si>
  <si>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</si>
  <si>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</si>
  <si>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</si>
  <si>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</si>
  <si>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</si>
  <si>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</si>
  <si>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</si>
  <si>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</si>
  <si>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</si>
  <si>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</si>
  <si>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</si>
  <si>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</si>
  <si>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</si>
  <si>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</si>
  <si>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</si>
  <si>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</si>
  <si>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</si>
  <si>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</si>
  <si>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</si>
  <si>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</si>
  <si>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</si>
  <si>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</si>
  <si>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</si>
  <si>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</si>
  <si>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</si>
  <si>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</si>
  <si>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</si>
  <si>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</si>
  <si>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</si>
  <si>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</si>
  <si>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</si>
  <si>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</si>
  <si>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</si>
  <si>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</si>
  <si>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</si>
  <si>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</si>
  <si>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</si>
  <si>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</si>
  <si>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</si>
  <si>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</si>
  <si>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</si>
  <si>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</si>
  <si>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</si>
  <si>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</si>
  <si>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</si>
  <si>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</si>
  <si>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</si>
  <si>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</si>
  <si>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</si>
  <si>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</si>
  <si>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</si>
  <si>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</si>
  <si>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</si>
  <si>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</si>
  <si>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</si>
  <si>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</si>
  <si>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</si>
  <si>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</si>
  <si>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</si>
  <si>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</si>
  <si>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</si>
  <si>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</si>
  <si>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</si>
  <si>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</si>
  <si>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</si>
  <si>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</si>
  <si>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</si>
  <si>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</si>
  <si>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</si>
  <si>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</si>
  <si>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</si>
  <si>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</si>
  <si>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</si>
  <si>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</si>
  <si>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</si>
  <si>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</si>
  <si>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</si>
  <si>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</si>
  <si>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</si>
  <si>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</si>
  <si>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</si>
  <si>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</si>
  <si>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</si>
  <si>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</si>
  <si>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</si>
  <si>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</si>
  <si>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</si>
  <si>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</si>
  <si>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</si>
  <si>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</si>
  <si>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</si>
  <si>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</si>
  <si>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</si>
  <si>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</si>
  <si>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</si>
  <si>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</si>
  <si>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</si>
  <si>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</si>
  <si>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</si>
  <si>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</si>
  <si>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</si>
  <si>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</si>
  <si>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</si>
  <si>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</si>
  <si>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</si>
  <si>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</si>
  <si>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</si>
  <si>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</si>
  <si>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</si>
  <si>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</si>
  <si>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</si>
  <si>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</si>
  <si>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</si>
  <si>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</si>
  <si>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</si>
  <si>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</si>
  <si>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</si>
  <si>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</si>
  <si>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</si>
  <si>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</si>
  <si>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</si>
  <si>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</si>
  <si>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</si>
  <si>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</si>
  <si>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</si>
  <si>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</si>
  <si>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</si>
  <si>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</si>
  <si>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</si>
  <si>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</si>
  <si>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</si>
  <si>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</si>
  <si>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</si>
  <si>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</si>
  <si>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</si>
  <si>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</si>
  <si>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</si>
  <si>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</si>
  <si>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</si>
  <si>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</si>
  <si>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</si>
  <si>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</si>
  <si>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</si>
  <si>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</si>
  <si>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</si>
  <si>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</si>
  <si>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</si>
  <si>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</si>
  <si>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</si>
  <si>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</si>
  <si>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</si>
  <si>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</si>
  <si>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</si>
  <si>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</si>
  <si>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</si>
  <si>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</si>
  <si>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</si>
  <si>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</si>
  <si>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</si>
  <si>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</si>
  <si>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</si>
  <si>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</si>
  <si>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</si>
  <si>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</si>
  <si>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</si>
  <si>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</si>
  <si>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</si>
  <si>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</si>
  <si>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</si>
  <si>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</si>
  <si>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</si>
  <si>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</si>
  <si>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</si>
  <si>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</si>
  <si>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</si>
  <si>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</si>
  <si>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</si>
  <si>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</si>
  <si>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</si>
  <si>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</si>
  <si>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</si>
  <si>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</si>
  <si>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</si>
  <si>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</si>
  <si>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</si>
  <si>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</si>
  <si>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</si>
  <si>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</si>
  <si>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</si>
  <si>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</si>
  <si>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</si>
  <si>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</si>
  <si>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</si>
  <si>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</si>
  <si>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</si>
  <si>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</si>
  <si>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</si>
  <si>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</si>
  <si>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</si>
  <si>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</si>
  <si>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</si>
  <si>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</si>
  <si>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</si>
  <si>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</si>
  <si>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</si>
  <si>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</si>
  <si>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</si>
  <si>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</si>
  <si>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</si>
  <si>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</si>
  <si>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</si>
  <si>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</si>
  <si>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</si>
  <si>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</si>
  <si>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</si>
  <si>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</si>
  <si>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</si>
  <si>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</si>
  <si>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</si>
  <si>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</si>
  <si>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</si>
  <si>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</si>
  <si>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</si>
  <si>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</si>
  <si>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</si>
  <si>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</si>
  <si>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</si>
  <si>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</si>
  <si>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</si>
  <si>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</si>
  <si>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</si>
  <si>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</si>
  <si>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</si>
  <si>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</si>
  <si>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</si>
  <si>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</si>
  <si>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</si>
  <si>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</si>
  <si>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</si>
  <si>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</si>
  <si>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</si>
  <si>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</si>
  <si>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</si>
  <si>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</si>
  <si>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</si>
  <si>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</si>
  <si>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</si>
  <si>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</si>
  <si>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</si>
  <si>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</si>
  <si>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</si>
  <si>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</si>
  <si>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</si>
  <si>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</si>
  <si>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</si>
  <si>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</si>
  <si>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</si>
  <si>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</si>
  <si>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</si>
  <si>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</si>
  <si>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</si>
  <si>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</si>
  <si>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</si>
  <si>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</si>
  <si>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</si>
  <si>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</si>
  <si>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</si>
  <si>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</si>
  <si>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</si>
  <si>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</si>
  <si>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</si>
  <si>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</si>
  <si>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</si>
  <si>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</si>
  <si>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</si>
  <si>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</si>
  <si>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</si>
  <si>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</si>
  <si>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</si>
  <si>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</si>
  <si>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</si>
  <si>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</si>
  <si>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</si>
  <si>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</si>
  <si>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</si>
  <si>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</si>
  <si>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</si>
  <si>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</si>
  <si>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</si>
  <si>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</si>
  <si>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</si>
  <si>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</si>
  <si>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</si>
  <si>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</si>
  <si>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</si>
  <si>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</si>
  <si>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</si>
  <si>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</si>
  <si>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</si>
  <si>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</si>
  <si>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</si>
  <si>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</si>
  <si>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</si>
  <si>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</si>
  <si>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</si>
  <si>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</si>
  <si>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</si>
  <si>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</si>
  <si>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</si>
  <si>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</si>
  <si>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</si>
  <si>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</si>
  <si>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</si>
  <si>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</si>
  <si>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</si>
  <si>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</si>
  <si>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</si>
  <si>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</si>
  <si>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</si>
  <si>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</si>
  <si>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</si>
  <si>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</si>
  <si>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</si>
  <si>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</si>
  <si>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</si>
  <si>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</si>
  <si>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</si>
  <si>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</si>
  <si>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</si>
  <si>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</si>
  <si>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</si>
  <si>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</si>
  <si>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</si>
  <si>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</si>
  <si>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</si>
  <si>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</si>
  <si>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</si>
  <si>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</si>
  <si>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</si>
  <si>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</si>
  <si>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</si>
  <si>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</si>
  <si>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</si>
  <si>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</si>
  <si>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</si>
  <si>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</si>
  <si>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</si>
  <si>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</si>
  <si>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</si>
  <si>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</si>
  <si>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</si>
  <si>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</si>
  <si>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</si>
  <si>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</si>
  <si>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</si>
  <si>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</si>
  <si>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</si>
  <si>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</si>
  <si>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</si>
  <si>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</si>
  <si>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</si>
  <si>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</si>
  <si>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</si>
  <si>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</si>
  <si>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</si>
  <si>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</si>
  <si>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</si>
  <si>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</si>
  <si>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</si>
  <si>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</si>
  <si>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</si>
  <si>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</si>
  <si>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</si>
  <si>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</si>
  <si>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</si>
  <si>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</si>
  <si>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</si>
  <si>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</si>
  <si>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</si>
  <si>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</si>
  <si>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</si>
  <si>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</si>
  <si>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</si>
  <si>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</si>
  <si>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</si>
  <si>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</si>
  <si>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</si>
  <si>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</si>
  <si>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</si>
  <si>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</si>
  <si>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</si>
  <si>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</si>
  <si>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</si>
  <si>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</si>
  <si>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</si>
  <si>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</si>
  <si>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</si>
  <si>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</si>
  <si>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</si>
  <si>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</si>
  <si>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</si>
  <si>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</si>
  <si>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</si>
  <si>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</si>
  <si>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</si>
  <si>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</si>
  <si>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</si>
  <si>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</si>
  <si>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</si>
  <si>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</si>
  <si>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</si>
  <si>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</si>
  <si>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</si>
  <si>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</si>
  <si>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</si>
  <si>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</si>
  <si>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</si>
  <si>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</si>
  <si>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</si>
  <si>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</si>
  <si>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</si>
  <si>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</si>
  <si>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</si>
  <si>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</si>
  <si>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</si>
  <si>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</si>
  <si>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</si>
  <si>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</si>
  <si>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</si>
  <si>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</si>
  <si>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</si>
  <si>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</si>
  <si>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</si>
  <si>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</si>
  <si>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</si>
  <si>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</si>
  <si>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</si>
  <si>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</si>
  <si>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</si>
  <si>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</si>
  <si>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</si>
  <si>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</si>
  <si>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</si>
  <si>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</si>
  <si>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</si>
  <si>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</si>
  <si>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</si>
  <si>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</si>
  <si>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</si>
  <si>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</si>
  <si>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</si>
  <si>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</si>
  <si>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</si>
  <si>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</si>
  <si>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</si>
  <si>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</si>
  <si>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</si>
  <si>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</si>
  <si>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</si>
  <si>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</si>
  <si>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</si>
  <si>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</si>
  <si>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</si>
  <si>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</si>
  <si>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</si>
  <si>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</si>
  <si>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</si>
  <si>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</si>
  <si>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</si>
  <si>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</si>
  <si>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</si>
  <si>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</si>
  <si>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</si>
  <si>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</si>
  <si>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</si>
  <si>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</si>
  <si>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</si>
  <si>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</si>
  <si>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</si>
  <si>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</si>
  <si>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</si>
  <si>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</si>
  <si>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</si>
  <si>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</si>
  <si>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</si>
  <si>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</si>
  <si>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</si>
  <si>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</si>
  <si>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</si>
  <si>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</si>
  <si>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</si>
  <si>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</si>
  <si>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</si>
  <si>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</si>
  <si>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</si>
  <si>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</si>
  <si>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</si>
  <si>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</si>
  <si>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</si>
  <si>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</si>
  <si>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</si>
  <si>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</si>
  <si>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</si>
  <si>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</si>
  <si>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</si>
  <si>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</si>
  <si>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</si>
  <si>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</si>
  <si>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</si>
  <si>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</si>
  <si>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</si>
  <si>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</si>
  <si>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</si>
  <si>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</si>
  <si>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</si>
  <si>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</si>
  <si>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</si>
  <si>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</si>
  <si>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</si>
  <si>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</si>
  <si>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</si>
  <si>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</si>
  <si>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</si>
  <si>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</si>
  <si>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</si>
  <si>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</si>
  <si>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</si>
  <si>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</si>
  <si>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</si>
  <si>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</si>
  <si>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</si>
  <si>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</si>
  <si>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</si>
  <si>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</si>
  <si>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</si>
  <si>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</si>
  <si>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</si>
  <si>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</si>
  <si>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</si>
  <si>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</si>
  <si>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</si>
  <si>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</si>
  <si>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</si>
  <si>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</si>
  <si>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</si>
  <si>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</si>
  <si>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</si>
  <si>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</si>
  <si>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</si>
  <si>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</si>
  <si>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</si>
  <si>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</si>
  <si>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</si>
  <si>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</si>
  <si>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</si>
  <si>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</si>
  <si>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</si>
  <si>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</si>
  <si>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</si>
  <si>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</si>
  <si>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</si>
  <si>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</si>
  <si>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</si>
  <si>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</si>
  <si>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</si>
  <si>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</si>
  <si>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</si>
  <si>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</si>
  <si>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</si>
  <si>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</si>
  <si>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</si>
  <si>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</si>
  <si>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</si>
  <si>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</si>
  <si>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</si>
  <si>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</si>
  <si>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</si>
  <si>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</si>
  <si>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</si>
  <si>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</si>
  <si>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</si>
  <si>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</si>
  <si>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</si>
  <si>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</si>
  <si>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</si>
  <si>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</si>
  <si>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</si>
  <si>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</si>
  <si>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</si>
  <si>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</si>
  <si>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</si>
  <si>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</si>
  <si>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</si>
  <si>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</si>
  <si>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</si>
  <si>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</si>
  <si>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</si>
  <si>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</si>
  <si>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</si>
  <si>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</si>
  <si>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</si>
  <si>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</si>
  <si>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</si>
  <si>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</si>
  <si>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</si>
  <si>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</si>
  <si>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</si>
  <si>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</si>
  <si>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</si>
  <si>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</si>
  <si>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</si>
  <si>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</si>
  <si>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</si>
  <si>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</si>
  <si>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</si>
  <si>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</si>
  <si>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</si>
  <si>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</si>
  <si>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</si>
  <si>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</si>
  <si>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</si>
  <si>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</si>
  <si>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</si>
  <si>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</si>
  <si>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</si>
  <si>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</si>
  <si>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</si>
  <si>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</si>
  <si>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</si>
  <si>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</si>
  <si>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</si>
  <si>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</si>
  <si>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</si>
  <si>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</si>
  <si>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</si>
  <si>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</si>
  <si>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</si>
  <si>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</si>
  <si>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</si>
  <si>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</si>
  <si>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</si>
  <si>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</si>
  <si>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</si>
  <si>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</si>
  <si>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</si>
  <si>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 (same as Scenario 1)</t>
  </si>
  <si>
    <t>Scaled Revenue Multiple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</si>
  <si>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</si>
  <si>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</si>
  <si>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</si>
  <si>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</si>
  <si>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</si>
  <si>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</si>
  <si>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</si>
  <si>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</si>
  <si>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</si>
  <si>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</si>
  <si>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</si>
  <si>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</si>
  <si>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</si>
  <si>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</si>
  <si>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</si>
  <si>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</si>
  <si>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</si>
  <si>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</si>
  <si>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</si>
  <si>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</si>
  <si>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</si>
  <si>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</si>
  <si>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</si>
  <si>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</si>
  <si>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</si>
  <si>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</si>
  <si>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</si>
  <si>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</si>
  <si>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</si>
  <si>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</si>
  <si>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</si>
  <si>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</si>
  <si>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</si>
  <si>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</si>
  <si>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</si>
  <si>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</si>
  <si>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</si>
  <si>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</si>
  <si>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Offer value ÷ Keystone run-rate revenue</t>
  </si>
  <si>
    <t>Topkey pre-deal valuation ÷ Topkey run-rate revenue</t>
  </si>
  <si>
    <t>Ben sells at ~1x revenue and buys Topkey stock at ~19x</t>
  </si>
  <si>
    <t>Topkey Year 5 value at which Scenario 2 equals Scenario 1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</si>
  <si>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</si>
  <si>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</si>
  <si>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</si>
  <si>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</si>
  <si>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</si>
  <si>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</si>
  <si>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</si>
  <si>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</si>
  <si>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</si>
  <si>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</si>
  <si>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</si>
  <si>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</si>
  <si>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</si>
  <si>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</si>
  <si>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</si>
  <si>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</si>
  <si>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</si>
  <si>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</si>
  <si>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</si>
  <si>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</si>
  <si>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</si>
  <si>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</si>
  <si>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</si>
  <si>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</si>
  <si>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</si>
  <si>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</si>
  <si>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</si>
  <si>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</si>
  <si>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</si>
  <si>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</si>
  <si>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</si>
  <si>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</si>
  <si>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</si>
  <si>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</si>
  <si>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</si>
  <si>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</si>
  <si>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</si>
  <si>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</si>
  <si>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</si>
  <si>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</si>
  <si>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</si>
  <si>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</si>
  <si>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</si>
  <si>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</si>
  <si>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</si>
  <si>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</si>
  <si>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</si>
  <si>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</si>
  <si>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</si>
  <si>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</si>
  <si>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</si>
  <si>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</si>
  <si>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</si>
  <si>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</si>
  <si>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</si>
  <si>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</si>
  <si>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</si>
  <si>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</si>
  <si>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</si>
  <si>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</si>
  <si>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</si>
  <si>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</si>
  <si>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</si>
  <si>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</si>
  <si>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</si>
  <si>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</si>
  <si>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</si>
  <si>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</si>
  <si>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</si>
  <si>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</si>
  <si>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</si>
  <si>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</si>
  <si>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</si>
  <si>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</si>
  <si>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</si>
  <si>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</si>
  <si>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</si>
  <si>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</si>
  <si>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</si>
  <si>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</si>
  <si>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</si>
  <si>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</si>
  <si>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</si>
  <si>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</si>
  <si>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</si>
  <si>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</si>
  <si>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</si>
  <si>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</si>
  <si>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</si>
  <si>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</si>
  <si>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</si>
  <si>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</si>
  <si>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</si>
  <si>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</si>
  <si>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</si>
  <si>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</si>
  <si>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</si>
  <si>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</si>
  <si>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</si>
  <si>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</si>
  <si>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</si>
  <si>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</si>
  <si>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</si>
  <si>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</si>
  <si>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</si>
  <si>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</si>
  <si>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</si>
  <si>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</si>
  <si>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</si>
  <si>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</si>
  <si>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</si>
  <si>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</si>
  <si>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</si>
  <si>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</si>
  <si>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</si>
  <si>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</si>
  <si>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</si>
  <si>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</si>
  <si>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</si>
  <si>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</si>
  <si>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</si>
  <si>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</si>
  <si>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</si>
  <si>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</si>
  <si>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</si>
  <si>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Everything Topkey gives up for its Keystone stake</t>
  </si>
  <si>
    <t>Year 5 stake value ÷ total consideration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</si>
  <si>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</si>
  <si>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</si>
  <si>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</si>
  <si>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</si>
  <si>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Topkey's Year 5 value of Keystone</t>
  </si>
  <si>
    <t>Topkey Cash Flows — Keystone Acquisition</t>
  </si>
  <si>
    <t>Everything Topkey gives up for Keystone</t>
  </si>
  <si>
    <t>Keystone Sale Multiple incl. Earnout (x Revenue)</t>
  </si>
  <si>
    <t>(Offer value + Year 3 earnout) ÷ Keystone run-rate revenue</t>
  </si>
  <si>
    <t>Earnout Missed — Below Threshold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</si>
  <si>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</si>
  <si>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</si>
  <si>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</si>
  <si>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</si>
  <si>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</si>
  <si>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</si>
  <si>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</si>
  <si>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</si>
  <si>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</si>
  <si>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</si>
  <si>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</si>
  <si>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</si>
  <si>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</si>
  <si>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</si>
  <si>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</si>
  <si>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</si>
  <si>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</si>
  <si>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</si>
  <si>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</si>
  <si>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</si>
  <si>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</si>
  <si>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</si>
  <si>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</si>
  <si>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</si>
  <si>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</si>
  <si>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Buyout MOIC — Keystone (Ben)</t>
  </si>
  <si>
    <t>Buyout IRR — Keystone (Ben)</t>
  </si>
  <si>
    <t>Initial position does not include earnout</t>
  </si>
  <si>
    <t>Deal Terms — 100% Buyout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</si>
  <si>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</si>
  <si>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</si>
  <si>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</si>
  <si>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</si>
  <si>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</si>
  <si>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</si>
  <si>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</si>
  <si>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Est. Topkey Dilution — Ben's Stake (Year 5)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</si>
  <si>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</si>
  <si>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</si>
  <si>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</si>
  <si>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</si>
  <si>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</si>
  <si>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</si>
  <si>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</si>
  <si>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</si>
  <si>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</si>
  <si>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</si>
  <si>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</si>
  <si>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</si>
  <si>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</si>
  <si>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</si>
  <si>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</si>
  <si>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</si>
  <si>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</si>
  <si>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</si>
  <si>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</si>
  <si>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</si>
  <si>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</si>
  <si>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</si>
  <si>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Keystone Initial Revenue Multiple</t>
  </si>
  <si>
    <t>Keystone Scaled Revenue Multiple</t>
  </si>
  <si>
    <t>Keystone Software-Integration Revenue Multiple</t>
  </si>
  <si>
    <t>Offer Structure</t>
  </si>
  <si>
    <t>Keystone Stake Acquired by Topkey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</si>
  <si>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</si>
  <si>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</si>
  <si>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</si>
  <si>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</si>
  <si>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</si>
  <si>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</si>
  <si>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</si>
  <si>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</si>
  <si>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</si>
  <si>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</si>
  <si>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</si>
  <si>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</si>
  <si>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</si>
  <si>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</si>
  <si>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</si>
  <si>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</si>
  <si>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</si>
  <si>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</si>
  <si>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</si>
  <si>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</si>
  <si>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</si>
  <si>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</si>
  <si>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</si>
  <si>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</si>
  <si>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</si>
  <si>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</si>
  <si>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</si>
  <si>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</si>
  <si>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</si>
  <si>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</si>
  <si>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</si>
  <si>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</si>
  <si>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Input — single Topkey valuation; drives Offer Overview, Partnership and Buyout tabs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</si>
  <si>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</si>
  <si>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</si>
  <si>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</si>
  <si>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</si>
  <si>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</si>
  <si>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</si>
  <si>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</si>
  <si>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</si>
  <si>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Dilution of Ben's Topkey Stake — Cushion (% pts)</t>
  </si>
  <si>
    <t>Break-even dilution less est. dilution (C8)</t>
  </si>
  <si>
    <t>Base CAGR less break-even CAGR</t>
  </si>
  <si>
    <t>Ownership %</t>
  </si>
  <si>
    <t>Keystone via Topkey</t>
  </si>
  <si>
    <t>Topkey ex-Keystone</t>
  </si>
  <si>
    <t>Cash Earnout — Year 3</t>
  </si>
  <si>
    <t>Cash at Close (Year 0)</t>
  </si>
  <si>
    <t>(+) Equity Issued to Ben (Year 0)</t>
  </si>
  <si>
    <t>Total Invested by Jon (Topkey)</t>
  </si>
  <si>
    <t>Topkey's Keystone Stake — Year 5 Value</t>
  </si>
  <si>
    <t>Deal MOIC</t>
  </si>
  <si>
    <t>Standard acquirer view: stake value ÷ consideration at issue price</t>
  </si>
  <si>
    <t>Deal IRR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</si>
  <si>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</si>
  <si>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</si>
  <si>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</si>
  <si>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</si>
  <si>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</si>
  <si>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</si>
  <si>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</si>
  <si>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</si>
  <si>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</si>
  <si>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</si>
  <si>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</si>
  <si>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</si>
  <si>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</si>
  <si>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</si>
  <si>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</si>
  <si>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</si>
  <si>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</si>
  <si>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</si>
  <si>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</si>
  <si>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</si>
  <si>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</si>
  <si>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</si>
  <si>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</si>
  <si>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</si>
  <si>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</si>
  <si>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</si>
  <si>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</si>
  <si>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</si>
  <si>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</si>
  <si>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</si>
  <si>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</si>
  <si>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</si>
  <si>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</si>
  <si>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</si>
  <si>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</si>
  <si>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</si>
  <si>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</si>
  <si>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</si>
  <si>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</si>
  <si>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</si>
  <si>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</si>
  <si>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</si>
  <si>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</si>
  <si>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</si>
  <si>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</si>
  <si>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</si>
  <si>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</si>
  <si>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</si>
  <si>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</si>
  <si>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</si>
  <si>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</si>
  <si>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</si>
  <si>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</si>
  <si>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</si>
  <si>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</si>
  <si>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</si>
  <si>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</si>
  <si>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</si>
  <si>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</si>
  <si>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</si>
  <si>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</si>
  <si>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</si>
  <si>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</si>
  <si>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(-) Hurdle IRR — Break-Even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</si>
  <si>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</si>
  <si>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</si>
  <si>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</si>
  <si>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</si>
  <si>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</si>
  <si>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(+) Target Cash Earnout (at 100% Achievement) — Year 3</t>
  </si>
  <si>
    <t>(+) Target Cash Earnout (at 100% Achievement) (Year 3)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</si>
  <si>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</si>
  <si>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</si>
  <si>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</si>
  <si>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</si>
  <si>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</si>
  <si>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</si>
  <si>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</si>
  <si>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</si>
  <si>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</si>
  <si>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</si>
  <si>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</si>
  <si>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</si>
  <si>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Rollover % — Step</t>
  </si>
  <si>
    <t>Per AMB; 15%–45% range</t>
  </si>
  <si>
    <t>Topkey Growth — Midpoint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</si>
  <si>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</si>
  <si>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</si>
  <si>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</si>
  <si>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</si>
  <si>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</si>
  <si>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</si>
  <si>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</si>
  <si>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</si>
  <si>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</si>
  <si>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</si>
  <si>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</si>
  <si>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</si>
  <si>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</si>
  <si>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</si>
  <si>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</si>
  <si>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</si>
  <si>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</si>
  <si>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Cash paid at close (C174)</t>
  </si>
  <si>
    <t>Topkey stock issued at the $60M pre-deal valuation (C175)</t>
  </si>
  <si>
    <t>Ties to Keystone Value Today (C173)</t>
  </si>
  <si>
    <t>Year 5 combined Topkey EV (D77) × ownership %</t>
  </si>
  <si>
    <t>Unaffected by dilution (D79 + D80)</t>
  </si>
  <si>
    <t>Break-even total dilution (C136) less estimated dilution (C8)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</si>
  <si>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</si>
  <si>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</si>
  <si>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</si>
  <si>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</si>
  <si>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</si>
  <si>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</si>
  <si>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Year 5 combined Topkey EV (D83) × ownership %</t>
  </si>
  <si>
    <t>Unaffected by dilution (D79 + D90 + D91)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</si>
  <si>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</si>
  <si>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</si>
  <si>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</si>
  <si>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</si>
  <si>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</si>
  <si>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</si>
  <si>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</si>
  <si>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</si>
  <si>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</si>
  <si>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</si>
  <si>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</si>
  <si>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</si>
  <si>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</si>
  <si>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</si>
  <si>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</si>
  <si>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</si>
  <si>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</si>
  <si>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</si>
  <si>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</si>
  <si>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</si>
  <si>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</si>
  <si>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</si>
  <si>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</si>
  <si>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</si>
  <si>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</si>
  <si>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</si>
  <si>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</si>
  <si>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</si>
  <si>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</si>
  <si>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</si>
  <si>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</si>
  <si>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</si>
  <si>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</si>
  <si>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</si>
  <si>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</si>
  <si>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</si>
  <si>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</si>
  <si>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Net Client Wins — Midpoint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</si>
  <si>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</si>
  <si>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</si>
  <si>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</si>
  <si>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</si>
  <si>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</si>
  <si>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</si>
  <si>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</si>
  <si>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</si>
  <si>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</si>
  <si>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</si>
  <si>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</si>
  <si>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</si>
  <si>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</si>
  <si>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</si>
  <si>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</si>
  <si>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</si>
  <si>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</si>
  <si>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</si>
  <si>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</si>
  <si>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</si>
  <si>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</si>
  <si>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</si>
  <si>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</si>
  <si>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</si>
  <si>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</si>
  <si>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</si>
  <si>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</si>
  <si>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</si>
  <si>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</si>
  <si>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</si>
  <si>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</si>
  <si>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</si>
  <si>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</si>
  <si>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vs. Standalone — Growth × Net Client Wins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</si>
  <si>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</si>
  <si>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</si>
  <si>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</si>
  <si>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</si>
  <si>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</si>
  <si>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</si>
  <si>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</si>
  <si>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</si>
  <si>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Tie Out — Growth × Client Wins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</si>
  <si>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</si>
  <si>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</si>
  <si>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</si>
  <si>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</si>
  <si>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</si>
  <si>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</si>
  <si>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</si>
  <si>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</si>
  <si>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</si>
  <si>
    <t>Ben's Year 5 Value</t>
  </si>
  <si>
    <t>Tie Out — Consideration vs. Analysis Tab</t>
  </si>
  <si>
    <t>Price for Topkey's Stake (at Close)</t>
  </si>
  <si>
    <t>Input — share of Keystone Ben keeps (Partnership 30%; Buyout 0% = Topkey acquires 100%)</t>
  </si>
  <si>
    <t>Ties to Total Consideration (row 37)</t>
  </si>
  <si>
    <t>Cash-flow IRR; see helper cash flows in L50:Q51</t>
  </si>
  <si>
    <t>Break-even stake value (row 131) ÷ cash + stock; no earnout paid at break-even</t>
  </si>
  <si>
    <t>From Jon's return profile (row 57); n/m for the extra 30% (break-even excludes earnout, so hurdles aren't additive)</t>
  </si>
  <si>
    <t>Ties to Ben's Value — Offer (row 93); tie-out in row 103</t>
  </si>
  <si>
    <t>Cash-flow IRR; see helper cash flows in L81:Q82</t>
  </si>
  <si>
    <t>Base stake value (row 54) less break-even</t>
  </si>
  <si>
    <t>Additional Annual Net Client Wins From Topkey</t>
  </si>
  <si>
    <t>Software-Enabled Price Increase / Client</t>
  </si>
  <si>
    <t>Linked to Offer Comparison (D7). Projection horizon for the Year 5 columns</t>
  </si>
  <si>
    <t>Linked to Offer Comparison (D8). AMB estimate: future Topkey equity issuance (capital raise, option pool, acquisitions) reduces Ben's Topkey % by this share by Year 5</t>
  </si>
  <si>
    <t>Input on Offer Comparison (D18). Topkey-provided monthly revenue ($000s); pending confirmation</t>
  </si>
  <si>
    <t>Implied: Topkey pre-deal valuation (C176) ÷ run-rate revenue (C10)</t>
  </si>
  <si>
    <t>Held flat at the current implied multiple</t>
  </si>
  <si>
    <t>Input on Offer Comparison (D19). Topkey-provided client count; pending confirmation</t>
  </si>
  <si>
    <t>Input on Offer Comparison (D20). AMB placeholder; pending confirmation</t>
  </si>
  <si>
    <t>% growth in Topkey ex-Keystone value (row 75), today → Year 5; value net of cash paid, not revenue</t>
  </si>
  <si>
    <t>Linked to Offer Comparison (D13). Keystone valued at 1.0x revenue today (offer implies ~1.0x)</t>
  </si>
  <si>
    <t>Linked to Offer Comparison (D14). Keystone standalone revenue multiple at Year 5</t>
  </si>
  <si>
    <t>Input on Offer Comparison (D22). Sep'26 annualized fee per non-tax client (Steady-State Staffing AB8)</t>
  </si>
  <si>
    <t>Input on Offer Comparison (D23). AMB target pace; LTM actual is 26/yr (~2.2/month), see build at rows 184-188</t>
  </si>
  <si>
    <t>Linked to Offer Comparison (D15). Revenue multiple with Topkey software integration</t>
  </si>
  <si>
    <t>Input on Offer Comparison (D25). Memo only; VR savings assumed captured in the 20% partnership margin (C111) and revenue multiple</t>
  </si>
  <si>
    <t>Input on Offer Comparison (D26). Only if Topkey software supports higher client fees; VR cost not added to revenue per client</t>
  </si>
  <si>
    <t>Input on Offer Comparison (D27). Topkey-provided; pending confirmation</t>
  </si>
  <si>
    <t>Earnout measured on Year 3 run-rate: average of months 34–36 × 12 (window in C56)</t>
  </si>
  <si>
    <t>PF Jul'26 run-rate revenue at close (C172)</t>
  </si>
  <si>
    <t>Payout capped at 150% of target earnout, reached at 120% of target revenue (mirrors the 80% threshold)</t>
  </si>
  <si>
    <t>Paid in cash by Topkey; flows into Scenario 2 (row 80), Ben's MOIC/IRR (rows 86-87) and Topkey's return (row 94)</t>
  </si>
  <si>
    <t>Ties to Total Consideration Paid by Topkey (C95)</t>
  </si>
  <si>
    <t>Today at offer value; Year 5 = (PF run-rate revenue + standalone added revenue) × standalone multiple</t>
  </si>
  <si>
    <t>Ben's Year 5 value (D81: Topkey stock + cash + earnout) ÷ Keystone value given up at close (C173)</t>
  </si>
  <si>
    <t>IRR on Ben's cash flows (rows 199-204); Year 5 = stake value, not a cash exit</t>
  </si>
  <si>
    <t>Cash portion of offer (C174)</t>
  </si>
  <si>
    <t>Topkey stock issued, at issue value (C175)</t>
  </si>
  <si>
    <t>Cash earnout at base-case achievement (C57)</t>
  </si>
  <si>
    <t>1 − Ben's rollover % (Offer Comparison D17); 100% buyout</t>
  </si>
  <si>
    <t>Year 5 partnership value of Keystone (D76)</t>
  </si>
  <si>
    <t>IRR on Topkey's cash flows (rows 191-196); excludes software fee income and Keystone profits, so understated</t>
  </si>
  <si>
    <t>Ben's diluted Topkey % × Topkey's own Year 5 value, net of cash and earnout paid (D75)</t>
  </si>
  <si>
    <t>Ben's diluted Topkey % × partnership-valued Keystone (D76)</t>
  </si>
  <si>
    <t>Cash at close (D79)</t>
  </si>
  <si>
    <t>Year 3 cash earnout (D80)</t>
  </si>
  <si>
    <t>Ties to D81</t>
  </si>
  <si>
    <t>Year 5 Keystone partnership revenue × Ben's ownership; each 1.0x of the software-integration multiple (C30) is worth this much to Ben</t>
  </si>
  <si>
    <t>Ben's Topkey % × Topkey + Keystone run-rate revenue</t>
  </si>
  <si>
    <t>Multiple at which the offer breaks even (base holds the current multiple flat)</t>
  </si>
  <si>
    <t>Keystone misses 80% of target: no earnout (Topkey keeps the cash, so Ben's Topkey stake recovers a little)</t>
  </si>
  <si>
    <t>Buyout-specific input: $500K cash at close (Partnership uses $650K, Offer Overview C9)</t>
  </si>
  <si>
    <t>Linked to Offer Comparison (D9); single Topkey valuation input</t>
  </si>
  <si>
    <t>Topkey cash flows: Year 0 = cash + stock issued; earnout in the measurement year (C45); Year 5 = stake value (C98), not a cash exit</t>
  </si>
  <si>
    <t>Ben's cash flows: Year 0 = cash at close (C174) less Keystone value given up (C173); earnout in the measurement year (C45); Year 5 = Ben's Topkey stock (D78)</t>
  </si>
  <si>
    <t>Input on Offer Comparison (C17). Share of Keystone Ben keeps; Topkey buys the rest for cash + Topkey equity</t>
  </si>
  <si>
    <t>Linked to Offer Comparison (C8). AMB estimate: future Topkey equity issuance (capital raise, option pool, acquisitions) reduces Ben's Topkey % by this share by Year 5</t>
  </si>
  <si>
    <t>Linked to Offer Comparison (C7). Projection horizon for the Year 5 columns</t>
  </si>
  <si>
    <t>Input on Offer Comparison (C18). Topkey-provided monthly revenue ($000s); pending confirmation</t>
  </si>
  <si>
    <t>Implied: Topkey pre-deal valuation (C191) ÷ run-rate revenue (C11)</t>
  </si>
  <si>
    <t>Input on Offer Comparison (C19). Topkey-provided client count; pending confirmation</t>
  </si>
  <si>
    <t>Input on Offer Comparison (C20). AMB placeholder; pending confirmation</t>
  </si>
  <si>
    <t>% growth in Topkey ex-Keystone value (row 81), today → Year 5; value net of cash paid, not revenue</t>
  </si>
  <si>
    <t>Linked to Offer Comparison (C13). Keystone valued at 1.0x revenue today (offer implies ~1.0x)</t>
  </si>
  <si>
    <t>Linked to Offer Comparison (C14). Keystone standalone revenue multiple at Year 5</t>
  </si>
  <si>
    <t>Input on Offer Comparison (C22). Sep'26 annualized fee per non-tax client (Steady-State Staffing AB8)</t>
  </si>
  <si>
    <t>Input on Offer Comparison (C23). AMB target pace; LTM actual is 26/yr (~2.2/month), see build at rows 200-204</t>
  </si>
  <si>
    <t>Linked to Offer Comparison (C15). Revenue multiple with Topkey software integration</t>
  </si>
  <si>
    <t>Input on Offer Comparison (C25). Run-rate tech cost provided by the target; see platform-fee memo (rows 207-216)</t>
  </si>
  <si>
    <t>Input on Offer Comparison (C26). Only if Topkey software supports higher client fees; VR cost handled in the memo block (rows 207-216)</t>
  </si>
  <si>
    <t>Input on Offer Comparison (C27). Topkey-provided; pending confirmation</t>
  </si>
  <si>
    <t>Earnout measured on Year 3 run-rate: average of months 34–36 × 12 (window in C57)</t>
  </si>
  <si>
    <t>PF Jul'26 run-rate revenue at close (C184)</t>
  </si>
  <si>
    <t>Paid in cash by Topkey; flows into Scenario 2 (row 91), Ben's MOIC/IRR (rows 97-98) and Topkey's return (row 105)</t>
  </si>
  <si>
    <t>Today at offer value; Year 5 = partnership revenue × software-integration multiple (C31)</t>
  </si>
  <si>
    <t>Ben's retained Keystone stake (rollover % × Keystone value)</t>
  </si>
  <si>
    <t>Ties to Topkey equity issued (tie-out row 196)</t>
  </si>
  <si>
    <t>Ben's Year 5 value (D92: cash + earnout + retained stake + Topkey stock) ÷ Keystone value given up at close (C185)</t>
  </si>
  <si>
    <t>IRR on Ben's cash flows (rows 227-232); Year 5 = stake values, not a cash exit</t>
  </si>
  <si>
    <t>Cash portion of stake price (C189)</t>
  </si>
  <si>
    <t>Topkey stock issued, at issue value (C190)</t>
  </si>
  <si>
    <t>Cash earnout at base-case achievement (C58)</t>
  </si>
  <si>
    <t>Topkey's share of Keystone (C187)</t>
  </si>
  <si>
    <t>Year 5 partnership value of 100% of Keystone (D77)</t>
  </si>
  <si>
    <t>Topkey's stake % × Keystone Year 5 value; ties to Scenario 2 (D82)</t>
  </si>
  <si>
    <t>IRR on Topkey's cash flows (rows 219-224); excludes software fee income and Keystone distributions, so understated</t>
  </si>
  <si>
    <t>Ben's retained Keystone stake at the partnership multiple (D79)</t>
  </si>
  <si>
    <t>Cash at close (D90) + Year 3 earnout (D91)</t>
  </si>
  <si>
    <t>Ties to D92</t>
  </si>
  <si>
    <t>Drop in Topkey's Year 5 value (vs. base, D137) before Scenario 2 falls to Scenario 1; 100% = Topkey stock not needed</t>
  </si>
  <si>
    <t>Break-even total dilution (C141) less estimated dilution (C8)</t>
  </si>
  <si>
    <t>Benchmark: Ben keeps 100% (D74)</t>
  </si>
  <si>
    <t>Rollover at base-case inputs (D92)</t>
  </si>
  <si>
    <t>Linked from rollover input (C7, set on Offer Comparison C17)</t>
  </si>
  <si>
    <t>Linked to Offer Comparison (C9); single Topkey valuation input</t>
  </si>
  <si>
    <t>Sep'26 core client count (C203) + partnership total net client wins (C41)</t>
  </si>
  <si>
    <t>Savings ÷ Year 5 partnership revenue (C121)</t>
  </si>
  <si>
    <t>Topkey cash flows: Year 0 = cash + stock issued; earnout in the measurement year (C46); Year 5 = stake value (C109), not a cash exit</t>
  </si>
  <si>
    <t>Ben's cash flows: Year 0 = cash at close (C189) less Keystone value given up (C185); earnout in the measurement year (C46); Year 5 = retained Keystone stake (D79) + Topkey stock (D85)</t>
  </si>
  <si>
    <t>Differs because each offer's cash at close is netted from Topkey's ex-Keystone base; measures value growth, not revenue</t>
  </si>
  <si>
    <t>Total additional standalone revenue ÷ Keystone run-rate revenue at close</t>
  </si>
  <si>
    <t>Total additional partnership revenue ÷ Keystone run-rate revenue at close</t>
  </si>
  <si>
    <t>Input — drives Partnership and Buyout tabs (D = C). Topkey-provided monthly revenue ($000s); red = pending seller confirmation</t>
  </si>
  <si>
    <t>Input — drives Partnership and Buyout tabs (D = C). Topkey-provided client count; red = pending seller confirmation</t>
  </si>
  <si>
    <t>Input — drives Partnership and Buyout tabs (D = C). AMB placeholder; red = pending confirmation</t>
  </si>
  <si>
    <t>Linked to Steady-State Staffing AB8 (Sep'26 annualized fee per non-tax client); drives both tabs (D = C)</t>
  </si>
  <si>
    <t>Input — drives Partnership and Buyout tabs (D = C). AMB target pace; LTM actual is 26/yr (~2.2/month)</t>
  </si>
  <si>
    <t>Input — drives Partnership and Buyout tabs (D = C). Run-rate tech cost provided by the target; memo only</t>
  </si>
  <si>
    <t>Input — drives Partnership and Buyout tabs (D = C). Only if Topkey software supports higher client fees</t>
  </si>
  <si>
    <t>Input — drives Partnership and Buyout tabs (D = C). Topkey-provided; red = pending seller confirmation</t>
  </si>
  <si>
    <t>Linked to Ben's Rollover % input (row 17)</t>
  </si>
  <si>
    <t>Partnership cash of $650K is set to cover Ben's tax situation</t>
  </si>
  <si>
    <t>Buyout: $500K target, capped at $750K (150% of target). Partnership: no earnout</t>
  </si>
  <si>
    <t>Cash + equity issued + target earnout; tie-out to analysis tabs in row 38</t>
  </si>
  <si>
    <t>Topkey's stake acquired (row 32) × Keystone Year 5 value</t>
  </si>
  <si>
    <t>Partnership: Ben's retained stake (row 31); Buyout: none</t>
  </si>
  <si>
    <t>Base net wins (AMB placeholder, row 20) less break-even wins</t>
  </si>
  <si>
    <t>Base total wins (standalone + Topkey-sourced) less break-even wins</t>
  </si>
  <si>
    <t>Linked via Partnership Analysis (C191); input set on Offer Comparison C9</t>
  </si>
  <si>
    <t>Ben's Return Profile Based on Partnering</t>
  </si>
  <si>
    <t>Ben's Return Profile Based on Partnering — Less Standalone</t>
  </si>
  <si>
    <t>Ben's Return Profile Based on Partnering — Net Client Wins — Less Standalone</t>
  </si>
  <si>
    <t>Topkey Value CAGR (ex-Keystone, Net of Cash)</t>
  </si>
  <si>
    <t>Growth in Topkey's ex-Keystone value (net of cash paid, before earnout) vs. today's valuation</t>
  </si>
  <si>
    <t>Break-Even Topkey Value CAGR (ex-Keystone, Net of Cash)</t>
  </si>
  <si>
    <t>Estimated Topkey Value CAGR (ex-Keystone, Net of Cash)</t>
  </si>
  <si>
    <t>Break-even vs. estimated (rows 88-89); growth in Topkey's value vs. today's valuation, not revenue growth</t>
  </si>
  <si>
    <t>Break-even vs. estimated (rows 99-100); growth in Topkey's value vs. today's valuation, not revenue growth</t>
  </si>
  <si>
    <t>Topkey value CAGR needed for Scenario 2 to equal Scenario 1 (from required value in C137, before earnout paid); floored at zero</t>
  </si>
  <si>
    <t>Topkey Value CAGR — Cushion (% pts)</t>
  </si>
  <si>
    <t>Base less break-even; CAGR of Topkey's ex-Keystone value, net of cash (row 120)</t>
  </si>
  <si>
    <t>Keystone Yr 5 Revenue Multiple — Midpoint</t>
  </si>
  <si>
    <t>Keystone Yr 5 Revenue Multiple — Step</t>
  </si>
  <si>
    <t>Gradient Band Width — Multiple × Client Wins ($000s)</t>
  </si>
  <si>
    <t>Gradient Band Width — Multiple × Topkey Growth ($000s)</t>
  </si>
  <si>
    <t>Keystone Yr 5 Revenue Multiple (x)</t>
  </si>
  <si>
    <t>Helper: Keystone Revenue Yr 5</t>
  </si>
  <si>
    <t>Helper: Unrounded Net Return vs. Standalone — Multiple × Net Client Wins</t>
  </si>
  <si>
    <t>Helper: Unrounded Net Return vs. Standalone — Multiple × Topkey Growth</t>
  </si>
  <si>
    <t>Ben's Net Returns Based on Keystone Yr 5 Multiple &amp; Net Client Wins</t>
  </si>
  <si>
    <t>Ben's % Return on Keystone Value Based on Keystone Yr 5 Multiple &amp; Net Client Wins</t>
  </si>
  <si>
    <t>Ben's IRR Based on Keystone Yr 5 Multiple &amp; Net Client Wins</t>
  </si>
  <si>
    <t>Ben's Net Returns vs. Standalone Based on Keystone Yr 5 Multiple &amp; Net Client Wins</t>
  </si>
  <si>
    <t>Ben's % Return vs. Standalone Based on Keystone Yr 5 Multiple &amp; Net Client Wins</t>
  </si>
  <si>
    <t>Ben's IRR Premium vs. Standalone Based on Keystone Yr 5 Multiple &amp; Net Client Wins</t>
  </si>
  <si>
    <t>Ben's Yr 5 partnership value less standalone Yr 5 value at each row's client wins (helper AL250:AL256)</t>
  </si>
  <si>
    <t>Ben's Year 5 partnership value ÷ standalone Yr 5 value at each row's client wins (helper AL250:AL256), less 1</t>
  </si>
  <si>
    <t>Partnership IRR (table above) less standalone IRR (helper AM250:AM256), in percentage points</t>
  </si>
  <si>
    <t>Ben's Net Returns Based on Keystone Yr 5 Multiple &amp; Topkey Growth</t>
  </si>
  <si>
    <t>Ben's % Return on Keystone Value Based on Keystone Yr 5 Multiple &amp; Topkey Growth</t>
  </si>
  <si>
    <t>Ben's IRR Based on Keystone Yr 5 Multiple &amp; Topkey Growth</t>
  </si>
  <si>
    <t>Ben's Net Returns vs. Standalone Based on Keystone Yr 5 Multiple &amp; Topkey Growth</t>
  </si>
  <si>
    <t>Ben's % Return vs. Standalone Based on Keystone Yr 5 Multiple &amp; Topkey Growth</t>
  </si>
  <si>
    <t>Ben's IRR Premium vs. Standalone Based on Keystone Yr 5 Multiple &amp; Topkey Growth</t>
  </si>
  <si>
    <t>Ben's Yr 5 partnership value less standalone Yr 5 value at model client wins (helper AL330:AL336); standalone is unaffected by the partnership multiple</t>
  </si>
  <si>
    <t>Ben's Year 5 partnership value ÷ standalone Yr 5 value at model client wins (helper AL330:AL336), less 1</t>
  </si>
  <si>
    <t>Partnership IRR (table above) less standalone IRR (helper AM330:AM336), in percentage points</t>
  </si>
  <si>
    <t>Ben's Year 5 value (cash at close + earnout + retained Keystone stake + Topkey stock, after dilution) less Keystone value today (G430)</t>
  </si>
  <si>
    <t>Ben's Year 5 total value ÷ Keystone value today (G430), less 1</t>
  </si>
  <si>
    <t>Ben's Year 5 partnership value less standalone Year 5 value (G447)</t>
  </si>
  <si>
    <t>Ben's Year 5 partnership value ÷ standalone Year 5 value (G447), less 1</t>
  </si>
  <si>
    <t>Partnership IRR (table above) less standalone IRR (G448), in percentage points</t>
  </si>
  <si>
    <t>Ben's Year 5 value (cash at close + earnout + retained Keystone stake + Topkey stock, after dilution) less Keystone value today (G430); Topkey growth held at model (G437)</t>
  </si>
  <si>
    <t>Ben's Year 5 partnership value less standalone Year 5 value at matching net client wins less Topkey's added wins (G459)</t>
  </si>
  <si>
    <t>Helper: Net Client Wins (Model, G456)</t>
  </si>
  <si>
    <t>Standalone Yr 5 value less Keystone today, plus required premium (G449)</t>
  </si>
  <si>
    <t>% return that equals standalone plus required premium (G449)</t>
  </si>
  <si>
    <t>Keystone value today (G430) grown to standalone Year 5 value (G447) over the horizon</t>
  </si>
  <si>
    <t>Current model input: standalone wins + Topkey-sourced wins (G459)</t>
  </si>
  <si>
    <t>Ben's Yr 5 Value Less Keystone Today — Multiple × Wins Grid Center (Unrounded)</t>
  </si>
  <si>
    <t>Center cell of the net-return table (row 253); ties only while the multiple midpoint (G465) and wins midpoint (G457) equal the model</t>
  </si>
  <si>
    <t>Tie Out — Multiple × Client Wins</t>
  </si>
  <si>
    <t>Ben's Yr 5 Value Less Keystone Today — Rebuilt at Model Multiple &amp; Growth (Multiple × Growth Block)</t>
  </si>
  <si>
    <t>Same formula as the block (rows 330-336) at the model multiple (G455) and model growth (G437); grid midpoint is 200%, not the model's growth</t>
  </si>
  <si>
    <t>Tie Out — Multiple × Topkey Growth</t>
  </si>
  <si>
    <t>Per AMB; 1.00x–3.00x range</t>
  </si>
  <si>
    <t>Linked to Scenario 1 Keystone EV today (C70): PF run-rate revenue × initial multiple, rounded to $10K</t>
  </si>
  <si>
    <t>Linked to Scenario 1 Keystone EV today (C72): PF run-rate revenue × initial multiple, rounded to $10K</t>
  </si>
  <si>
    <t>Helper: Partnership Hurdle CF</t>
  </si>
  <si>
    <t>Helper: Buyout Hurdle CF</t>
  </si>
  <si>
    <t>Cash-flow IRR on break-even flows (L53:Q54): cash + stock at Yr 0, break-even stake value (row 131) at Yr 5; no earnout</t>
  </si>
  <si>
    <t>Linked to model rollover (G436); grid re-centers if the input changes</t>
  </si>
  <si>
    <t>Linked to model growth (G437); center column equals the base case exactly</t>
  </si>
  <si>
    <t>Linked to model net client wins (G456); grid re-centers if the input changes</t>
  </si>
  <si>
    <t>Linked to software-integration multiple (G455); grid re-centers if the input changes</t>
  </si>
  <si>
    <t>Cash at Close — Partnership</t>
  </si>
  <si>
    <t>Fixed $650K at every rollover % (sized to Ben's tax situation); stock issued = stake price − cash</t>
  </si>
  <si>
    <t>Helper: IRR CF — Col D</t>
  </si>
  <si>
    <t>Helper: IRR CF — Col E</t>
  </si>
  <si>
    <t>Helper: IRR CF — Col F</t>
  </si>
  <si>
    <t>Helper: IRR CF — Col G</t>
  </si>
  <si>
    <t>Helper: IRR CF — Col H</t>
  </si>
  <si>
    <t>Helper: IRR CF — Col I</t>
  </si>
  <si>
    <t>Helper: IRR CF — Col J</t>
  </si>
  <si>
    <t>Helper: IRR CF — Col K</t>
  </si>
  <si>
    <t>Helper: IRR CF — Col L</t>
  </si>
  <si>
    <t>Improved Client Retention</t>
  </si>
  <si>
    <t>Total Valuation</t>
  </si>
  <si>
    <t>Rolled Keystone Equity</t>
  </si>
  <si>
    <t>Topkey Equity</t>
  </si>
  <si>
    <t>Offer Price</t>
  </si>
  <si>
    <t>Offer Components</t>
  </si>
  <si>
    <t>Note: Total Valuation is calculated as 1.0x run-rate July'26 recurring revenue</t>
  </si>
  <si>
    <t>Future Value - Partnership</t>
  </si>
  <si>
    <t>Future Value - Standalone</t>
  </si>
  <si>
    <t>Keystone Equity</t>
  </si>
  <si>
    <t>Increase in Valuation</t>
  </si>
  <si>
    <t>% Change</t>
  </si>
  <si>
    <t>Increase in Annual Net Client Wins</t>
  </si>
  <si>
    <t>Partnership cash at close set to cover Ben's tax situation</t>
  </si>
  <si>
    <t>Partnership vs. Standalone</t>
  </si>
  <si>
    <t>Input — share of Keystone Ben keeps; Topkey buys the rest for cash + Topkey equity</t>
  </si>
  <si>
    <t>Input — projection horizon for the Year 5 columns</t>
  </si>
  <si>
    <t>Input — Topkey-provided client count; pending confirmation</t>
  </si>
  <si>
    <t>Input — Keystone standalone revenue multiple at Year 5</t>
  </si>
  <si>
    <t>Input — Sep'26 annualized fee per non-tax client</t>
  </si>
  <si>
    <t>Input — revenue multiple with Topkey software integration</t>
  </si>
  <si>
    <t>Drop in Topkey's Year 5 value (vs. base, D112) before Scenario 2 falls to Scenario 1; 100% = Topkey stock not needed</t>
  </si>
  <si>
    <t>Input — unrounded PF Jul'26 run-rate revenue</t>
  </si>
  <si>
    <t>Input — cash paid at close for Topkey's stake</t>
  </si>
  <si>
    <t>Input — single Topkey pre-deal valuation</t>
  </si>
  <si>
    <t>Input — core bookkeeping clients (Property Manager, STR Owner &amp; Short-Term Rental); excludes Small Business and Tax-Only</t>
  </si>
  <si>
    <t>Input — LTM core client wins</t>
  </si>
  <si>
    <t>Input — LTM core client losses</t>
  </si>
  <si>
    <t>Ending core client count</t>
  </si>
  <si>
    <t>Avg. PM/STR Clients — LTM Sep'26</t>
  </si>
  <si>
    <t>Input — LTM average Property Manager / STR Owner clients</t>
  </si>
  <si>
    <t>Increase in Annual Net CFO Client Wins</t>
  </si>
  <si>
    <t>VR Platform Cost / Client</t>
  </si>
  <si>
    <t>Increase in Revenue</t>
  </si>
  <si>
    <t>Input — Keystone valued at 1.0x revenue today</t>
  </si>
  <si>
    <t>Input — future Topkey equity issuance (capital raise, option pool, acquisitions) reduces Ben's Topkey % by this share by Year 5</t>
  </si>
  <si>
    <t>Current Topkey Valuation</t>
  </si>
  <si>
    <t>Topkey, Inc.</t>
  </si>
  <si>
    <t>For the month ended August, 2026</t>
  </si>
  <si>
    <t>Apr 2023</t>
  </si>
  <si>
    <t>Jun 2023</t>
  </si>
  <si>
    <t>YTD 2026</t>
  </si>
  <si>
    <t>2025</t>
  </si>
  <si>
    <t xml:space="preserve">   Customer Platform Fee - Revenue</t>
  </si>
  <si>
    <t xml:space="preserve">   Implementation Fees</t>
  </si>
  <si>
    <t xml:space="preserve">   Interchange Revenue - AMEX</t>
  </si>
  <si>
    <t xml:space="preserve">   Interchange Share - Topkey</t>
  </si>
  <si>
    <t xml:space="preserve">      Contra Interchange Share</t>
  </si>
  <si>
    <t xml:space="preserve">   Total Interchange Share - Topkey</t>
  </si>
  <si>
    <t xml:space="preserve">   Operating Interest Income</t>
  </si>
  <si>
    <t>Operating Expenses</t>
  </si>
  <si>
    <t xml:space="preserve">   Personnel</t>
  </si>
  <si>
    <t xml:space="preserve">   Professional &amp; Other Services</t>
  </si>
  <si>
    <t xml:space="preserve">   General &amp; Administrative Expenses</t>
  </si>
  <si>
    <t xml:space="preserve">   Other Operating Expenses</t>
  </si>
  <si>
    <t>Total Operating Expenses</t>
  </si>
  <si>
    <t>EBITDA</t>
  </si>
  <si>
    <t>Interest, Taxes, Depreciation &amp; Amortization</t>
  </si>
  <si>
    <t>Operating Income (Loss)</t>
  </si>
  <si>
    <t>Net Income (Loss)</t>
  </si>
  <si>
    <t>Check Balance</t>
  </si>
  <si>
    <t>Total Cash at End of Period</t>
  </si>
  <si>
    <t>Unrestricted cash at end of Period *</t>
  </si>
  <si>
    <t>Cash burn ***</t>
  </si>
  <si>
    <t>Normalized Cash Burn (3 month average)</t>
  </si>
  <si>
    <t>Cash runway ****</t>
  </si>
  <si>
    <t>Net Quick Assets **</t>
  </si>
  <si>
    <t>Increase (Decrease) in Quick Assets</t>
  </si>
  <si>
    <t>Normalized Increase (Decrease) in Quick Assets (3 month average)</t>
  </si>
  <si>
    <t>Quick Assets Runway</t>
  </si>
  <si>
    <t>Number of FTEs</t>
  </si>
  <si>
    <t>* Unrestricted Cash balance includes Total Cash (per the Balance Sheet) - $40k (Minimum balance to be maintained in 0792 account) -$500K (Warehouse Line Payable)</t>
  </si>
  <si>
    <t>** Net Quick Assets = Unrestricted Cash (as defined above) + Accounts Receivable + Dispute Receivable + Felicis Pledge Receivable - Accounts Payable - Accrued Expenses - Payable to Bank - Credit Cards - Deferred Implementation Fees - Payroll liability - Earnings Credit Liability - Rewards Points Liability]</t>
  </si>
  <si>
    <t>*** Cash Burn is sum of cash flow from operating activities, and cash flow from investing activities (Note - Excludes planned decrease in A/R during June as this will not be recurring)</t>
  </si>
  <si>
    <t>**** Net Quick Assets / Cash burn</t>
  </si>
  <si>
    <t xml:space="preserve">Files used: </t>
  </si>
  <si>
    <t>Financial Statements - Topkey - from QBO</t>
  </si>
  <si>
    <t>ARR (Subscription Revenue)</t>
  </si>
  <si>
    <t>ARR (Interchange Revenue)</t>
  </si>
  <si>
    <t>ARR (Deposit Revenue)</t>
  </si>
  <si>
    <t>ARR (Total Revenues)</t>
  </si>
  <si>
    <t>Based on Aug'26 financials</t>
  </si>
  <si>
    <t>Topkey - Current ARR Revenue Multiple</t>
  </si>
  <si>
    <t>Topkey - Future ARR Revenue Multiple</t>
  </si>
  <si>
    <t>% growth in Topkey ex-Keystone value (row 84), today → Year 5; value net of cash paid, not revenue</t>
  </si>
  <si>
    <t>Input — Core bookkeeping net client growth: FY24 not tracked at core level; FY25 +44 (~3.7/month); LTM Sep'26 +26 (~2.2/month). See build at rows 167-172</t>
  </si>
  <si>
    <t>Input — run-rate tech cost provided by Keystone; see platform-fee memo (rows 174-185)</t>
  </si>
  <si>
    <t>Earnout measured on Year 3 run-rate: average of months 34–36 × 12 (window in C60)</t>
  </si>
  <si>
    <t>PF Jul'26 run-rate revenue at close (C152)</t>
  </si>
  <si>
    <t>Paid in cash by Topkey; flows into Scenario 2 (row 94) and Ben's MOIC/IRR (rows 100-101)</t>
  </si>
  <si>
    <t>Cash paid at close for Topkey's stake (C157)</t>
  </si>
  <si>
    <t>Topkey stock issued at the pre-deal valuation (C159); equity issued in C158</t>
  </si>
  <si>
    <t>Keystone value today × Ben's rollover % (C153 × C154)</t>
  </si>
  <si>
    <t>Ties to Keystone Value Today (C153)</t>
  </si>
  <si>
    <t>Paid only if Year 3 revenue target is met (C61); % shown vs. offer value at close</t>
  </si>
  <si>
    <t>Today at offer value; Year 5 = partnership revenue × software-integration multiple (C35)</t>
  </si>
  <si>
    <t>Ties to Topkey equity issued (tie-out row 164)</t>
  </si>
  <si>
    <t>Ben's Year 5 value (D95: cash + earnout + retained stake + Topkey stock) ÷ Keystone value given up at close (C153)</t>
  </si>
  <si>
    <t>IRR on Ben's cash flows (rows 188-193); Year 5 = stake values, not a cash exit</t>
  </si>
  <si>
    <t>Topkey value CAGR needed for Scenario 2 to equal Scenario 1 (from required value in C115, before earnout paid); floored at zero</t>
  </si>
  <si>
    <t>Break-even vs. estimated (rows 102-103); growth in Topkey's value vs. today's valuation, not revenue growth</t>
  </si>
  <si>
    <t>Break-even total dilution (C119) less estimated dilution (C8)</t>
  </si>
  <si>
    <t>Linked to Scenario 1 Keystone EV today (C75): PF run-rate revenue × initial multiple, rounded to $10K</t>
  </si>
  <si>
    <t>Linked from rollover input (C6)</t>
  </si>
  <si>
    <t>VR run-rate cost (C36) ÷ LTM avg. PM/STR clients (C175)</t>
  </si>
  <si>
    <t>Sep'26 core client count (C171) + partnership total net client wins (C44)</t>
  </si>
  <si>
    <t>Savings ÷ Year 5 partnership revenue (C45 + C152)</t>
  </si>
  <si>
    <t>Ben's cash flows: Year 0 = cash at close (C157) less Keystone value given up (C153); earnout in the measurement year (C49); Year 5 = retained Keystone stake (D82) + Topkey stock (D88)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</si>
</sst>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$&quot;#,##0_);\(&quot;$&quot;#,##0\)"/>
    <numFmt numFmtId="44" formatCode="_(&quot;$&quot;* #,##0.00_);_(&quot;$&quot;* \(#,##0.00\);_(&quot;$&quot;* &quot;-&quot;??_);_(@_)"/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  <numFmt numFmtId="186" formatCode="0.00&quot;x&quot;"/>
    <numFmt numFmtId="197" formatCode="_(&quot;$&quot;* #,##0_);_(&quot;$&quot;* \(#,##0\);_(&quot;$&quot;* &quot;-&quot;??_);_(@_)"/>
    <numFmt numFmtId="198" formatCode="#,##0.00\ _€"/>
    <numFmt numFmtId="199" formatCode="_(* #,##0_);_(* \(#,##0\);_(* &quot;-&quot;??_);_(@_)"/>
    <numFmt numFmtId="200" formatCode="&quot;$&quot;#,##0"/>
    <numFmt numFmtId="201" formatCode="&quot;$&quot;#,##0.00"/>
  </numFmts>
  <fonts count="12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  <font>
      <sz val="11"/>
      <color rgb="FF000000"/>
      <name val="Calibri"/>
      <family val="2"/>
      <scheme val="minor"/>
    </font>
    <font>
      <i/>
      <sz val="8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indexed="8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8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  <xf numFmtId="0" fontId="108" fillId="0" borderId="0"/>
    <xf numFmtId="44" fontId="108" fillId="0" borderId="0" applyFont="0" applyFill="0" applyBorder="0" applyAlignment="0" applyProtection="0"/>
  </cellStyleXfs>
  <cellXfs count="931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5" fontId="85" fillId="0" borderId="28" xfId="0" applyNumberFormat="1" applyFont="1" applyBorder="1"/>
    <xf numFmtId="0" fontId="106" fillId="0" borderId="0" xfId="0" applyFo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168" fontId="36" fillId="9" borderId="0" xfId="0" applyNumberFormat="1" applyFont="1" applyFill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1" fillId="0" borderId="0" xfId="0" applyNumberFormat="1" applyFont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165" fontId="86" fillId="0" borderId="0" xfId="0" applyNumberFormat="1" applyFont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1" fontId="91" fillId="0" borderId="0" xfId="0" applyNumberFormat="1" applyFont="1"/>
    <xf numFmtId="0" fontId="32" fillId="14" borderId="0" xfId="0" applyFont="1" applyFill="1" applyAlignment="1">
      <alignment wrapText="1"/>
    </xf>
    <xf numFmtId="0" fontId="33" fillId="14" borderId="0" xfId="0" applyFont="1" applyFill="1" applyAlignment="1">
      <alignment horizontal="right" wrapText="1"/>
    </xf>
    <xf numFmtId="0" fontId="49" fillId="8" borderId="2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48" fillId="14" borderId="0" xfId="0" applyFont="1" applyFill="1"/>
    <xf numFmtId="164" fontId="42" fillId="0" borderId="0" xfId="0" applyNumberFormat="1" applyFont="1"/>
    <xf numFmtId="167" fontId="37" fillId="0" borderId="0" xfId="0" applyNumberFormat="1" applyFont="1"/>
    <xf numFmtId="186" fontId="40" fillId="0" borderId="0" xfId="0" applyNumberFormat="1" applyFont="1"/>
    <xf numFmtId="186" fontId="82" fillId="9" borderId="0" xfId="0" applyNumberFormat="1" applyFont="1" applyFill="1" applyAlignment="1">
      <alignment horizontal="center"/>
    </xf>
    <xf numFmtId="186" fontId="80" fillId="0" borderId="0" xfId="0" applyNumberFormat="1" applyFont="1"/>
    <xf numFmtId="186" fontId="42" fillId="0" borderId="0" xfId="0" applyNumberFormat="1" applyFont="1"/>
    <xf numFmtId="1" fontId="91" fillId="0" borderId="0" xfId="0" applyNumberFormat="1" applyFont="1" applyAlignment="1">
      <alignment horizontal="center"/>
    </xf>
    <xf numFmtId="0" fontId="51" fillId="8" borderId="0" xfId="0" applyFont="1" applyFill="1"/>
    <xf numFmtId="177" fontId="41" fillId="8" borderId="0" xfId="0" applyNumberFormat="1" applyFont="1" applyFill="1"/>
    <xf numFmtId="177" fontId="42" fillId="8" borderId="0" xfId="0" applyNumberFormat="1" applyFont="1" applyFill="1"/>
    <xf numFmtId="177" fontId="48" fillId="8" borderId="0" xfId="0" applyNumberFormat="1" applyFont="1" applyFill="1" applyAlignment="1">
      <alignment horizontal="right"/>
    </xf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  <xf numFmtId="0" fontId="83" fillId="0" borderId="0" xfId="0" applyFont="1" applyFill="1"/>
    <xf numFmtId="0" fontId="84" fillId="0" borderId="0" xfId="0" applyFont="1" applyFill="1" applyBorder="1"/>
    <xf numFmtId="167" fontId="75" fillId="0" borderId="0" xfId="0" applyNumberFormat="1" applyFont="1" applyFill="1" applyBorder="1"/>
    <xf numFmtId="0" fontId="84" fillId="0" borderId="0" xfId="0" applyFont="1" applyFill="1"/>
    <xf numFmtId="0" fontId="0" fillId="0" borderId="0" xfId="0" applyFill="1"/>
    <xf numFmtId="0" fontId="48" fillId="0" borderId="0" xfId="0" applyFont="1" applyFill="1" applyBorder="1"/>
    <xf numFmtId="168" fontId="48" fillId="0" borderId="0" xfId="0" applyNumberFormat="1" applyFont="1" applyFill="1"/>
    <xf numFmtId="165" fontId="34" fillId="0" borderId="0" xfId="0" applyNumberFormat="1" applyFont="1" applyFill="1" applyBorder="1"/>
    <xf numFmtId="167" fontId="75" fillId="8" borderId="7" xfId="0" applyNumberFormat="1" applyFont="1" applyFill="1" applyBorder="1"/>
    <xf numFmtId="168" fontId="49" fillId="8" borderId="8" xfId="0" applyNumberFormat="1" applyFont="1" applyFill="1" applyBorder="1"/>
    <xf numFmtId="167" fontId="41" fillId="0" borderId="0" xfId="0" applyNumberFormat="1" applyFont="1" applyFill="1" applyBorder="1"/>
    <xf numFmtId="165" fontId="40" fillId="0" borderId="0" xfId="0" applyNumberFormat="1" applyFont="1" applyFill="1" applyBorder="1"/>
    <xf numFmtId="165" fontId="42" fillId="0" borderId="0" xfId="0" applyNumberFormat="1" applyFont="1" applyFill="1" applyBorder="1"/>
    <xf numFmtId="168" fontId="49" fillId="0" borderId="0" xfId="0" applyNumberFormat="1" applyFont="1" applyFill="1" applyBorder="1"/>
    <xf numFmtId="0" fontId="109" fillId="0" borderId="0" xfId="0" applyFont="1" applyFill="1" applyBorder="1"/>
    <xf numFmtId="167" fontId="40" fillId="0" borderId="0" xfId="0" applyNumberFormat="1" applyFont="1" applyFill="1" applyBorder="1"/>
    <xf numFmtId="0" fontId="33" fillId="14" borderId="0" xfId="0" applyFont="1" applyFill="1"/>
    <xf numFmtId="167" fontId="34" fillId="0" borderId="0" xfId="0" applyNumberFormat="1" applyFont="1" applyFill="1" applyBorder="1"/>
    <xf numFmtId="183" fontId="40" fillId="0" borderId="0" xfId="0" applyNumberFormat="1" applyFont="1"/>
    <xf numFmtId="177" fontId="40" fillId="0" borderId="0" xfId="0" applyNumberFormat="1" applyFont="1"/>
    <xf numFmtId="184" fontId="48" fillId="0" borderId="0" xfId="0" applyNumberFormat="1" applyFont="1"/>
    <xf numFmtId="0" fontId="111" fillId="0" borderId="0" xfId="6" applyFont="1" applyAlignment="1">
      <alignment horizontal="center"/>
    </xf>
    <xf numFmtId="0" fontId="112" fillId="21" borderId="0" xfId="6" applyFont="1" applyFill="1"/>
    <xf numFmtId="0" fontId="113" fillId="21" borderId="0" xfId="6" applyFont="1" applyFill="1"/>
    <xf numFmtId="0" fontId="113" fillId="0" borderId="0" xfId="6" applyFont="1"/>
    <xf numFmtId="0" fontId="108" fillId="0" borderId="0" xfId="6"/>
    <xf numFmtId="0" fontId="114" fillId="0" borderId="0" xfId="6" applyFont="1" applyAlignment="1">
      <alignment horizontal="center"/>
    </xf>
    <xf numFmtId="0" fontId="115" fillId="0" borderId="0" xfId="6" applyFont="1" applyAlignment="1">
      <alignment horizontal="center"/>
    </xf>
    <xf numFmtId="197" fontId="113" fillId="0" borderId="0" xfId="6" applyNumberFormat="1" applyFont="1"/>
    <xf numFmtId="0" fontId="49" fillId="0" borderId="0" xfId="6" applyFont="1" applyAlignment="1">
      <alignment horizontal="center"/>
    </xf>
    <xf numFmtId="0" fontId="49" fillId="0" borderId="0" xfId="6" quotePrefix="1" applyFont="1" applyAlignment="1">
      <alignment horizontal="center"/>
    </xf>
    <xf numFmtId="197" fontId="49" fillId="0" borderId="0" xfId="6" quotePrefix="1" applyNumberFormat="1" applyFont="1" applyAlignment="1">
      <alignment horizontal="center"/>
    </xf>
    <xf numFmtId="0" fontId="49" fillId="0" borderId="28" xfId="6" quotePrefix="1" applyFont="1" applyBorder="1" applyAlignment="1">
      <alignment horizontal="center"/>
    </xf>
    <xf numFmtId="17" fontId="49" fillId="0" borderId="28" xfId="6" quotePrefix="1" applyNumberFormat="1" applyFont="1" applyBorder="1" applyAlignment="1">
      <alignment horizontal="center" wrapText="1"/>
    </xf>
    <xf numFmtId="0" fontId="49" fillId="0" borderId="28" xfId="6" applyFont="1" applyBorder="1" applyAlignment="1">
      <alignment horizontal="center" wrapText="1"/>
    </xf>
    <xf numFmtId="0" fontId="116" fillId="0" borderId="3" xfId="6" applyFont="1" applyBorder="1" applyAlignment="1">
      <alignment horizontal="center" wrapText="1"/>
    </xf>
    <xf numFmtId="0" fontId="116" fillId="0" borderId="3" xfId="6" quotePrefix="1" applyFont="1" applyBorder="1" applyAlignment="1">
      <alignment horizontal="center" wrapText="1"/>
    </xf>
    <xf numFmtId="17" fontId="49" fillId="21" borderId="28" xfId="6" quotePrefix="1" applyNumberFormat="1" applyFont="1" applyFill="1" applyBorder="1" applyAlignment="1">
      <alignment horizontal="center" wrapText="1"/>
    </xf>
    <xf numFmtId="0" fontId="117" fillId="0" borderId="0" xfId="6" applyFont="1" applyAlignment="1">
      <alignment horizontal="left" wrapText="1"/>
    </xf>
    <xf numFmtId="198" fontId="112" fillId="0" borderId="0" xfId="6" applyNumberFormat="1" applyFont="1" applyAlignment="1">
      <alignment wrapText="1"/>
    </xf>
    <xf numFmtId="198" fontId="112" fillId="21" borderId="0" xfId="6" applyNumberFormat="1" applyFont="1" applyFill="1" applyAlignment="1">
      <alignment wrapText="1"/>
    </xf>
    <xf numFmtId="199" fontId="112" fillId="0" borderId="0" xfId="6" applyNumberFormat="1" applyFont="1" applyAlignment="1">
      <alignment horizontal="right" wrapText="1"/>
    </xf>
    <xf numFmtId="199" fontId="112" fillId="0" borderId="0" xfId="6" applyNumberFormat="1" applyFont="1" applyAlignment="1">
      <alignment horizontal="right"/>
    </xf>
    <xf numFmtId="199" fontId="112" fillId="21" borderId="0" xfId="6" applyNumberFormat="1" applyFont="1" applyFill="1" applyAlignment="1">
      <alignment horizontal="right"/>
    </xf>
    <xf numFmtId="0" fontId="118" fillId="0" borderId="0" xfId="6" applyFont="1" applyAlignment="1">
      <alignment horizontal="left" wrapText="1"/>
    </xf>
    <xf numFmtId="0" fontId="119" fillId="0" borderId="0" xfId="6" quotePrefix="1" applyFont="1"/>
    <xf numFmtId="199" fontId="112" fillId="0" borderId="28" xfId="6" applyNumberFormat="1" applyFont="1" applyBorder="1" applyAlignment="1">
      <alignment horizontal="right" wrapText="1"/>
    </xf>
    <xf numFmtId="199" fontId="112" fillId="21" borderId="28" xfId="6" applyNumberFormat="1" applyFont="1" applyFill="1" applyBorder="1" applyAlignment="1">
      <alignment horizontal="right"/>
    </xf>
    <xf numFmtId="197" fontId="117" fillId="0" borderId="20" xfId="6" applyNumberFormat="1" applyFont="1" applyBorder="1" applyAlignment="1">
      <alignment horizontal="right" wrapText="1"/>
    </xf>
    <xf numFmtId="197" fontId="117" fillId="22" borderId="31" xfId="6" applyNumberFormat="1" applyFont="1" applyFill="1" applyBorder="1" applyAlignment="1">
      <alignment horizontal="right" wrapText="1"/>
    </xf>
    <xf numFmtId="199" fontId="117" fillId="21" borderId="31" xfId="6" applyNumberFormat="1" applyFont="1" applyFill="1" applyBorder="1" applyAlignment="1">
      <alignment horizontal="right" wrapText="1"/>
    </xf>
    <xf numFmtId="197" fontId="117" fillId="0" borderId="9" xfId="6" applyNumberFormat="1" applyFont="1" applyBorder="1" applyAlignment="1">
      <alignment horizontal="right" wrapText="1"/>
    </xf>
    <xf numFmtId="199" fontId="117" fillId="0" borderId="0" xfId="6" applyNumberFormat="1" applyFont="1" applyAlignment="1">
      <alignment horizontal="right" wrapText="1"/>
    </xf>
    <xf numFmtId="197" fontId="117" fillId="0" borderId="0" xfId="6" applyNumberFormat="1" applyFont="1" applyAlignment="1">
      <alignment horizontal="right" wrapText="1"/>
    </xf>
    <xf numFmtId="10" fontId="117" fillId="0" borderId="0" xfId="6" applyNumberFormat="1" applyFont="1" applyAlignment="1">
      <alignment horizontal="right" wrapText="1"/>
    </xf>
    <xf numFmtId="199" fontId="117" fillId="21" borderId="0" xfId="6" applyNumberFormat="1" applyFont="1" applyFill="1" applyAlignment="1">
      <alignment horizontal="right" wrapText="1"/>
    </xf>
    <xf numFmtId="199" fontId="112" fillId="0" borderId="0" xfId="6" applyNumberFormat="1" applyFont="1" applyAlignment="1">
      <alignment wrapText="1"/>
    </xf>
    <xf numFmtId="199" fontId="112" fillId="21" borderId="0" xfId="6" applyNumberFormat="1" applyFont="1" applyFill="1" applyAlignment="1">
      <alignment wrapText="1"/>
    </xf>
    <xf numFmtId="0" fontId="117" fillId="0" borderId="0" xfId="6" applyFont="1" applyAlignment="1">
      <alignment horizontal="left"/>
    </xf>
    <xf numFmtId="197" fontId="117" fillId="21" borderId="9" xfId="7" applyNumberFormat="1" applyFont="1" applyFill="1" applyBorder="1" applyAlignment="1">
      <alignment horizontal="right" wrapText="1"/>
    </xf>
    <xf numFmtId="199" fontId="117" fillId="21" borderId="9" xfId="6" applyNumberFormat="1" applyFont="1" applyFill="1" applyBorder="1" applyAlignment="1">
      <alignment horizontal="right" wrapText="1"/>
    </xf>
    <xf numFmtId="197" fontId="117" fillId="21" borderId="31" xfId="7" applyNumberFormat="1" applyFont="1" applyFill="1" applyBorder="1" applyAlignment="1">
      <alignment horizontal="right" wrapText="1"/>
    </xf>
    <xf numFmtId="0" fontId="110" fillId="0" borderId="0" xfId="6" applyFont="1"/>
    <xf numFmtId="199" fontId="117" fillId="0" borderId="9" xfId="6" applyNumberFormat="1" applyFont="1" applyBorder="1" applyAlignment="1">
      <alignment horizontal="right" wrapText="1"/>
    </xf>
    <xf numFmtId="0" fontId="117" fillId="0" borderId="0" xfId="6" applyFont="1" applyAlignment="1">
      <alignment horizontal="left" vertical="top"/>
    </xf>
    <xf numFmtId="198" fontId="112" fillId="0" borderId="9" xfId="6" applyNumberFormat="1" applyFont="1" applyBorder="1" applyAlignment="1">
      <alignment wrapText="1"/>
    </xf>
    <xf numFmtId="197" fontId="117" fillId="0" borderId="0" xfId="6" applyNumberFormat="1" applyFont="1"/>
    <xf numFmtId="0" fontId="120" fillId="0" borderId="0" xfId="6" applyFont="1" applyAlignment="1">
      <alignment wrapText="1"/>
    </xf>
    <xf numFmtId="197" fontId="112" fillId="0" borderId="0" xfId="6" applyNumberFormat="1" applyFont="1"/>
    <xf numFmtId="5" fontId="112" fillId="21" borderId="0" xfId="6" applyNumberFormat="1" applyFont="1" applyFill="1"/>
    <xf numFmtId="0" fontId="112" fillId="0" borderId="0" xfId="6" applyFont="1" applyAlignment="1">
      <alignment horizontal="left" wrapText="1"/>
    </xf>
    <xf numFmtId="0" fontId="112" fillId="0" borderId="0" xfId="6" applyFont="1"/>
    <xf numFmtId="197" fontId="112" fillId="0" borderId="0" xfId="7" applyNumberFormat="1" applyFont="1" applyAlignment="1">
      <alignment wrapText="1"/>
    </xf>
    <xf numFmtId="2" fontId="120" fillId="0" borderId="0" xfId="6" applyNumberFormat="1" applyFont="1"/>
    <xf numFmtId="199" fontId="112" fillId="0" borderId="0" xfId="6" applyNumberFormat="1" applyFont="1"/>
    <xf numFmtId="2" fontId="112" fillId="0" borderId="0" xfId="6" applyNumberFormat="1" applyFont="1" applyAlignment="1">
      <alignment horizontal="left"/>
    </xf>
    <xf numFmtId="0" fontId="120" fillId="0" borderId="10" xfId="6" applyFont="1" applyBorder="1" applyAlignment="1">
      <alignment horizontal="left"/>
    </xf>
    <xf numFmtId="0" fontId="120" fillId="0" borderId="2" xfId="6" applyFont="1" applyBorder="1" applyAlignment="1">
      <alignment horizontal="left"/>
    </xf>
    <xf numFmtId="0" fontId="120" fillId="0" borderId="11" xfId="6" applyFont="1" applyBorder="1" applyAlignment="1">
      <alignment horizontal="left"/>
    </xf>
    <xf numFmtId="0" fontId="120" fillId="23" borderId="19" xfId="6" applyFont="1" applyFill="1" applyBorder="1" applyAlignment="1">
      <alignment wrapText="1"/>
    </xf>
    <xf numFmtId="0" fontId="120" fillId="23" borderId="0" xfId="6" applyFont="1" applyFill="1" applyAlignment="1">
      <alignment wrapText="1"/>
    </xf>
    <xf numFmtId="0" fontId="120" fillId="23" borderId="15" xfId="6" applyFont="1" applyFill="1" applyBorder="1" applyAlignment="1">
      <alignment wrapText="1"/>
    </xf>
    <xf numFmtId="0" fontId="120" fillId="0" borderId="19" xfId="6" applyFont="1" applyBorder="1" applyAlignment="1">
      <alignment horizontal="left"/>
    </xf>
    <xf numFmtId="0" fontId="120" fillId="0" borderId="0" xfId="6" applyFont="1" applyAlignment="1">
      <alignment horizontal="left"/>
    </xf>
    <xf numFmtId="0" fontId="113" fillId="0" borderId="15" xfId="6" applyFont="1" applyBorder="1"/>
    <xf numFmtId="0" fontId="120" fillId="0" borderId="19" xfId="6" applyFont="1" applyBorder="1"/>
    <xf numFmtId="0" fontId="120" fillId="0" borderId="12" xfId="6" applyFont="1" applyBorder="1"/>
    <xf numFmtId="0" fontId="113" fillId="0" borderId="3" xfId="6" applyFont="1" applyBorder="1"/>
    <xf numFmtId="0" fontId="113" fillId="0" borderId="13" xfId="6" applyFont="1" applyBorder="1"/>
    <xf numFmtId="0" fontId="121" fillId="0" borderId="0" xfId="6" applyFont="1"/>
    <xf numFmtId="0" fontId="120" fillId="0" borderId="0" xfId="6" applyFont="1"/>
    <xf numFmtId="200" fontId="120" fillId="0" borderId="0" xfId="6" applyNumberFormat="1" applyFont="1" applyAlignment="1">
      <alignment horizontal="right"/>
    </xf>
    <xf numFmtId="200" fontId="112" fillId="0" borderId="0" xfId="6" applyNumberFormat="1" applyFont="1"/>
    <xf numFmtId="0" fontId="120" fillId="0" borderId="28" xfId="6" applyFont="1" applyBorder="1"/>
    <xf numFmtId="200" fontId="120" fillId="0" borderId="28" xfId="6" applyNumberFormat="1" applyFont="1" applyBorder="1" applyAlignment="1">
      <alignment horizontal="right"/>
    </xf>
    <xf numFmtId="0" fontId="119" fillId="0" borderId="0" xfId="6" applyFont="1"/>
    <xf numFmtId="200" fontId="119" fillId="0" borderId="0" xfId="6" applyNumberFormat="1" applyFont="1" applyAlignment="1">
      <alignment horizontal="right"/>
    </xf>
    <xf numFmtId="201" fontId="113" fillId="0" borderId="0" xfId="6" applyNumberFormat="1" applyFont="1"/>
  </cellXfs>
  <cellStyles count="8">
    <cellStyle name="Currency 3" xfId="7" xr:uid="{87FA665F-6C77-4390-8F6E-00AFAA5D3D66}"/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Normal 5" xfId="6" xr:uid="{92E94061-1C97-4D53-A647-D707FC418A41}"/>
    <cellStyle name="Percent" xfId="2" builtinId="5"/>
    <cellStyle name="Percent 2" xfId="5" xr:uid="{32013692-5C1C-42BF-A4D2-E1328222E5A9}"/>
  </cellStyles>
  <dxfs count="100"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E1E1"/>
      <color rgb="FFFFFFCC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k\Downloads\04%20-%20Financial%20Statements%20-%20Through%2008.31.2026.xlsx" TargetMode="External"/><Relationship Id="rId1" Type="http://schemas.openxmlformats.org/officeDocument/2006/relationships/externalLinkPath" Target="file:///C:\Users\frank\Downloads\04%20-%20Financial%20Statements%20-%20Through%2008.3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densed Balance Sheet"/>
      <sheetName val="Condensed P&amp;L"/>
      <sheetName val="Balance Sheet"/>
      <sheetName val="Profit and Loss"/>
      <sheetName val="Statement of Cash Flow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88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823" t="s">
        <v>0</v>
      </c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</row>
    <row r="25" spans="2:17" ht="25.5">
      <c r="B25" s="825" t="s">
        <v>1942</v>
      </c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</row>
    <row r="26" spans="2:17" ht="23.25">
      <c r="B26" s="826" t="str">
        <f ca="1">"As of "&amp;TEXT(TODAY(),"mm/dd/yy")</f>
        <v>As of 09/27/26</v>
      </c>
      <c r="C26" s="824"/>
      <c r="D26" s="824"/>
      <c r="E26" s="824"/>
      <c r="F26" s="824"/>
      <c r="G26" s="824"/>
      <c r="H26" s="824"/>
      <c r="I26" s="824"/>
      <c r="J26" s="824"/>
      <c r="K26" s="824"/>
      <c r="L26" s="824"/>
      <c r="M26" s="824"/>
      <c r="N26" s="824"/>
      <c r="O26" s="824"/>
      <c r="P26" s="824"/>
      <c r="Q26" s="824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109"/>
  <sheetViews>
    <sheetView showGridLines="0" view="pageBreakPreview" zoomScale="130" zoomScaleNormal="100" zoomScaleSheetLayoutView="130" workbookViewId="0">
      <selection activeCell="B40" sqref="B40"/>
    </sheetView>
  </sheetViews>
  <sheetFormatPr defaultRowHeight="15" outlineLevelRow="1"/>
  <cols>
    <col min="1" max="1" width="1.28515625" customWidth="1"/>
    <col min="2" max="2" width="33.42578125" customWidth="1"/>
    <col min="3" max="5" width="14" customWidth="1"/>
    <col min="6" max="6" width="7.570312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">
        <v>0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461">
        <v>0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 hidden="1" outlineLevel="1">
      <c r="B5" s="370" t="s">
        <v>2816</v>
      </c>
      <c r="C5" s="371" t="s">
        <v>2024</v>
      </c>
    </row>
    <row r="6" spans="1:8" hidden="1" outlineLevel="1">
      <c r="A6" s="452"/>
      <c r="B6" s="541" t="s">
        <v>2320</v>
      </c>
      <c r="C6" s="46">
        <v>2998.5410200000001</v>
      </c>
      <c r="D6" s="541"/>
      <c r="E6" s="541"/>
      <c r="F6" s="452"/>
      <c r="G6" s="452"/>
      <c r="H6" s="452"/>
    </row>
    <row r="7" spans="1:8" hidden="1" outlineLevel="1">
      <c r="A7" s="452"/>
      <c r="B7" s="558" t="s">
        <v>2030</v>
      </c>
      <c r="C7" s="548">
        <v>1.0004</v>
      </c>
      <c r="D7" s="541"/>
      <c r="E7" s="541"/>
      <c r="F7" s="452"/>
      <c r="G7" s="452"/>
      <c r="H7" s="452"/>
    </row>
    <row r="8" spans="1:8" hidden="1" outlineLevel="1">
      <c r="A8" s="452"/>
      <c r="B8" s="521" t="s">
        <v>2813</v>
      </c>
      <c r="C8" s="560">
        <f>C6*C7</f>
        <v>2999.7404364079998</v>
      </c>
      <c r="D8" s="453"/>
      <c r="E8" s="453"/>
      <c r="F8" s="452"/>
      <c r="G8" s="452"/>
      <c r="H8" s="452"/>
    </row>
    <row r="9" spans="1:8" s="837" customFormat="1" ht="3.95" hidden="1" customHeight="1" outlineLevel="1">
      <c r="A9" s="833"/>
      <c r="B9" s="834"/>
      <c r="C9" s="835"/>
      <c r="D9" s="836"/>
      <c r="E9" s="836"/>
      <c r="F9" s="833"/>
      <c r="G9" s="833"/>
      <c r="H9" s="833"/>
    </row>
    <row r="10" spans="1:8" s="837" customFormat="1" collapsed="1">
      <c r="A10" s="833"/>
      <c r="B10" s="370" t="s">
        <v>2817</v>
      </c>
      <c r="C10" s="371" t="s">
        <v>1053</v>
      </c>
      <c r="D10" s="371" t="s">
        <v>996</v>
      </c>
      <c r="E10" s="836"/>
      <c r="F10" s="833"/>
      <c r="G10" s="833"/>
      <c r="H10" s="833"/>
    </row>
    <row r="11" spans="1:8" s="837" customFormat="1">
      <c r="A11" s="833"/>
      <c r="B11" s="838" t="s">
        <v>2815</v>
      </c>
      <c r="C11" s="848">
        <v>1450</v>
      </c>
      <c r="D11" s="839">
        <f>C11/$C$14</f>
        <v>0.48333333333333334</v>
      </c>
      <c r="E11" s="836"/>
      <c r="F11" s="833"/>
      <c r="G11" s="833"/>
      <c r="H11" s="833"/>
    </row>
    <row r="12" spans="1:8" s="837" customFormat="1">
      <c r="A12" s="833"/>
      <c r="B12" s="838" t="s">
        <v>2814</v>
      </c>
      <c r="C12" s="840">
        <f>+C14-C13-C11</f>
        <v>900</v>
      </c>
      <c r="D12" s="839">
        <f>C12/$C$14</f>
        <v>0.3</v>
      </c>
      <c r="E12" s="836"/>
      <c r="F12" s="833"/>
      <c r="G12" s="833"/>
      <c r="H12" s="833"/>
    </row>
    <row r="13" spans="1:8" s="837" customFormat="1">
      <c r="A13" s="833"/>
      <c r="B13" s="838" t="s">
        <v>2055</v>
      </c>
      <c r="C13" s="844">
        <v>650</v>
      </c>
      <c r="D13" s="839">
        <f>C13/$C$14</f>
        <v>0.21666666666666667</v>
      </c>
      <c r="E13" s="836"/>
      <c r="F13" s="833"/>
      <c r="G13" s="833"/>
      <c r="H13" s="833"/>
    </row>
    <row r="14" spans="1:8" s="837" customFormat="1">
      <c r="A14" s="833"/>
      <c r="B14" s="521" t="s">
        <v>2813</v>
      </c>
      <c r="C14" s="841">
        <v>3000</v>
      </c>
      <c r="D14" s="842">
        <f>C14/$C$14</f>
        <v>1</v>
      </c>
      <c r="E14" s="836"/>
      <c r="F14" s="833"/>
      <c r="G14" s="833"/>
      <c r="H14" s="833"/>
    </row>
    <row r="15" spans="1:8" s="837" customFormat="1">
      <c r="A15" s="833"/>
      <c r="B15" s="847" t="s">
        <v>2818</v>
      </c>
      <c r="C15" s="835"/>
      <c r="D15" s="846"/>
      <c r="E15" s="836"/>
      <c r="F15" s="833"/>
      <c r="G15" s="833"/>
      <c r="H15" s="833"/>
    </row>
    <row r="16" spans="1:8" s="837" customFormat="1" ht="3.95" customHeight="1">
      <c r="A16" s="833"/>
      <c r="B16" s="834"/>
      <c r="C16" s="835"/>
      <c r="D16" s="836"/>
      <c r="E16" s="836"/>
      <c r="F16" s="833"/>
      <c r="G16" s="833"/>
      <c r="H16" s="833"/>
    </row>
    <row r="17" spans="1:8" s="837" customFormat="1">
      <c r="A17" s="833"/>
      <c r="B17" s="849" t="s">
        <v>2819</v>
      </c>
      <c r="C17" s="186"/>
      <c r="D17" s="186"/>
      <c r="E17" s="836"/>
      <c r="F17" s="833"/>
      <c r="G17" s="833"/>
      <c r="H17" s="833"/>
    </row>
    <row r="18" spans="1:8" s="837" customFormat="1">
      <c r="A18" s="833"/>
      <c r="B18" s="838" t="s">
        <v>2815</v>
      </c>
      <c r="C18" s="843"/>
      <c r="D18" s="839">
        <f t="shared" ref="D18:D20" si="0">C18/$C$21</f>
        <v>0</v>
      </c>
      <c r="E18" s="836"/>
      <c r="F18" s="833"/>
      <c r="G18" s="833"/>
      <c r="H18" s="833"/>
    </row>
    <row r="19" spans="1:8" s="837" customFormat="1">
      <c r="A19" s="833"/>
      <c r="B19" s="838" t="s">
        <v>2814</v>
      </c>
      <c r="C19" s="840"/>
      <c r="D19" s="839">
        <f t="shared" si="0"/>
        <v>0</v>
      </c>
      <c r="E19" s="836"/>
      <c r="F19" s="833"/>
      <c r="G19" s="833"/>
      <c r="H19" s="833"/>
    </row>
    <row r="20" spans="1:8" s="837" customFormat="1">
      <c r="A20" s="833"/>
      <c r="B20" s="838" t="s">
        <v>2055</v>
      </c>
      <c r="C20" s="845">
        <f>+C13</f>
        <v>650</v>
      </c>
      <c r="D20" s="839">
        <f t="shared" si="0"/>
        <v>1</v>
      </c>
      <c r="E20" s="836"/>
      <c r="F20" s="833"/>
      <c r="G20" s="833"/>
      <c r="H20" s="833"/>
    </row>
    <row r="21" spans="1:8" s="837" customFormat="1">
      <c r="A21" s="833"/>
      <c r="B21" s="521" t="s">
        <v>2813</v>
      </c>
      <c r="C21" s="841">
        <f>SUM(C18:C20)</f>
        <v>650</v>
      </c>
      <c r="D21" s="842">
        <f>C21/$C$21</f>
        <v>1</v>
      </c>
      <c r="E21" s="836"/>
      <c r="F21" s="833"/>
      <c r="G21" s="833"/>
      <c r="H21" s="833"/>
    </row>
    <row r="22" spans="1:8" s="837" customFormat="1" ht="3.95" customHeight="1">
      <c r="A22" s="833"/>
      <c r="B22" s="834"/>
      <c r="C22" s="835"/>
      <c r="D22" s="836"/>
      <c r="E22" s="836"/>
      <c r="F22" s="833"/>
      <c r="G22" s="833"/>
      <c r="H22" s="833"/>
    </row>
    <row r="23" spans="1:8" s="837" customFormat="1">
      <c r="A23" s="833"/>
      <c r="B23" s="849" t="s">
        <v>2820</v>
      </c>
      <c r="C23" s="186"/>
      <c r="D23" s="186"/>
      <c r="E23" s="836"/>
      <c r="F23" s="833"/>
      <c r="G23" s="833"/>
      <c r="H23" s="833"/>
    </row>
    <row r="24" spans="1:8" s="837" customFormat="1">
      <c r="A24" s="833"/>
      <c r="B24" s="838" t="s">
        <v>2815</v>
      </c>
      <c r="C24" s="848">
        <v>0</v>
      </c>
      <c r="D24" s="839">
        <f t="shared" ref="D24:D26" si="1">C24/$C$21</f>
        <v>0</v>
      </c>
      <c r="E24" s="836"/>
      <c r="F24" s="833"/>
      <c r="G24" s="833"/>
      <c r="H24" s="833"/>
    </row>
    <row r="25" spans="1:8" s="837" customFormat="1">
      <c r="A25" s="833"/>
      <c r="B25" s="838" t="s">
        <v>2821</v>
      </c>
      <c r="C25" s="840"/>
      <c r="D25" s="839">
        <f t="shared" si="1"/>
        <v>0</v>
      </c>
      <c r="E25" s="836"/>
      <c r="F25" s="833"/>
      <c r="G25" s="833"/>
      <c r="H25" s="833"/>
    </row>
    <row r="26" spans="1:8" s="837" customFormat="1">
      <c r="A26" s="833"/>
      <c r="B26" s="838" t="s">
        <v>2055</v>
      </c>
      <c r="C26" s="844">
        <v>0</v>
      </c>
      <c r="D26" s="839">
        <f t="shared" si="1"/>
        <v>0</v>
      </c>
      <c r="E26" s="836"/>
      <c r="F26" s="833"/>
      <c r="G26" s="833"/>
      <c r="H26" s="833"/>
    </row>
    <row r="27" spans="1:8" s="837" customFormat="1">
      <c r="A27" s="833"/>
      <c r="B27" s="521" t="s">
        <v>2813</v>
      </c>
      <c r="C27" s="841">
        <f>SUM(C24:C26)</f>
        <v>0</v>
      </c>
      <c r="D27" s="842">
        <f>C27/$C$21</f>
        <v>0</v>
      </c>
      <c r="E27" s="836"/>
      <c r="F27" s="833"/>
      <c r="G27" s="833"/>
      <c r="H27" s="833"/>
    </row>
    <row r="28" spans="1:8" s="837" customFormat="1" ht="3.95" customHeight="1">
      <c r="A28" s="833"/>
      <c r="B28" s="834"/>
      <c r="C28" s="835"/>
      <c r="D28" s="836"/>
      <c r="E28" s="836"/>
      <c r="F28" s="833"/>
      <c r="G28" s="833"/>
      <c r="H28" s="833"/>
    </row>
    <row r="29" spans="1:8" s="837" customFormat="1">
      <c r="A29" s="833"/>
      <c r="B29" s="370" t="s">
        <v>2826</v>
      </c>
      <c r="C29" s="371" t="s">
        <v>1918</v>
      </c>
      <c r="D29" s="371" t="s">
        <v>2823</v>
      </c>
      <c r="E29" s="836"/>
      <c r="F29" s="833"/>
      <c r="G29" s="833"/>
      <c r="H29" s="833"/>
    </row>
    <row r="30" spans="1:8" s="837" customFormat="1">
      <c r="A30" s="833"/>
      <c r="B30" s="838" t="s">
        <v>2845</v>
      </c>
      <c r="C30" s="850">
        <f>+'Ben''s Partnership Model'!C42</f>
        <v>2993.665138983054</v>
      </c>
      <c r="D30" s="836"/>
      <c r="E30" s="836"/>
      <c r="F30" s="833"/>
      <c r="G30" s="833"/>
      <c r="H30" s="833"/>
    </row>
    <row r="31" spans="1:8" s="837" customFormat="1">
      <c r="A31" s="833"/>
      <c r="B31" s="838" t="s">
        <v>2822</v>
      </c>
      <c r="C31" s="840">
        <f>+C21-C27</f>
        <v>650</v>
      </c>
      <c r="D31" s="836"/>
      <c r="E31" s="836"/>
      <c r="F31" s="833"/>
      <c r="G31" s="833"/>
      <c r="H31" s="833"/>
    </row>
    <row r="32" spans="1:8" s="837" customFormat="1">
      <c r="A32" s="833"/>
      <c r="B32" s="838" t="s">
        <v>2824</v>
      </c>
      <c r="C32" s="835"/>
      <c r="D32" s="836"/>
      <c r="E32" s="836"/>
      <c r="F32" s="833"/>
      <c r="G32" s="833"/>
      <c r="H32" s="833"/>
    </row>
    <row r="33" spans="1:8" s="837" customFormat="1">
      <c r="A33" s="833"/>
      <c r="B33" s="838" t="s">
        <v>2843</v>
      </c>
      <c r="C33" s="835"/>
      <c r="D33" s="836"/>
      <c r="E33" s="836"/>
      <c r="F33" s="833"/>
      <c r="G33" s="833"/>
      <c r="H33" s="833"/>
    </row>
    <row r="34" spans="1:8" s="837" customFormat="1">
      <c r="A34" s="833"/>
      <c r="B34" s="834"/>
      <c r="C34" s="835"/>
      <c r="D34" s="836"/>
      <c r="E34" s="836"/>
      <c r="F34" s="833"/>
      <c r="G34" s="833"/>
      <c r="H34" s="833"/>
    </row>
    <row r="35" spans="1:8" s="837" customFormat="1">
      <c r="A35" s="833"/>
      <c r="B35" s="834"/>
      <c r="C35" s="835"/>
      <c r="D35" s="836"/>
      <c r="E35" s="836"/>
      <c r="F35" s="833"/>
      <c r="G35" s="833"/>
      <c r="H35" s="833"/>
    </row>
    <row r="36" spans="1:8" s="837" customFormat="1">
      <c r="A36" s="833"/>
      <c r="B36" s="834"/>
      <c r="C36" s="835"/>
      <c r="D36" s="836"/>
      <c r="E36" s="836"/>
      <c r="F36" s="833"/>
      <c r="G36" s="833"/>
      <c r="H36" s="833"/>
    </row>
    <row r="37" spans="1:8" s="837" customFormat="1">
      <c r="A37" s="833"/>
      <c r="B37" s="834"/>
      <c r="C37" s="835"/>
      <c r="D37" s="836"/>
      <c r="E37" s="836"/>
      <c r="F37" s="833"/>
      <c r="G37" s="833"/>
      <c r="H37" s="833"/>
    </row>
    <row r="38" spans="1:8" s="837" customFormat="1">
      <c r="A38" s="833"/>
      <c r="B38" s="834"/>
      <c r="C38" s="835"/>
      <c r="D38" s="836"/>
      <c r="E38" s="836"/>
      <c r="F38" s="833"/>
      <c r="G38" s="833"/>
      <c r="H38" s="833"/>
    </row>
    <row r="39" spans="1:8" s="837" customFormat="1">
      <c r="A39" s="833"/>
      <c r="B39" s="834"/>
      <c r="C39" s="835"/>
      <c r="D39" s="836"/>
      <c r="E39" s="836"/>
      <c r="F39" s="833"/>
      <c r="G39" s="833"/>
      <c r="H39" s="833"/>
    </row>
    <row r="40" spans="1:8" s="837" customFormat="1">
      <c r="A40" s="833"/>
      <c r="B40" s="834"/>
      <c r="C40" s="835"/>
      <c r="D40" s="836"/>
      <c r="E40" s="836"/>
      <c r="F40" s="833"/>
      <c r="G40" s="833"/>
      <c r="H40" s="833"/>
    </row>
    <row r="41" spans="1:8" s="837" customFormat="1">
      <c r="A41" s="833"/>
      <c r="B41" s="834"/>
      <c r="C41" s="835"/>
      <c r="D41" s="836"/>
      <c r="E41" s="836"/>
      <c r="F41" s="833"/>
      <c r="G41" s="833"/>
      <c r="H41" s="833"/>
    </row>
    <row r="42" spans="1:8" s="837" customFormat="1">
      <c r="A42" s="833"/>
      <c r="B42" s="834"/>
      <c r="C42" s="835"/>
      <c r="D42" s="836"/>
      <c r="E42" s="836"/>
      <c r="F42" s="833"/>
      <c r="G42" s="833"/>
      <c r="H42" s="833"/>
    </row>
    <row r="43" spans="1:8" s="837" customFormat="1">
      <c r="A43" s="833"/>
      <c r="B43" s="834"/>
      <c r="C43" s="835"/>
      <c r="D43" s="836"/>
      <c r="E43" s="836"/>
      <c r="F43" s="833"/>
      <c r="G43" s="833"/>
      <c r="H43" s="833"/>
    </row>
    <row r="44" spans="1:8" s="837" customFormat="1">
      <c r="A44" s="833"/>
      <c r="B44" s="834"/>
      <c r="C44" s="835"/>
      <c r="D44" s="836"/>
      <c r="E44" s="836"/>
      <c r="F44" s="833"/>
      <c r="G44" s="833"/>
      <c r="H44" s="833"/>
    </row>
    <row r="45" spans="1:8" s="837" customFormat="1">
      <c r="A45" s="833"/>
      <c r="B45" s="834"/>
      <c r="C45" s="835"/>
      <c r="D45" s="836"/>
      <c r="E45" s="836"/>
      <c r="F45" s="833"/>
      <c r="G45" s="833"/>
      <c r="H45" s="833"/>
    </row>
    <row r="46" spans="1:8" s="837" customFormat="1">
      <c r="A46" s="833"/>
      <c r="B46" s="834"/>
      <c r="C46" s="835"/>
      <c r="D46" s="836"/>
      <c r="E46" s="836"/>
      <c r="F46" s="833"/>
      <c r="G46" s="833"/>
      <c r="H46" s="833"/>
    </row>
    <row r="47" spans="1:8" s="837" customFormat="1">
      <c r="A47" s="833"/>
      <c r="B47" s="834"/>
      <c r="C47" s="835"/>
      <c r="D47" s="836"/>
      <c r="E47" s="836"/>
      <c r="F47" s="833"/>
      <c r="G47" s="833"/>
      <c r="H47" s="833"/>
    </row>
    <row r="48" spans="1:8" s="837" customFormat="1">
      <c r="A48" s="833"/>
      <c r="B48" s="834"/>
      <c r="C48" s="835"/>
      <c r="D48" s="836"/>
      <c r="E48" s="836"/>
      <c r="F48" s="833"/>
      <c r="G48" s="833"/>
      <c r="H48" s="833"/>
    </row>
    <row r="49" spans="1:8">
      <c r="A49" s="452"/>
      <c r="B49" s="559" t="s">
        <v>1999</v>
      </c>
      <c r="C49" s="435">
        <v>650</v>
      </c>
      <c r="D49" s="836"/>
      <c r="E49" s="452"/>
      <c r="F49" s="452"/>
      <c r="G49" s="452"/>
      <c r="H49" s="452"/>
    </row>
    <row r="50" spans="1:8">
      <c r="A50" s="452"/>
      <c r="B50" s="536" t="s">
        <v>2023</v>
      </c>
      <c r="C50" s="526">
        <f>C8-C49</f>
        <v>2349.7404364079998</v>
      </c>
      <c r="D50" s="453"/>
      <c r="E50" s="453"/>
      <c r="F50" s="452"/>
      <c r="G50" s="452"/>
      <c r="H50" s="452"/>
    </row>
    <row r="51" spans="1:8" ht="3.95" customHeight="1">
      <c r="A51" s="452"/>
      <c r="B51" s="539"/>
      <c r="C51" s="540"/>
      <c r="D51" s="453"/>
      <c r="E51" s="453"/>
      <c r="F51" s="452"/>
      <c r="G51" s="452"/>
      <c r="H51" s="452"/>
    </row>
    <row r="52" spans="1:8">
      <c r="A52" s="452"/>
      <c r="B52" s="452" t="s">
        <v>2037</v>
      </c>
      <c r="C52" s="82">
        <v>50000</v>
      </c>
      <c r="D52" s="452"/>
      <c r="E52" s="452"/>
      <c r="F52" s="452"/>
      <c r="G52" s="452"/>
      <c r="H52" s="452"/>
    </row>
    <row r="53" spans="1:8">
      <c r="A53" s="452"/>
      <c r="B53" s="558" t="s">
        <v>2038</v>
      </c>
      <c r="C53" s="83">
        <f>$C$8</f>
        <v>2999.7404364079998</v>
      </c>
      <c r="D53" s="541"/>
      <c r="E53" s="541"/>
      <c r="F53" s="452"/>
      <c r="G53" s="452"/>
      <c r="H53" s="452"/>
    </row>
    <row r="54" spans="1:8">
      <c r="A54" s="452"/>
      <c r="B54" s="558" t="s">
        <v>2039</v>
      </c>
      <c r="C54" s="83">
        <f>$C$49</f>
        <v>650</v>
      </c>
      <c r="D54" s="541"/>
      <c r="E54" s="541"/>
      <c r="F54" s="452"/>
      <c r="G54" s="452"/>
      <c r="H54" s="452"/>
    </row>
    <row r="55" spans="1:8">
      <c r="A55" s="452"/>
      <c r="B55" s="536" t="s">
        <v>2000</v>
      </c>
      <c r="C55" s="550">
        <f>C52+C53-C54</f>
        <v>52349.740436407999</v>
      </c>
      <c r="D55" s="539"/>
      <c r="E55" s="539"/>
      <c r="F55" s="452"/>
      <c r="G55" s="452"/>
      <c r="H55" s="452"/>
    </row>
    <row r="56" spans="1:8">
      <c r="A56" s="452"/>
      <c r="B56" s="452" t="s">
        <v>2001</v>
      </c>
      <c r="C56" s="528">
        <f>IFERROR($C$50/$C$55,0)</f>
        <v>4.4885426686352987E-2</v>
      </c>
      <c r="D56" s="452"/>
      <c r="E56" s="452"/>
      <c r="F56" s="452"/>
      <c r="G56" s="452"/>
      <c r="H56" s="452"/>
    </row>
    <row r="57" spans="1:8">
      <c r="A57" s="452"/>
      <c r="B57" s="452" t="s">
        <v>2002</v>
      </c>
      <c r="C57" s="433">
        <f>$C$8</f>
        <v>2999.7404364079998</v>
      </c>
      <c r="D57" s="452"/>
      <c r="E57" s="452"/>
      <c r="F57" s="452"/>
      <c r="G57" s="452"/>
      <c r="H57" s="452"/>
    </row>
    <row r="58" spans="1:8">
      <c r="A58" s="452"/>
      <c r="B58" s="541" t="s">
        <v>2044</v>
      </c>
      <c r="C58" s="542">
        <f>(1-$C$56)*$C$55</f>
        <v>50000</v>
      </c>
      <c r="D58" s="539"/>
      <c r="E58" s="539"/>
      <c r="F58" s="452"/>
      <c r="G58" s="452"/>
      <c r="H58" s="452"/>
    </row>
    <row r="59" spans="1:8" ht="3.95" customHeight="1">
      <c r="A59" s="452"/>
      <c r="B59" s="552"/>
      <c r="C59" s="154"/>
      <c r="D59" s="541"/>
      <c r="E59" s="541"/>
      <c r="F59" s="452"/>
      <c r="G59" s="452"/>
      <c r="H59" s="452"/>
    </row>
    <row r="60" spans="1:8">
      <c r="A60" s="452"/>
      <c r="B60" s="541" t="s">
        <v>2037</v>
      </c>
      <c r="C60" s="86">
        <f>$C$52</f>
        <v>50000</v>
      </c>
      <c r="D60" s="541"/>
      <c r="E60" s="541"/>
      <c r="F60" s="452"/>
      <c r="G60" s="452"/>
      <c r="H60" s="452"/>
    </row>
    <row r="61" spans="1:8">
      <c r="A61" s="452"/>
      <c r="B61" s="558" t="s">
        <v>2039</v>
      </c>
      <c r="C61" s="83">
        <f>$C$54</f>
        <v>650</v>
      </c>
      <c r="D61" s="541"/>
      <c r="E61" s="541"/>
      <c r="F61" s="452"/>
      <c r="G61" s="452"/>
      <c r="H61" s="452"/>
    </row>
    <row r="62" spans="1:8">
      <c r="A62" s="452"/>
      <c r="B62" s="536" t="s">
        <v>2045</v>
      </c>
      <c r="C62" s="550">
        <f>C60-C61</f>
        <v>49350</v>
      </c>
      <c r="D62" s="539"/>
      <c r="E62" s="539"/>
      <c r="F62" s="452"/>
      <c r="G62" s="452"/>
      <c r="H62" s="452"/>
    </row>
    <row r="63" spans="1:8" ht="3.95" customHeight="1">
      <c r="A63" s="452"/>
      <c r="B63" s="452"/>
      <c r="C63" s="433"/>
      <c r="D63" s="452"/>
      <c r="E63" s="452"/>
      <c r="F63" s="452"/>
      <c r="G63" s="452"/>
      <c r="H63" s="452"/>
    </row>
    <row r="64" spans="1:8">
      <c r="A64" s="452"/>
      <c r="B64" s="370" t="s">
        <v>2003</v>
      </c>
      <c r="C64" s="371" t="s">
        <v>2024</v>
      </c>
      <c r="D64" s="371" t="s">
        <v>2025</v>
      </c>
      <c r="E64" s="371" t="s">
        <v>2026</v>
      </c>
      <c r="F64" s="452"/>
      <c r="G64" s="452"/>
      <c r="H64" s="452"/>
    </row>
    <row r="65" spans="1:8">
      <c r="A65" s="452"/>
      <c r="B65" s="452" t="s">
        <v>2004</v>
      </c>
      <c r="C65" s="538">
        <v>1</v>
      </c>
      <c r="D65" s="538">
        <v>2</v>
      </c>
      <c r="E65" s="538">
        <v>3</v>
      </c>
      <c r="F65" s="452"/>
      <c r="G65" s="452"/>
      <c r="H65" s="452"/>
    </row>
    <row r="66" spans="1:8">
      <c r="A66" s="452"/>
      <c r="B66" s="452" t="s">
        <v>2005</v>
      </c>
      <c r="C66" s="431">
        <f>$C$57*C$65</f>
        <v>2999.7404364079998</v>
      </c>
      <c r="D66" s="431">
        <f>$C$57*D$65</f>
        <v>5999.4808728159996</v>
      </c>
      <c r="E66" s="431">
        <f>$C$57*E$65</f>
        <v>8999.2213092239999</v>
      </c>
      <c r="F66" s="452"/>
      <c r="G66" s="452"/>
      <c r="H66" s="452"/>
    </row>
    <row r="67" spans="1:8">
      <c r="A67" s="452"/>
      <c r="B67" s="452" t="s">
        <v>2006</v>
      </c>
      <c r="C67" s="529">
        <v>1</v>
      </c>
      <c r="D67" s="530">
        <f>$C$67</f>
        <v>1</v>
      </c>
      <c r="E67" s="530">
        <f>$C$67</f>
        <v>1</v>
      </c>
      <c r="F67" s="452"/>
      <c r="G67" s="452"/>
      <c r="H67" s="452"/>
    </row>
    <row r="68" spans="1:8">
      <c r="A68" s="452"/>
      <c r="B68" s="524" t="s">
        <v>2007</v>
      </c>
      <c r="C68" s="526">
        <f>C66*$C$67</f>
        <v>2999.7404364079998</v>
      </c>
      <c r="D68" s="526">
        <f>D66*$C$67</f>
        <v>5999.4808728159996</v>
      </c>
      <c r="E68" s="526">
        <f>E66*$C$67</f>
        <v>8999.2213092239999</v>
      </c>
      <c r="F68" s="452"/>
      <c r="G68" s="452"/>
      <c r="H68" s="452"/>
    </row>
    <row r="69" spans="1:8">
      <c r="A69" s="452"/>
      <c r="B69" s="559" t="s">
        <v>2008</v>
      </c>
      <c r="C69" s="433">
        <f>$C$68</f>
        <v>2999.7404364079998</v>
      </c>
      <c r="D69" s="433">
        <f>$C$68</f>
        <v>2999.7404364079998</v>
      </c>
      <c r="E69" s="433">
        <f>$C$68</f>
        <v>2999.7404364079998</v>
      </c>
      <c r="F69" s="452"/>
      <c r="G69" s="452"/>
      <c r="H69" s="452"/>
    </row>
    <row r="70" spans="1:8">
      <c r="A70" s="452"/>
      <c r="B70" s="521" t="s">
        <v>2009</v>
      </c>
      <c r="C70" s="525">
        <f>C68-C69</f>
        <v>0</v>
      </c>
      <c r="D70" s="525">
        <f>D68-D69</f>
        <v>2999.7404364079998</v>
      </c>
      <c r="E70" s="527">
        <f>E68-E69</f>
        <v>5999.4808728160006</v>
      </c>
      <c r="F70" s="452"/>
      <c r="G70" s="452"/>
      <c r="H70" s="452"/>
    </row>
    <row r="71" spans="1:8" ht="3.95" customHeight="1">
      <c r="A71" s="452"/>
      <c r="B71" s="452"/>
      <c r="C71" s="452"/>
      <c r="D71" s="452"/>
      <c r="E71" s="452"/>
      <c r="F71" s="452"/>
      <c r="G71" s="452"/>
      <c r="H71" s="452"/>
    </row>
    <row r="72" spans="1:8" ht="32.25" customHeight="1">
      <c r="A72" s="452"/>
      <c r="B72" s="535" t="s">
        <v>2066</v>
      </c>
      <c r="C72" s="534" t="s">
        <v>2065</v>
      </c>
      <c r="D72" s="534" t="str">
        <f>D$64</f>
        <v>2.0x Valuation</v>
      </c>
      <c r="E72" s="534" t="str">
        <f>E$64</f>
        <v>3.0x Valuation</v>
      </c>
      <c r="F72" s="452"/>
      <c r="G72" s="452"/>
      <c r="H72" s="452"/>
    </row>
    <row r="73" spans="1:8">
      <c r="A73" s="452"/>
      <c r="B73" s="452" t="s">
        <v>2011</v>
      </c>
      <c r="C73" s="533">
        <v>0.5</v>
      </c>
      <c r="D73" s="431">
        <f t="shared" ref="D73:E75" si="2">$C$62*(1+(D$65-1)*$C73)+$C$57*D$65</f>
        <v>80024.480872815999</v>
      </c>
      <c r="E73" s="431">
        <f t="shared" si="2"/>
        <v>107699.221309224</v>
      </c>
      <c r="F73" s="452"/>
      <c r="G73" s="431"/>
      <c r="H73" s="452"/>
    </row>
    <row r="74" spans="1:8">
      <c r="A74" s="452"/>
      <c r="B74" s="452" t="s">
        <v>2012</v>
      </c>
      <c r="C74" s="533">
        <v>1</v>
      </c>
      <c r="D74" s="430">
        <f t="shared" si="2"/>
        <v>104699.480872816</v>
      </c>
      <c r="E74" s="430">
        <f t="shared" si="2"/>
        <v>157049.221309224</v>
      </c>
      <c r="F74" s="452"/>
      <c r="G74" s="431"/>
      <c r="H74" s="452"/>
    </row>
    <row r="75" spans="1:8">
      <c r="A75" s="452"/>
      <c r="B75" s="452" t="s">
        <v>2013</v>
      </c>
      <c r="C75" s="533">
        <v>1.5</v>
      </c>
      <c r="D75" s="430">
        <f t="shared" si="2"/>
        <v>129374.480872816</v>
      </c>
      <c r="E75" s="430">
        <f t="shared" si="2"/>
        <v>206399.221309224</v>
      </c>
      <c r="F75" s="452"/>
      <c r="G75" s="452"/>
      <c r="H75" s="452"/>
    </row>
    <row r="76" spans="1:8" ht="3.95" customHeight="1">
      <c r="A76" s="452"/>
      <c r="B76" s="452"/>
      <c r="C76" s="452"/>
      <c r="D76" s="452"/>
      <c r="E76" s="452"/>
      <c r="F76" s="452"/>
      <c r="G76" s="452"/>
      <c r="H76" s="452"/>
    </row>
    <row r="77" spans="1:8">
      <c r="A77" s="452"/>
      <c r="B77" s="370" t="s">
        <v>2067</v>
      </c>
      <c r="C77" s="371"/>
      <c r="D77" s="371" t="str">
        <f>+D$72</f>
        <v>2.0x Valuation</v>
      </c>
      <c r="E77" s="371" t="str">
        <f>+E$72</f>
        <v>3.0x Valuation</v>
      </c>
      <c r="F77" s="452"/>
      <c r="G77" s="452"/>
      <c r="H77" s="452"/>
    </row>
    <row r="78" spans="1:8">
      <c r="A78" s="452"/>
      <c r="B78" s="561" t="str">
        <f>$B73</f>
        <v>Topkey Grows Half as Fast as Keystone</v>
      </c>
      <c r="C78" s="541"/>
      <c r="D78" s="542">
        <f t="shared" ref="D78:E80" si="3">$C$49+$C$56*D73</f>
        <v>4241.9329693302388</v>
      </c>
      <c r="E78" s="542">
        <f t="shared" si="3"/>
        <v>5484.1255022524792</v>
      </c>
      <c r="F78" s="452"/>
      <c r="G78" s="452"/>
      <c r="H78" s="452"/>
    </row>
    <row r="79" spans="1:8">
      <c r="A79" s="452"/>
      <c r="B79" s="561" t="str">
        <f>$B74</f>
        <v>Topkey Keeps Pace with Keystone</v>
      </c>
      <c r="C79" s="541"/>
      <c r="D79" s="154">
        <f t="shared" si="3"/>
        <v>5349.4808728159996</v>
      </c>
      <c r="E79" s="154">
        <f t="shared" si="3"/>
        <v>7699.221309223999</v>
      </c>
      <c r="F79" s="452"/>
      <c r="G79" s="452"/>
      <c r="H79" s="452"/>
    </row>
    <row r="80" spans="1:8">
      <c r="A80" s="452"/>
      <c r="B80" s="561" t="str">
        <f>$B75</f>
        <v>Topkey Outgrows Keystone</v>
      </c>
      <c r="C80" s="541"/>
      <c r="D80" s="154">
        <f t="shared" si="3"/>
        <v>6457.0287763017595</v>
      </c>
      <c r="E80" s="154">
        <f t="shared" si="3"/>
        <v>9914.3171161955197</v>
      </c>
      <c r="F80" s="452"/>
      <c r="G80" s="452"/>
      <c r="H80" s="452"/>
    </row>
    <row r="81" spans="1:8" ht="3.95" customHeight="1">
      <c r="A81" s="452"/>
      <c r="B81" s="452"/>
      <c r="C81" s="452"/>
      <c r="D81" s="452"/>
      <c r="E81" s="452"/>
      <c r="F81" s="452"/>
      <c r="G81" s="452"/>
      <c r="H81" s="452"/>
    </row>
    <row r="82" spans="1:8">
      <c r="A82" s="452"/>
      <c r="B82" s="557" t="s">
        <v>2069</v>
      </c>
      <c r="C82" s="76"/>
      <c r="D82" s="371" t="str">
        <f>+D$72</f>
        <v>2.0x Valuation</v>
      </c>
      <c r="E82" s="371" t="str">
        <f>+E$72</f>
        <v>3.0x Valuation</v>
      </c>
      <c r="F82" s="452"/>
      <c r="G82" s="452"/>
      <c r="H82" s="452"/>
    </row>
    <row r="83" spans="1:8">
      <c r="A83" s="452"/>
      <c r="B83" s="577" t="str">
        <f>$B73</f>
        <v>Topkey Grows Half as Fast as Keystone</v>
      </c>
      <c r="C83" s="578"/>
      <c r="D83" s="579">
        <f t="shared" ref="D83:E85" si="4">D78-D$68</f>
        <v>-1757.5479034857608</v>
      </c>
      <c r="E83" s="580">
        <f t="shared" si="4"/>
        <v>-3515.0958069715207</v>
      </c>
      <c r="F83" s="452"/>
      <c r="G83" s="452"/>
      <c r="H83" s="452"/>
    </row>
    <row r="84" spans="1:8">
      <c r="A84" s="452"/>
      <c r="B84" s="531" t="str">
        <f>$B74</f>
        <v>Topkey Keeps Pace with Keystone</v>
      </c>
      <c r="C84" s="522"/>
      <c r="D84" s="553">
        <f t="shared" si="4"/>
        <v>-650</v>
      </c>
      <c r="E84" s="554">
        <f t="shared" si="4"/>
        <v>-1300.0000000000009</v>
      </c>
      <c r="F84" s="452"/>
      <c r="G84" s="452"/>
      <c r="H84" s="452"/>
    </row>
    <row r="85" spans="1:8">
      <c r="A85" s="452"/>
      <c r="B85" s="532" t="str">
        <f>$B75</f>
        <v>Topkey Outgrows Keystone</v>
      </c>
      <c r="C85" s="523"/>
      <c r="D85" s="555">
        <f t="shared" si="4"/>
        <v>457.54790348575989</v>
      </c>
      <c r="E85" s="556">
        <f t="shared" si="4"/>
        <v>915.09580697151978</v>
      </c>
      <c r="F85" s="452"/>
      <c r="G85" s="452"/>
      <c r="H85" s="452"/>
    </row>
    <row r="86" spans="1:8" ht="3.95" customHeight="1">
      <c r="A86" s="452"/>
      <c r="B86" s="452"/>
      <c r="C86" s="452"/>
      <c r="D86" s="452"/>
      <c r="E86" s="452"/>
      <c r="F86" s="452"/>
      <c r="G86" s="452"/>
      <c r="H86" s="452"/>
    </row>
    <row r="87" spans="1:8">
      <c r="A87" s="452"/>
      <c r="B87" s="557" t="s">
        <v>2068</v>
      </c>
      <c r="C87" s="76"/>
      <c r="D87" s="371" t="str">
        <f>+D$72</f>
        <v>2.0x Valuation</v>
      </c>
      <c r="E87" s="371" t="str">
        <f>+E$72</f>
        <v>3.0x Valuation</v>
      </c>
      <c r="F87" s="452"/>
      <c r="G87" s="452"/>
      <c r="H87" s="452"/>
    </row>
    <row r="88" spans="1:8">
      <c r="A88" s="452"/>
      <c r="B88" s="541" t="s">
        <v>2046</v>
      </c>
      <c r="C88" s="541"/>
      <c r="D88" s="86">
        <f>D$68</f>
        <v>5999.4808728159996</v>
      </c>
      <c r="E88" s="86">
        <f>E$68</f>
        <v>8999.2213092239999</v>
      </c>
      <c r="F88" s="452"/>
      <c r="G88" s="452"/>
      <c r="H88" s="452"/>
    </row>
    <row r="89" spans="1:8">
      <c r="A89" s="452"/>
      <c r="B89" s="558" t="s">
        <v>2050</v>
      </c>
      <c r="C89" s="541"/>
      <c r="D89" s="83">
        <f>$C$49</f>
        <v>650</v>
      </c>
      <c r="E89" s="83">
        <f>$C$49</f>
        <v>650</v>
      </c>
      <c r="F89" s="452"/>
      <c r="G89" s="452"/>
      <c r="H89" s="452"/>
    </row>
    <row r="90" spans="1:8">
      <c r="A90" s="452"/>
      <c r="B90" s="536" t="s">
        <v>2051</v>
      </c>
      <c r="C90" s="536"/>
      <c r="D90" s="572">
        <f>D88-D89</f>
        <v>5349.4808728159996</v>
      </c>
      <c r="E90" s="572">
        <f>E88-E89</f>
        <v>8349.2213092239999</v>
      </c>
      <c r="F90" s="452"/>
      <c r="G90" s="452"/>
      <c r="H90" s="452"/>
    </row>
    <row r="91" spans="1:8">
      <c r="A91" s="452"/>
      <c r="B91" s="541" t="s">
        <v>2047</v>
      </c>
      <c r="C91" s="541"/>
      <c r="D91" s="154">
        <f>IFERROR(D90/$C$56,0)</f>
        <v>119180.795811449</v>
      </c>
      <c r="E91" s="154">
        <f>IFERROR(E90/$C$56,0)</f>
        <v>186011.85118649004</v>
      </c>
      <c r="F91" s="452"/>
      <c r="G91" s="452"/>
      <c r="H91" s="452"/>
    </row>
    <row r="92" spans="1:8">
      <c r="A92" s="452"/>
      <c r="B92" s="558" t="s">
        <v>2048</v>
      </c>
      <c r="C92" s="541"/>
      <c r="D92" s="154">
        <f>$C$57*D$65</f>
        <v>5999.4808728159996</v>
      </c>
      <c r="E92" s="154">
        <f>$C$57*E$65</f>
        <v>8999.2213092239999</v>
      </c>
      <c r="F92" s="452"/>
      <c r="G92" s="452"/>
      <c r="H92" s="452"/>
    </row>
    <row r="93" spans="1:8">
      <c r="A93" s="452"/>
      <c r="B93" s="573" t="s">
        <v>2052</v>
      </c>
      <c r="C93" s="573"/>
      <c r="D93" s="574">
        <f>D91-D92</f>
        <v>113181.314938633</v>
      </c>
      <c r="E93" s="574">
        <f>E91-E92</f>
        <v>177012.62987726604</v>
      </c>
      <c r="F93" s="452"/>
      <c r="G93" s="452"/>
      <c r="H93" s="452"/>
    </row>
    <row r="94" spans="1:8">
      <c r="A94" s="452"/>
      <c r="B94" s="562" t="s">
        <v>2049</v>
      </c>
      <c r="C94" s="563"/>
      <c r="D94" s="564">
        <f>IFERROR((D93/$C$62-1)/(D$65-1),0)</f>
        <v>1.2934410321911449</v>
      </c>
      <c r="E94" s="565">
        <f>IFERROR((E93/$C$62-1)/(E$65-1),0)</f>
        <v>1.2934410321911454</v>
      </c>
      <c r="F94" s="452"/>
      <c r="G94" s="452"/>
      <c r="H94" s="452"/>
    </row>
    <row r="95" spans="1:8">
      <c r="A95" s="452"/>
      <c r="B95" s="541"/>
      <c r="C95" s="541"/>
      <c r="D95" s="541"/>
      <c r="E95" s="541"/>
      <c r="F95" s="452"/>
      <c r="G95" s="452"/>
      <c r="H95" s="452"/>
    </row>
    <row r="96" spans="1:8">
      <c r="A96" s="452"/>
      <c r="B96" s="416" t="s">
        <v>2014</v>
      </c>
      <c r="C96" s="416"/>
      <c r="D96" s="416"/>
      <c r="E96" s="416"/>
      <c r="F96" s="452"/>
      <c r="G96" s="452"/>
      <c r="H96" s="452"/>
    </row>
    <row r="97" spans="1:8">
      <c r="A97" s="452"/>
      <c r="B97" s="447" t="s">
        <v>2015</v>
      </c>
      <c r="C97" s="447" t="s">
        <v>1197</v>
      </c>
      <c r="D97" s="447" t="s">
        <v>287</v>
      </c>
      <c r="E97" s="452"/>
      <c r="F97" s="452"/>
      <c r="G97" s="452"/>
      <c r="H97" s="452"/>
    </row>
    <row r="98" spans="1:8">
      <c r="A98" s="452"/>
      <c r="B98" s="541" t="s">
        <v>2321</v>
      </c>
      <c r="C98" s="544">
        <f>$C$6</f>
        <v>2998.5410200000001</v>
      </c>
      <c r="D98" s="541" t="s">
        <v>2322</v>
      </c>
      <c r="E98" s="452"/>
      <c r="F98" s="452"/>
      <c r="G98" s="452"/>
      <c r="H98" s="452"/>
    </row>
    <row r="99" spans="1:8">
      <c r="A99" s="452"/>
      <c r="B99" s="541" t="s">
        <v>2027</v>
      </c>
      <c r="C99" s="549">
        <f>$C$7</f>
        <v>1.0004</v>
      </c>
      <c r="D99" s="541" t="s">
        <v>2323</v>
      </c>
      <c r="E99" s="452"/>
      <c r="F99" s="452"/>
      <c r="G99" s="452"/>
      <c r="H99" s="452"/>
    </row>
    <row r="100" spans="1:8">
      <c r="A100" s="452"/>
      <c r="B100" s="541" t="s">
        <v>2028</v>
      </c>
      <c r="C100" s="544">
        <f>$C$8</f>
        <v>2999.7404364079998</v>
      </c>
      <c r="D100" s="541" t="s">
        <v>2031</v>
      </c>
      <c r="E100" s="452"/>
      <c r="F100" s="452"/>
      <c r="G100" s="452"/>
      <c r="H100" s="452"/>
    </row>
    <row r="101" spans="1:8">
      <c r="A101" s="452"/>
      <c r="B101" s="541" t="s">
        <v>2016</v>
      </c>
      <c r="C101" s="544">
        <f>$C$49</f>
        <v>650</v>
      </c>
      <c r="D101" s="541" t="s">
        <v>2017</v>
      </c>
      <c r="E101" s="452"/>
      <c r="F101" s="452"/>
      <c r="G101" s="452"/>
      <c r="H101" s="452"/>
    </row>
    <row r="102" spans="1:8">
      <c r="A102" s="452"/>
      <c r="B102" s="541" t="s">
        <v>2040</v>
      </c>
      <c r="C102" s="545">
        <f>$C$52</f>
        <v>50000</v>
      </c>
      <c r="D102" s="541" t="s">
        <v>2041</v>
      </c>
      <c r="E102" s="452"/>
      <c r="F102" s="452"/>
      <c r="G102" s="452"/>
      <c r="H102" s="452"/>
    </row>
    <row r="103" spans="1:8">
      <c r="A103" s="452"/>
      <c r="B103" s="541" t="s">
        <v>2019</v>
      </c>
      <c r="C103" s="546">
        <f>$C$67</f>
        <v>1</v>
      </c>
      <c r="D103" s="541" t="s">
        <v>2020</v>
      </c>
      <c r="E103" s="452"/>
      <c r="F103" s="452"/>
      <c r="G103" s="452"/>
      <c r="H103" s="452"/>
    </row>
    <row r="104" spans="1:8">
      <c r="A104" s="452"/>
      <c r="B104" s="541" t="s">
        <v>2032</v>
      </c>
      <c r="C104" s="547">
        <f>$C$73</f>
        <v>0.5</v>
      </c>
      <c r="D104" s="541" t="s">
        <v>2033</v>
      </c>
      <c r="E104" s="452"/>
      <c r="F104" s="452"/>
      <c r="G104" s="452"/>
      <c r="H104" s="452"/>
    </row>
    <row r="105" spans="1:8">
      <c r="A105" s="452"/>
      <c r="B105" s="541" t="s">
        <v>2034</v>
      </c>
      <c r="C105" s="547">
        <f>$C$74</f>
        <v>1</v>
      </c>
      <c r="D105" s="541" t="s">
        <v>2035</v>
      </c>
      <c r="E105" s="452"/>
      <c r="F105" s="452"/>
      <c r="G105" s="452"/>
      <c r="H105" s="452"/>
    </row>
    <row r="106" spans="1:8">
      <c r="A106" s="452"/>
      <c r="B106" s="541" t="s">
        <v>2036</v>
      </c>
      <c r="C106" s="547">
        <f>$C$75</f>
        <v>1.5</v>
      </c>
      <c r="D106" s="541" t="s">
        <v>2021</v>
      </c>
      <c r="E106" s="452"/>
      <c r="F106" s="452"/>
      <c r="G106" s="452"/>
      <c r="H106" s="452"/>
    </row>
    <row r="107" spans="1:8">
      <c r="A107" s="452"/>
      <c r="B107" s="541" t="s">
        <v>2029</v>
      </c>
      <c r="C107" s="571" t="str">
        <f>D$65&amp;"x / "&amp;E$65&amp;"x"</f>
        <v>2x / 3x</v>
      </c>
      <c r="D107" s="541" t="s">
        <v>2022</v>
      </c>
      <c r="E107" s="452"/>
      <c r="F107" s="452"/>
      <c r="G107" s="452"/>
      <c r="H107" s="452"/>
    </row>
    <row r="108" spans="1:8">
      <c r="B108" s="541" t="s">
        <v>2042</v>
      </c>
      <c r="C108" s="544">
        <f>$C$62</f>
        <v>49350</v>
      </c>
      <c r="D108" s="541" t="s">
        <v>2324</v>
      </c>
    </row>
    <row r="109" spans="1:8">
      <c r="B109" s="541" t="s">
        <v>2018</v>
      </c>
      <c r="C109" s="544">
        <f>$C$55</f>
        <v>52349.740436407999</v>
      </c>
      <c r="D109" s="541" t="s">
        <v>2043</v>
      </c>
    </row>
  </sheetData>
  <conditionalFormatting sqref="B6:E9 B65:E71 B73:E76 B78:E81 B83:E86 B88:E94 E10:E11 B12:E16 B11:D11 B22:E22 E17:E21 B18:D21 E23:E27 B24:D27 B28:E28 B31:E63">
    <cfRule type="expression" dxfId="99" priority="3">
      <formula>$H$3=1</formula>
    </cfRule>
  </conditionalFormatting>
  <conditionalFormatting sqref="E29">
    <cfRule type="expression" dxfId="98" priority="2">
      <formula>$H$3=1</formula>
    </cfRule>
  </conditionalFormatting>
  <conditionalFormatting sqref="B30:E30">
    <cfRule type="expression" dxfId="97" priority="1">
      <formula>$H$3=1</formula>
    </cfRule>
  </conditionalFormatting>
  <pageMargins left="0.7" right="0.7" top="0.75" bottom="0.75" header="0.3" footer="0.3"/>
  <pageSetup scale="58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3B65-4C28-4FCE-B956-9ABF4962DDDC}">
  <dimension ref="A1:H216"/>
  <sheetViews>
    <sheetView showGridLines="0" tabSelected="1" view="pageBreakPreview" zoomScale="160" zoomScaleNormal="100" zoomScaleSheetLayoutView="160" workbookViewId="0">
      <selection activeCell="A19" sqref="A19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1"/>
      <c r="B1" s="541"/>
      <c r="C1" s="541"/>
      <c r="D1" s="541"/>
      <c r="E1" s="541"/>
      <c r="F1" s="541"/>
    </row>
    <row r="2" spans="1:8" ht="16.5">
      <c r="A2" s="541"/>
      <c r="B2" s="566" t="s">
        <v>0</v>
      </c>
      <c r="C2" s="541"/>
      <c r="D2" s="541"/>
      <c r="E2" s="541"/>
      <c r="F2" s="541"/>
      <c r="G2" s="2"/>
      <c r="H2" s="2"/>
    </row>
    <row r="3" spans="1:8">
      <c r="A3" s="541"/>
      <c r="B3" s="567" t="s">
        <v>2179</v>
      </c>
      <c r="C3" s="568"/>
      <c r="D3" s="568"/>
      <c r="E3" s="541"/>
      <c r="G3" s="541" t="s">
        <v>276</v>
      </c>
      <c r="H3" s="603">
        <v>0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1"/>
      <c r="B5" s="370" t="s">
        <v>2076</v>
      </c>
      <c r="C5" s="371" t="s">
        <v>1197</v>
      </c>
      <c r="D5" s="541"/>
      <c r="E5" s="541"/>
      <c r="F5" s="370" t="s">
        <v>2103</v>
      </c>
      <c r="G5" s="2"/>
    </row>
    <row r="6" spans="1:8" s="2" customFormat="1" ht="14.25">
      <c r="A6" s="541"/>
      <c r="B6" s="541" t="s">
        <v>2167</v>
      </c>
      <c r="C6" s="637">
        <v>0.3</v>
      </c>
      <c r="D6" s="541"/>
      <c r="E6" s="541"/>
      <c r="F6" s="541" t="s">
        <v>2827</v>
      </c>
    </row>
    <row r="7" spans="1:8" s="2" customFormat="1" ht="14.25">
      <c r="A7" s="541"/>
      <c r="B7" s="541" t="s">
        <v>2057</v>
      </c>
      <c r="C7" s="575">
        <v>5</v>
      </c>
      <c r="D7" s="541"/>
      <c r="E7" s="541"/>
      <c r="F7" s="541" t="s">
        <v>2828</v>
      </c>
    </row>
    <row r="8" spans="1:8" s="2" customFormat="1" ht="14.25">
      <c r="A8" s="541"/>
      <c r="B8" s="541" t="s">
        <v>2325</v>
      </c>
      <c r="C8" s="637">
        <v>0.1</v>
      </c>
      <c r="D8" s="541"/>
      <c r="E8" s="541"/>
      <c r="F8" s="541" t="s">
        <v>2847</v>
      </c>
    </row>
    <row r="9" spans="1:8" s="2" customFormat="1" ht="14.25">
      <c r="A9" s="541"/>
      <c r="B9" s="541" t="s">
        <v>2848</v>
      </c>
      <c r="C9" s="46">
        <v>50000</v>
      </c>
      <c r="D9" s="541"/>
      <c r="E9" s="541"/>
      <c r="F9" s="541"/>
    </row>
    <row r="10" spans="1:8" s="2" customFormat="1" ht="14.25">
      <c r="A10" s="541"/>
      <c r="B10" s="541" t="s">
        <v>2097</v>
      </c>
      <c r="C10" s="718">
        <v>261.5</v>
      </c>
      <c r="D10" s="541"/>
      <c r="E10" s="541"/>
      <c r="F10" s="85" t="s">
        <v>2893</v>
      </c>
    </row>
    <row r="11" spans="1:8" s="2" customFormat="1" ht="14.25">
      <c r="A11" s="541"/>
      <c r="B11" s="541" t="s">
        <v>2088</v>
      </c>
      <c r="C11" s="606">
        <f>C10*12</f>
        <v>3138</v>
      </c>
      <c r="D11" s="541"/>
      <c r="E11" s="541"/>
      <c r="F11" s="85"/>
    </row>
    <row r="12" spans="1:8" s="2" customFormat="1" ht="14.25">
      <c r="A12" s="541"/>
      <c r="B12" s="541" t="s">
        <v>2894</v>
      </c>
      <c r="C12" s="607">
        <f>C9/C11</f>
        <v>15.933715742511154</v>
      </c>
      <c r="D12" s="541"/>
      <c r="E12" s="541"/>
      <c r="F12" s="541"/>
    </row>
    <row r="13" spans="1:8" s="2" customFormat="1" ht="14.25">
      <c r="A13" s="541"/>
      <c r="B13" s="541" t="s">
        <v>2895</v>
      </c>
      <c r="C13" s="608">
        <f>C12</f>
        <v>15.933715742511154</v>
      </c>
      <c r="D13" s="541"/>
      <c r="E13" s="541"/>
      <c r="F13" s="541" t="s">
        <v>2632</v>
      </c>
    </row>
    <row r="14" spans="1:8" s="2" customFormat="1" ht="14.25">
      <c r="A14" s="541"/>
      <c r="B14" s="541" t="s">
        <v>2098</v>
      </c>
      <c r="C14" s="82">
        <v>325</v>
      </c>
      <c r="D14" s="541"/>
      <c r="E14" s="541"/>
      <c r="F14" s="85" t="s">
        <v>2829</v>
      </c>
    </row>
    <row r="15" spans="1:8" s="2" customFormat="1" ht="14.25">
      <c r="A15" s="541"/>
      <c r="B15" s="541" t="s">
        <v>2078</v>
      </c>
      <c r="C15" s="609">
        <f>C11/C14</f>
        <v>9.6553846153846159</v>
      </c>
      <c r="D15" s="541"/>
      <c r="E15" s="541"/>
      <c r="F15" s="541"/>
    </row>
    <row r="16" spans="1:8" s="2" customFormat="1" ht="14.25">
      <c r="A16" s="541"/>
      <c r="B16" s="541" t="s">
        <v>2079</v>
      </c>
      <c r="C16" s="53">
        <f>'Offer Comparison'!$C$20</f>
        <v>65</v>
      </c>
      <c r="D16" s="541"/>
      <c r="E16" s="541"/>
      <c r="F16" s="85" t="s">
        <v>2677</v>
      </c>
    </row>
    <row r="17" spans="1:7" s="2" customFormat="1" ht="14.25">
      <c r="A17" s="541"/>
      <c r="B17" s="576" t="s">
        <v>2083</v>
      </c>
      <c r="C17" s="593">
        <f>C16*$C$7</f>
        <v>325</v>
      </c>
      <c r="D17" s="541"/>
      <c r="E17" s="541"/>
      <c r="F17" s="541"/>
    </row>
    <row r="18" spans="1:7" s="2" customFormat="1" ht="14.25">
      <c r="A18" s="541"/>
      <c r="B18" s="587" t="s">
        <v>2085</v>
      </c>
      <c r="C18" s="590">
        <f>C17*C15</f>
        <v>3138</v>
      </c>
      <c r="D18" s="541"/>
      <c r="E18" s="541"/>
      <c r="F18" s="541"/>
    </row>
    <row r="19" spans="1:7" s="2" customFormat="1" ht="14.25">
      <c r="A19" s="541"/>
      <c r="B19" s="591" t="str">
        <f>"Check - "&amp;$C$7&amp;" Year Topkey Valuation Growth"</f>
        <v>Check - 5 Year Topkey Valuation Growth</v>
      </c>
      <c r="C19" s="676">
        <f>IFERROR(D80/C80-1,0)</f>
        <v>1.0131712259371835</v>
      </c>
      <c r="D19" s="541"/>
      <c r="E19" s="541"/>
      <c r="F19" s="541" t="s">
        <v>2896</v>
      </c>
    </row>
    <row r="20" spans="1:7" ht="3.95" customHeight="1">
      <c r="A20" s="541"/>
      <c r="B20" s="541"/>
      <c r="C20" s="575"/>
      <c r="D20" s="541"/>
      <c r="E20" s="541"/>
      <c r="F20" s="541"/>
      <c r="G20" s="2"/>
    </row>
    <row r="21" spans="1:7">
      <c r="A21" s="541"/>
      <c r="B21" s="569" t="s">
        <v>2081</v>
      </c>
      <c r="C21" s="569"/>
      <c r="D21" s="541"/>
      <c r="E21" s="541"/>
      <c r="F21" s="541"/>
      <c r="G21" s="2"/>
    </row>
    <row r="22" spans="1:7" ht="15" customHeight="1">
      <c r="A22" s="541"/>
      <c r="B22" s="541" t="s">
        <v>2027</v>
      </c>
      <c r="C22" s="851">
        <v>1</v>
      </c>
      <c r="D22" s="541"/>
      <c r="E22" s="541"/>
      <c r="F22" s="541" t="s">
        <v>2846</v>
      </c>
      <c r="G22" s="2"/>
    </row>
    <row r="23" spans="1:7" ht="15" customHeight="1">
      <c r="A23" s="541"/>
      <c r="B23" s="541" t="s">
        <v>2109</v>
      </c>
      <c r="C23" s="851">
        <v>1.25</v>
      </c>
      <c r="D23" s="541"/>
      <c r="E23" s="541"/>
      <c r="F23" s="541" t="s">
        <v>2830</v>
      </c>
      <c r="G23" s="2"/>
    </row>
    <row r="24" spans="1:7">
      <c r="A24" s="541"/>
      <c r="B24" s="541" t="s">
        <v>2073</v>
      </c>
      <c r="C24" s="852">
        <v>16.6314729943503</v>
      </c>
      <c r="D24" s="2"/>
      <c r="E24" s="541"/>
      <c r="F24" s="541" t="s">
        <v>2831</v>
      </c>
      <c r="G24" s="2"/>
    </row>
    <row r="25" spans="1:7">
      <c r="A25" s="541"/>
      <c r="B25" s="541" t="s">
        <v>2121</v>
      </c>
      <c r="C25" s="82">
        <v>3</v>
      </c>
      <c r="D25" s="2"/>
      <c r="E25" s="541"/>
      <c r="F25" s="541" t="s">
        <v>2897</v>
      </c>
      <c r="G25" s="2"/>
    </row>
    <row r="26" spans="1:7">
      <c r="A26" s="541"/>
      <c r="B26" s="576" t="s">
        <v>2072</v>
      </c>
      <c r="C26" s="613">
        <f>C25*12</f>
        <v>36</v>
      </c>
      <c r="D26" s="541"/>
      <c r="E26" s="541"/>
      <c r="F26" s="541"/>
      <c r="G26" s="2"/>
    </row>
    <row r="27" spans="1:7">
      <c r="A27" s="541"/>
      <c r="B27" s="587" t="s">
        <v>2083</v>
      </c>
      <c r="C27" s="588">
        <f>C26*$C$7</f>
        <v>180</v>
      </c>
      <c r="D27" s="541"/>
      <c r="E27" s="541"/>
      <c r="F27" s="541"/>
      <c r="G27" s="2"/>
    </row>
    <row r="28" spans="1:7">
      <c r="A28" s="541"/>
      <c r="B28" s="586" t="s">
        <v>2085</v>
      </c>
      <c r="C28" s="589">
        <f>C27*C24</f>
        <v>2993.665138983054</v>
      </c>
      <c r="D28" s="541"/>
      <c r="E28" s="541"/>
      <c r="F28" s="541"/>
      <c r="G28" s="2"/>
    </row>
    <row r="29" spans="1:7" ht="3.95" customHeight="1">
      <c r="A29" s="541"/>
      <c r="B29" s="2"/>
      <c r="C29" s="2"/>
      <c r="D29" s="541"/>
      <c r="E29" s="541"/>
      <c r="F29" s="541"/>
      <c r="G29" s="2"/>
    </row>
    <row r="30" spans="1:7" ht="12.75" customHeight="1">
      <c r="A30" s="541"/>
      <c r="B30" s="569" t="s">
        <v>2082</v>
      </c>
      <c r="C30" s="569"/>
      <c r="D30" s="541"/>
      <c r="E30" s="541"/>
      <c r="F30" s="541"/>
      <c r="G30" s="2"/>
    </row>
    <row r="31" spans="1:7" ht="12.75" customHeight="1">
      <c r="A31" s="541"/>
      <c r="B31" s="541" t="s">
        <v>2077</v>
      </c>
      <c r="C31" s="851">
        <v>2</v>
      </c>
      <c r="D31" s="541"/>
      <c r="E31" s="541"/>
      <c r="F31" s="541" t="s">
        <v>2832</v>
      </c>
      <c r="G31" s="2"/>
    </row>
    <row r="32" spans="1:7" ht="12.75" customHeight="1">
      <c r="A32" s="541"/>
      <c r="B32" s="541" t="s">
        <v>2099</v>
      </c>
      <c r="C32" s="46">
        <v>240</v>
      </c>
      <c r="D32" s="541"/>
      <c r="E32" s="541"/>
      <c r="F32" s="541" t="s">
        <v>2898</v>
      </c>
      <c r="G32" s="2"/>
    </row>
    <row r="33" spans="1:7" ht="12.75" customHeight="1">
      <c r="A33" s="541"/>
      <c r="B33" s="541" t="s">
        <v>2844</v>
      </c>
      <c r="C33" s="46"/>
      <c r="D33" s="541"/>
      <c r="E33" s="541"/>
      <c r="F33" s="541"/>
      <c r="G33" s="2"/>
    </row>
    <row r="34" spans="1:7" ht="3.95" customHeight="1">
      <c r="A34" s="541"/>
      <c r="B34" s="541"/>
      <c r="C34" s="582"/>
      <c r="D34" s="541"/>
      <c r="E34" s="541"/>
      <c r="F34" s="541"/>
      <c r="G34" s="2"/>
    </row>
    <row r="35" spans="1:7" s="583" customFormat="1" ht="12.75" customHeight="1">
      <c r="A35" s="541"/>
      <c r="B35" s="612" t="str">
        <f>+B24</f>
        <v>Avg. Revenue Per Client</v>
      </c>
      <c r="C35" s="584">
        <f>+C24</f>
        <v>16.6314729943503</v>
      </c>
      <c r="D35" s="541"/>
      <c r="E35" s="541"/>
      <c r="F35" s="541"/>
      <c r="G35" s="612"/>
    </row>
    <row r="36" spans="1:7" s="583" customFormat="1" ht="3.95" customHeight="1">
      <c r="A36" s="541"/>
      <c r="B36" s="612"/>
      <c r="C36" s="612"/>
      <c r="D36" s="541"/>
      <c r="E36" s="541"/>
      <c r="F36" s="541"/>
      <c r="G36" s="612"/>
    </row>
    <row r="37" spans="1:7" s="583" customFormat="1" ht="12.75" customHeight="1">
      <c r="A37" s="541"/>
      <c r="B37" s="612" t="str">
        <f>+B26</f>
        <v>Annual Net Client Wins</v>
      </c>
      <c r="C37" s="83">
        <f>+C26</f>
        <v>36</v>
      </c>
      <c r="D37" s="541"/>
      <c r="E37" s="541"/>
      <c r="F37" s="541"/>
      <c r="G37" s="612"/>
    </row>
    <row r="38" spans="1:7" s="583" customFormat="1" ht="12.75" customHeight="1">
      <c r="A38" s="541"/>
      <c r="B38" s="614" t="s">
        <v>2074</v>
      </c>
      <c r="C38" s="82">
        <v>36</v>
      </c>
      <c r="D38" s="541"/>
      <c r="E38" s="541"/>
      <c r="F38" s="85"/>
      <c r="G38" s="612"/>
    </row>
    <row r="39" spans="1:7" s="583" customFormat="1" ht="12.75" customHeight="1">
      <c r="A39" s="541"/>
      <c r="B39" s="104" t="s">
        <v>2084</v>
      </c>
      <c r="C39" s="585">
        <f>SUM(C37:C38)</f>
        <v>72</v>
      </c>
      <c r="D39" s="541"/>
      <c r="E39" s="541"/>
      <c r="F39" s="541"/>
      <c r="G39" s="612"/>
    </row>
    <row r="40" spans="1:7">
      <c r="A40" s="541"/>
      <c r="B40" s="587" t="s">
        <v>2083</v>
      </c>
      <c r="C40" s="588">
        <f>C39*$C$7</f>
        <v>360</v>
      </c>
      <c r="D40" s="541"/>
      <c r="E40" s="541"/>
      <c r="F40" s="541"/>
      <c r="G40" s="2"/>
    </row>
    <row r="41" spans="1:7">
      <c r="A41" s="541"/>
      <c r="B41" s="587" t="s">
        <v>2085</v>
      </c>
      <c r="C41" s="590">
        <f>C40*C35</f>
        <v>5987.330277966108</v>
      </c>
      <c r="D41" s="541"/>
      <c r="E41" s="541"/>
      <c r="F41" s="541"/>
      <c r="G41" s="2"/>
    </row>
    <row r="42" spans="1:7">
      <c r="A42" s="541"/>
      <c r="B42" s="591" t="s">
        <v>2089</v>
      </c>
      <c r="C42" s="592">
        <f>C41-C28</f>
        <v>2993.665138983054</v>
      </c>
      <c r="D42" s="541"/>
      <c r="E42" s="541"/>
      <c r="F42" s="541"/>
      <c r="G42" s="2"/>
    </row>
    <row r="43" spans="1:7" ht="3.95" customHeight="1">
      <c r="A43" s="541"/>
      <c r="B43" s="452"/>
      <c r="C43" s="430"/>
      <c r="D43" s="452"/>
      <c r="E43" s="541"/>
      <c r="F43" s="452"/>
      <c r="G43" s="2"/>
    </row>
    <row r="44" spans="1:7" ht="15" customHeight="1">
      <c r="A44" s="541"/>
      <c r="B44" s="569" t="s">
        <v>2298</v>
      </c>
      <c r="C44" s="569"/>
      <c r="D44" s="541"/>
      <c r="F44" s="452"/>
      <c r="G44" s="2"/>
    </row>
    <row r="45" spans="1:7" ht="15" customHeight="1">
      <c r="A45" s="541"/>
      <c r="B45" s="452" t="s">
        <v>2254</v>
      </c>
      <c r="C45" s="435">
        <v>3</v>
      </c>
      <c r="D45" s="452"/>
      <c r="F45" s="452" t="s">
        <v>2899</v>
      </c>
      <c r="G45" s="2"/>
    </row>
    <row r="46" spans="1:7" ht="15" customHeight="1">
      <c r="A46" s="541"/>
      <c r="B46" s="452" t="s">
        <v>2255</v>
      </c>
      <c r="C46" s="429">
        <f>C148</f>
        <v>2998.5410200000001</v>
      </c>
      <c r="D46" s="452"/>
      <c r="F46" s="452" t="s">
        <v>2900</v>
      </c>
      <c r="G46" s="2"/>
    </row>
    <row r="47" spans="1:7" ht="15" customHeight="1">
      <c r="A47" s="541"/>
      <c r="B47" s="452" t="s">
        <v>2311</v>
      </c>
      <c r="C47" s="430">
        <f>C46+C41*(C45-(C56-1)/2/12)/C7</f>
        <v>6491.1503488135622</v>
      </c>
      <c r="D47" s="452"/>
      <c r="F47" s="452" t="s">
        <v>2312</v>
      </c>
      <c r="G47" s="2"/>
    </row>
    <row r="48" spans="1:7" ht="15" customHeight="1">
      <c r="A48" s="541"/>
      <c r="B48" s="559" t="s">
        <v>2256</v>
      </c>
      <c r="C48" s="633">
        <v>1</v>
      </c>
      <c r="D48" s="452"/>
      <c r="F48" s="452" t="s">
        <v>2262</v>
      </c>
      <c r="G48" s="2"/>
    </row>
    <row r="49" spans="1:7" ht="15" customHeight="1">
      <c r="A49" s="541"/>
      <c r="B49" s="657" t="s">
        <v>2313</v>
      </c>
      <c r="C49" s="661">
        <f>C47*C48</f>
        <v>6491.1503488135622</v>
      </c>
      <c r="D49" s="452"/>
      <c r="F49" s="452"/>
      <c r="G49" s="2"/>
    </row>
    <row r="50" spans="1:7" ht="15" customHeight="1">
      <c r="A50" s="541"/>
      <c r="B50" s="452" t="s">
        <v>2257</v>
      </c>
      <c r="C50" s="633">
        <v>0.8</v>
      </c>
      <c r="D50" s="452"/>
      <c r="F50" s="452" t="s">
        <v>2304</v>
      </c>
      <c r="G50" s="2"/>
    </row>
    <row r="51" spans="1:7" ht="15" customHeight="1">
      <c r="A51" s="541"/>
      <c r="B51" s="452" t="s">
        <v>2299</v>
      </c>
      <c r="C51" s="46">
        <v>0</v>
      </c>
      <c r="D51" s="452"/>
      <c r="F51" s="452" t="s">
        <v>2316</v>
      </c>
      <c r="G51" s="2"/>
    </row>
    <row r="52" spans="1:7" ht="15" customHeight="1">
      <c r="A52" s="541"/>
      <c r="B52" s="452" t="s">
        <v>2300</v>
      </c>
      <c r="C52" s="618">
        <v>0.5</v>
      </c>
      <c r="D52" s="452"/>
      <c r="F52" s="452" t="s">
        <v>2306</v>
      </c>
      <c r="G52" s="2"/>
    </row>
    <row r="53" spans="1:7" ht="15" customHeight="1">
      <c r="A53" s="541"/>
      <c r="B53" s="452" t="s">
        <v>2301</v>
      </c>
      <c r="C53" s="618">
        <v>1.5</v>
      </c>
      <c r="D53" s="452"/>
      <c r="F53" s="452" t="s">
        <v>2646</v>
      </c>
      <c r="G53" s="2"/>
    </row>
    <row r="54" spans="1:7" ht="15" customHeight="1">
      <c r="A54" s="541"/>
      <c r="B54" s="452" t="s">
        <v>2302</v>
      </c>
      <c r="C54" s="616">
        <f>IF(C48&lt;C50,0,MIN(C53,C52+(1-C52)*(C48-C50)/(1-C50)))</f>
        <v>1</v>
      </c>
      <c r="D54" s="452"/>
      <c r="F54" s="452" t="s">
        <v>2307</v>
      </c>
      <c r="G54" s="2"/>
    </row>
    <row r="55" spans="1:7" ht="15" customHeight="1">
      <c r="A55" s="541"/>
      <c r="B55" s="452" t="s">
        <v>2303</v>
      </c>
      <c r="C55" s="154">
        <f>C51*C53</f>
        <v>0</v>
      </c>
      <c r="D55" s="452"/>
      <c r="F55" s="452" t="s">
        <v>2308</v>
      </c>
      <c r="G55" s="2"/>
    </row>
    <row r="56" spans="1:7" ht="15" customHeight="1">
      <c r="A56" s="541"/>
      <c r="B56" s="541" t="s">
        <v>2309</v>
      </c>
      <c r="C56" s="82">
        <v>3</v>
      </c>
      <c r="D56" s="452"/>
      <c r="F56" s="452" t="s">
        <v>2310</v>
      </c>
      <c r="G56" s="2"/>
    </row>
    <row r="57" spans="1:7" ht="15" customHeight="1">
      <c r="A57" s="541"/>
      <c r="B57" s="521" t="s">
        <v>2258</v>
      </c>
      <c r="C57" s="527">
        <f>C51*C54</f>
        <v>0</v>
      </c>
      <c r="D57" s="453"/>
      <c r="F57" s="452" t="s">
        <v>2901</v>
      </c>
      <c r="G57" s="2"/>
    </row>
    <row r="58" spans="1:7" ht="15" customHeight="1">
      <c r="A58" s="541"/>
      <c r="B58" s="452" t="s">
        <v>2259</v>
      </c>
      <c r="C58" s="633">
        <v>0.7</v>
      </c>
      <c r="D58" s="452"/>
      <c r="F58" s="452" t="s">
        <v>2263</v>
      </c>
      <c r="G58" s="2"/>
    </row>
    <row r="59" spans="1:7" ht="15" customHeight="1">
      <c r="A59" s="541"/>
      <c r="B59" s="452" t="s">
        <v>2260</v>
      </c>
      <c r="C59" s="529">
        <v>0.15</v>
      </c>
      <c r="D59" s="452"/>
      <c r="F59" s="452" t="s">
        <v>2263</v>
      </c>
      <c r="G59" s="2"/>
    </row>
    <row r="60" spans="1:7" ht="15" customHeight="1">
      <c r="A60" s="541"/>
      <c r="B60" s="415" t="s">
        <v>2261</v>
      </c>
      <c r="C60" s="652">
        <f>C57*C58/(1+C59)^C45</f>
        <v>0</v>
      </c>
      <c r="D60" s="415"/>
      <c r="F60" s="452" t="s">
        <v>2264</v>
      </c>
      <c r="G60" s="2"/>
    </row>
    <row r="61" spans="1:7" s="583" customFormat="1" ht="3.95" customHeight="1">
      <c r="A61" s="541"/>
      <c r="B61" s="612"/>
      <c r="C61" s="612"/>
      <c r="D61" s="541"/>
      <c r="E61" s="541"/>
      <c r="F61" s="452"/>
      <c r="G61" s="612"/>
    </row>
    <row r="62" spans="1:7" s="583" customFormat="1" ht="15" customHeight="1">
      <c r="A62" s="541"/>
      <c r="B62" s="454" t="s">
        <v>2351</v>
      </c>
      <c r="C62" s="455" t="str">
        <f>C$147</f>
        <v>Today</v>
      </c>
      <c r="D62" s="455" t="s">
        <v>1861</v>
      </c>
      <c r="E62" s="452"/>
      <c r="F62" s="452"/>
      <c r="G62" s="612"/>
    </row>
    <row r="63" spans="1:7" s="583" customFormat="1" ht="15" customHeight="1">
      <c r="A63" s="541"/>
      <c r="B63" s="452" t="s">
        <v>2055</v>
      </c>
      <c r="C63" s="429">
        <f>$C$153</f>
        <v>650</v>
      </c>
      <c r="D63" s="528">
        <f t="shared" ref="D63:D68" si="0">IFERROR(C63/C$66,0)</f>
        <v>0.21666666666666667</v>
      </c>
      <c r="E63" s="452"/>
      <c r="F63" s="452" t="s">
        <v>2902</v>
      </c>
      <c r="G63" s="612"/>
    </row>
    <row r="64" spans="1:7" s="583" customFormat="1" ht="15" customHeight="1">
      <c r="A64" s="541"/>
      <c r="B64" s="559" t="s">
        <v>2268</v>
      </c>
      <c r="C64" s="433">
        <f>$C$154</f>
        <v>1450</v>
      </c>
      <c r="D64" s="528">
        <f t="shared" si="0"/>
        <v>0.48333333333333334</v>
      </c>
      <c r="E64" s="452"/>
      <c r="F64" s="452" t="s">
        <v>2903</v>
      </c>
      <c r="G64" s="612"/>
    </row>
    <row r="65" spans="1:7" s="583" customFormat="1" ht="15" customHeight="1">
      <c r="A65" s="541"/>
      <c r="B65" s="559" t="s">
        <v>2519</v>
      </c>
      <c r="C65" s="430">
        <f>$C$149*$C$150</f>
        <v>900</v>
      </c>
      <c r="D65" s="528">
        <f t="shared" si="0"/>
        <v>0.3</v>
      </c>
      <c r="E65" s="452"/>
      <c r="F65" s="452" t="s">
        <v>2904</v>
      </c>
      <c r="G65" s="612"/>
    </row>
    <row r="66" spans="1:7" s="583" customFormat="1" ht="15" customHeight="1">
      <c r="A66" s="541"/>
      <c r="B66" s="773" t="s">
        <v>2507</v>
      </c>
      <c r="C66" s="441">
        <f>SUM(C63:C65)</f>
        <v>3000</v>
      </c>
      <c r="D66" s="774">
        <f t="shared" si="0"/>
        <v>1</v>
      </c>
      <c r="E66" s="452"/>
      <c r="F66" s="452" t="s">
        <v>2905</v>
      </c>
      <c r="G66" s="612"/>
    </row>
    <row r="67" spans="1:7" s="583" customFormat="1" ht="15" customHeight="1">
      <c r="A67" s="541"/>
      <c r="B67" s="559" t="s">
        <v>2508</v>
      </c>
      <c r="C67" s="433">
        <f>$C$57</f>
        <v>0</v>
      </c>
      <c r="D67" s="528">
        <f t="shared" si="0"/>
        <v>0</v>
      </c>
      <c r="E67" s="452"/>
      <c r="F67" s="452" t="s">
        <v>2906</v>
      </c>
      <c r="G67" s="612"/>
    </row>
    <row r="68" spans="1:7" s="583" customFormat="1" ht="15" customHeight="1">
      <c r="A68" s="541"/>
      <c r="B68" s="775" t="s">
        <v>2510</v>
      </c>
      <c r="C68" s="776">
        <f>C66+C67</f>
        <v>3000</v>
      </c>
      <c r="D68" s="777">
        <f t="shared" si="0"/>
        <v>1</v>
      </c>
      <c r="E68" s="452"/>
      <c r="F68" s="452"/>
      <c r="G68" s="612"/>
    </row>
    <row r="69" spans="1:7" s="583" customFormat="1" ht="3.95" customHeight="1">
      <c r="A69" s="541"/>
      <c r="B69" s="452"/>
      <c r="C69" s="452"/>
      <c r="D69" s="452"/>
      <c r="E69" s="452"/>
      <c r="F69" s="452"/>
      <c r="G69" s="612"/>
    </row>
    <row r="70" spans="1:7">
      <c r="A70" s="541"/>
      <c r="B70" s="370" t="s">
        <v>2003</v>
      </c>
      <c r="C70" s="371" t="str">
        <f>C$147</f>
        <v>Today</v>
      </c>
      <c r="D70" s="371" t="str">
        <f>"Year "&amp;$C$7</f>
        <v>Year 5</v>
      </c>
      <c r="E70" s="541"/>
      <c r="F70" s="452"/>
      <c r="G70" s="2"/>
    </row>
    <row r="71" spans="1:7">
      <c r="A71" s="541"/>
      <c r="B71" s="541" t="s">
        <v>2005</v>
      </c>
      <c r="C71" s="166">
        <f>ROUND(C148*C22,-1)</f>
        <v>3000</v>
      </c>
      <c r="D71" s="542">
        <f>(C148+C28)*$C$23</f>
        <v>7490.2576987288176</v>
      </c>
      <c r="E71" s="541"/>
      <c r="F71" s="452" t="s">
        <v>2649</v>
      </c>
      <c r="G71" s="2"/>
    </row>
    <row r="72" spans="1:7">
      <c r="A72" s="541"/>
      <c r="B72" s="541" t="s">
        <v>2006</v>
      </c>
      <c r="C72" s="618">
        <v>1</v>
      </c>
      <c r="D72" s="543">
        <f>$C$72</f>
        <v>1</v>
      </c>
      <c r="E72" s="541"/>
      <c r="F72" s="452"/>
      <c r="G72" s="2"/>
    </row>
    <row r="73" spans="1:7">
      <c r="A73" s="541"/>
      <c r="B73" s="537" t="s">
        <v>2058</v>
      </c>
      <c r="C73" s="551">
        <f>C71*C72</f>
        <v>3000</v>
      </c>
      <c r="D73" s="594">
        <f>D71*D72</f>
        <v>7490.2576987288176</v>
      </c>
      <c r="E73" s="541"/>
      <c r="F73" s="452"/>
      <c r="G73" s="2"/>
    </row>
    <row r="74" spans="1:7" ht="3.95" customHeight="1">
      <c r="A74" s="541"/>
      <c r="B74" s="541"/>
      <c r="C74" s="541"/>
      <c r="D74" s="541"/>
      <c r="E74" s="541"/>
      <c r="F74" s="452"/>
      <c r="G74" s="2"/>
    </row>
    <row r="75" spans="1:7">
      <c r="A75" s="541"/>
      <c r="B75" s="370" t="str">
        <f>"Scenario 2 — Ben Rolls "&amp;TEXT($C$150,"0%")&amp;" of Keystone Equity"</f>
        <v>Scenario 2 — Ben Rolls 30% of Keystone Equity</v>
      </c>
      <c r="C75" s="604" t="str">
        <f>C$147</f>
        <v>Today</v>
      </c>
      <c r="D75" s="604" t="str">
        <f>D$70</f>
        <v>Year 5</v>
      </c>
      <c r="E75" s="541"/>
      <c r="F75" s="452"/>
      <c r="G75" s="2"/>
    </row>
    <row r="76" spans="1:7">
      <c r="A76" s="541"/>
      <c r="B76" s="452" t="s">
        <v>2180</v>
      </c>
      <c r="C76" s="429">
        <f>C149</f>
        <v>3000</v>
      </c>
      <c r="D76" s="431">
        <f>(C41+C148)*C31</f>
        <v>17971.742595932217</v>
      </c>
      <c r="E76" s="541"/>
      <c r="F76" s="452" t="s">
        <v>2907</v>
      </c>
      <c r="G76" s="2"/>
    </row>
    <row r="77" spans="1:7">
      <c r="A77" s="541"/>
      <c r="B77" s="559" t="s">
        <v>2181</v>
      </c>
      <c r="C77" s="635">
        <f>$C$150</f>
        <v>0.3</v>
      </c>
      <c r="D77" s="635">
        <f>$C$150</f>
        <v>0.3</v>
      </c>
      <c r="E77" s="541"/>
      <c r="F77" s="452"/>
      <c r="G77" s="2"/>
    </row>
    <row r="78" spans="1:7">
      <c r="A78" s="541"/>
      <c r="B78" s="521" t="s">
        <v>2007</v>
      </c>
      <c r="C78" s="525">
        <f>C76*C77</f>
        <v>900</v>
      </c>
      <c r="D78" s="527">
        <f>D76*D77</f>
        <v>5391.5227787796648</v>
      </c>
      <c r="E78" s="541"/>
      <c r="F78" s="430" t="s">
        <v>2691</v>
      </c>
      <c r="G78" s="2"/>
    </row>
    <row r="79" spans="1:7" ht="3.95" customHeight="1">
      <c r="A79" s="541"/>
      <c r="B79" s="452"/>
      <c r="C79" s="431"/>
      <c r="D79" s="431"/>
      <c r="E79" s="541"/>
      <c r="F79" s="430"/>
      <c r="G79" s="2"/>
    </row>
    <row r="80" spans="1:7">
      <c r="A80" s="541"/>
      <c r="B80" s="452" t="s">
        <v>2059</v>
      </c>
      <c r="C80" s="433">
        <f>C158</f>
        <v>49350</v>
      </c>
      <c r="D80" s="430">
        <f>($C$11+$C$18)*$C$13-$C$153-$C$57</f>
        <v>99350</v>
      </c>
      <c r="E80" s="541"/>
      <c r="F80" s="452"/>
      <c r="G80" s="2"/>
    </row>
    <row r="81" spans="1:7">
      <c r="A81" s="541"/>
      <c r="B81" s="559" t="s">
        <v>2183</v>
      </c>
      <c r="C81" s="430">
        <f>C76*$C$151</f>
        <v>2100</v>
      </c>
      <c r="D81" s="430">
        <f>D76*$C$151</f>
        <v>12580.219817152551</v>
      </c>
      <c r="E81" s="541"/>
      <c r="F81" s="452" t="s">
        <v>2218</v>
      </c>
      <c r="G81" s="2"/>
    </row>
    <row r="82" spans="1:7">
      <c r="A82" s="541"/>
      <c r="B82" s="524" t="s">
        <v>2184</v>
      </c>
      <c r="C82" s="526">
        <f>C80+C81</f>
        <v>51450</v>
      </c>
      <c r="D82" s="526">
        <f>D80+D81</f>
        <v>111930.21981715255</v>
      </c>
      <c r="E82" s="541"/>
      <c r="F82" s="452"/>
      <c r="G82" s="2"/>
    </row>
    <row r="83" spans="1:7">
      <c r="A83" s="541"/>
      <c r="B83" s="559" t="s">
        <v>2185</v>
      </c>
      <c r="C83" s="530">
        <f>$C$157</f>
        <v>2.8182701652089408E-2</v>
      </c>
      <c r="D83" s="530">
        <f>$D$157</f>
        <v>2.5364431486880466E-2</v>
      </c>
      <c r="E83" s="541"/>
      <c r="F83" s="452"/>
      <c r="G83" s="2"/>
    </row>
    <row r="84" spans="1:7">
      <c r="A84" s="541"/>
      <c r="B84" s="521" t="s">
        <v>2062</v>
      </c>
      <c r="C84" s="525">
        <f>C82*C83</f>
        <v>1450</v>
      </c>
      <c r="D84" s="527">
        <f>D82*D83</f>
        <v>2839.046391863636</v>
      </c>
      <c r="E84" s="541"/>
      <c r="F84" s="452" t="s">
        <v>2908</v>
      </c>
      <c r="G84" s="2"/>
    </row>
    <row r="85" spans="1:7" ht="15" customHeight="1">
      <c r="A85" s="541"/>
      <c r="B85" s="638" t="s">
        <v>2214</v>
      </c>
      <c r="C85" s="431"/>
      <c r="D85" s="431"/>
      <c r="E85" s="541"/>
      <c r="F85" s="452"/>
      <c r="G85" s="2"/>
    </row>
    <row r="86" spans="1:7" ht="15" customHeight="1">
      <c r="A86" s="541"/>
      <c r="B86" s="452" t="s">
        <v>2215</v>
      </c>
      <c r="C86" s="429">
        <f>C78</f>
        <v>900</v>
      </c>
      <c r="D86" s="429">
        <f>D78</f>
        <v>5391.5227787796648</v>
      </c>
      <c r="E86" s="541"/>
      <c r="F86" s="452" t="s">
        <v>2219</v>
      </c>
      <c r="G86" s="2"/>
    </row>
    <row r="87" spans="1:7" ht="15" customHeight="1">
      <c r="A87" s="541"/>
      <c r="B87" s="559" t="s">
        <v>2216</v>
      </c>
      <c r="C87" s="430">
        <f>C81*C83</f>
        <v>59.183673469387756</v>
      </c>
      <c r="D87" s="430">
        <f>D81*D83</f>
        <v>319.09012364206177</v>
      </c>
      <c r="E87" s="541"/>
      <c r="F87" s="452" t="s">
        <v>2190</v>
      </c>
      <c r="G87" s="2"/>
    </row>
    <row r="88" spans="1:7" ht="15" customHeight="1">
      <c r="A88" s="541"/>
      <c r="B88" s="559" t="s">
        <v>2217</v>
      </c>
      <c r="C88" s="430">
        <f>C80*C83</f>
        <v>1390.8163265306123</v>
      </c>
      <c r="D88" s="430">
        <f>D80*D83</f>
        <v>2519.9562682215742</v>
      </c>
      <c r="E88" s="541"/>
      <c r="F88" s="452" t="s">
        <v>2220</v>
      </c>
      <c r="G88" s="2"/>
    </row>
    <row r="89" spans="1:7">
      <c r="A89" s="541"/>
      <c r="B89" s="559" t="s">
        <v>2063</v>
      </c>
      <c r="C89" s="433">
        <f>$C$153</f>
        <v>650</v>
      </c>
      <c r="D89" s="433">
        <f>$C$153</f>
        <v>650</v>
      </c>
      <c r="E89" s="541"/>
      <c r="F89" s="452"/>
      <c r="G89" s="2"/>
    </row>
    <row r="90" spans="1:7" ht="15" customHeight="1">
      <c r="A90" s="541"/>
      <c r="B90" s="559" t="s">
        <v>2265</v>
      </c>
      <c r="C90" s="430"/>
      <c r="D90" s="433">
        <f>$C$57</f>
        <v>0</v>
      </c>
      <c r="E90" s="541"/>
      <c r="F90" s="452"/>
      <c r="G90" s="2"/>
    </row>
    <row r="91" spans="1:7">
      <c r="A91" s="541"/>
      <c r="B91" s="521" t="s">
        <v>2064</v>
      </c>
      <c r="C91" s="525">
        <f>SUM(C86:C90)</f>
        <v>3000</v>
      </c>
      <c r="D91" s="527">
        <f>SUM(D86:D90)</f>
        <v>8880.5691706433008</v>
      </c>
      <c r="E91" s="541"/>
      <c r="F91" s="452" t="s">
        <v>2221</v>
      </c>
      <c r="G91" s="2"/>
    </row>
    <row r="92" spans="1:7" ht="3.95" customHeight="1">
      <c r="A92" s="541"/>
      <c r="B92" s="452"/>
      <c r="C92" s="452"/>
      <c r="D92" s="452"/>
      <c r="E92" s="541"/>
      <c r="F92" s="452"/>
      <c r="G92" s="2"/>
    </row>
    <row r="93" spans="1:7">
      <c r="A93" s="541"/>
      <c r="B93" s="370" t="s">
        <v>2070</v>
      </c>
      <c r="C93" s="604" t="str">
        <f>C$147</f>
        <v>Today</v>
      </c>
      <c r="D93" s="604" t="str">
        <f>D$70</f>
        <v>Year 5</v>
      </c>
      <c r="E93" s="541"/>
      <c r="F93" s="452"/>
      <c r="G93" s="2"/>
    </row>
    <row r="94" spans="1:7">
      <c r="A94" s="541"/>
      <c r="B94" s="624" t="s">
        <v>2071</v>
      </c>
      <c r="C94" s="630">
        <f>C91-C73</f>
        <v>0</v>
      </c>
      <c r="D94" s="625">
        <f>D91-D73</f>
        <v>1390.3114719144833</v>
      </c>
      <c r="E94" s="541"/>
      <c r="F94" s="452"/>
      <c r="G94" s="2"/>
    </row>
    <row r="95" spans="1:7">
      <c r="A95" s="541"/>
      <c r="B95" s="626" t="s">
        <v>285</v>
      </c>
      <c r="C95" s="639">
        <v>0</v>
      </c>
      <c r="D95" s="627">
        <f>IFERROR(D91/D73-1,0)</f>
        <v>0.18561597315275757</v>
      </c>
      <c r="E95" s="541"/>
      <c r="F95" s="452"/>
      <c r="G95" s="2"/>
    </row>
    <row r="96" spans="1:7" ht="15" customHeight="1">
      <c r="A96" s="541"/>
      <c r="B96" s="587" t="s">
        <v>2296</v>
      </c>
      <c r="C96" s="639"/>
      <c r="D96" s="641">
        <f>IFERROR(D91/C149,0)</f>
        <v>2.9601897235477668</v>
      </c>
      <c r="E96" s="541"/>
      <c r="F96" s="541" t="s">
        <v>2909</v>
      </c>
      <c r="G96" s="2"/>
    </row>
    <row r="97" spans="1:7" ht="15" customHeight="1">
      <c r="A97" s="541"/>
      <c r="B97" s="587" t="s">
        <v>2297</v>
      </c>
      <c r="C97" s="639"/>
      <c r="D97" s="659">
        <f>IFERROR(IRR(D184:D189),0)</f>
        <v>0.28490908957748595</v>
      </c>
      <c r="E97" s="541"/>
      <c r="F97" s="541" t="s">
        <v>2910</v>
      </c>
      <c r="G97" s="2"/>
    </row>
    <row r="98" spans="1:7">
      <c r="A98" s="541"/>
      <c r="B98" s="640" t="s">
        <v>2740</v>
      </c>
      <c r="C98" s="639">
        <v>0</v>
      </c>
      <c r="D98" s="660">
        <f>MAX(0,IFERROR(((C111+$C$57)/$C$158)^(1/$C$7)-1,0))</f>
        <v>0</v>
      </c>
      <c r="E98" s="541"/>
      <c r="F98" s="452" t="s">
        <v>2911</v>
      </c>
      <c r="G98" s="2"/>
    </row>
    <row r="99" spans="1:7">
      <c r="A99" s="541"/>
      <c r="B99" s="642" t="s">
        <v>2741</v>
      </c>
      <c r="C99" s="643">
        <v>0</v>
      </c>
      <c r="D99" s="644">
        <f>IFERROR(((D80+$C$57)/$C$158)^(1/$C$7)-1,0)</f>
        <v>0.15020736167869675</v>
      </c>
      <c r="E99" s="541"/>
      <c r="F99" s="452"/>
      <c r="G99" s="2"/>
    </row>
    <row r="100" spans="1:7" ht="3.95" customHeight="1">
      <c r="A100" s="541"/>
      <c r="B100" s="541"/>
      <c r="C100" s="541"/>
      <c r="D100" s="541"/>
      <c r="E100" s="541"/>
      <c r="F100" s="452"/>
      <c r="G100" s="2"/>
    </row>
    <row r="101" spans="1:7">
      <c r="A101" s="541"/>
      <c r="B101" s="454" t="s">
        <v>2161</v>
      </c>
      <c r="C101" s="622" t="str">
        <f>"Year "&amp;$C$7</f>
        <v>Year 5</v>
      </c>
      <c r="D101" s="622" t="s">
        <v>1861</v>
      </c>
      <c r="E101" s="417"/>
      <c r="F101" s="452" t="s">
        <v>2186</v>
      </c>
      <c r="G101" s="417"/>
    </row>
    <row r="102" spans="1:7">
      <c r="A102" s="541"/>
      <c r="B102" s="417" t="s">
        <v>2182</v>
      </c>
      <c r="C102" s="429">
        <f>D78</f>
        <v>5391.5227787796648</v>
      </c>
      <c r="D102" s="490">
        <f>IFERROR(C102/C$106,0)</f>
        <v>0.60711455259000113</v>
      </c>
      <c r="E102" s="417"/>
      <c r="F102" s="452" t="s">
        <v>2702</v>
      </c>
      <c r="G102" s="417"/>
    </row>
    <row r="103" spans="1:7">
      <c r="A103" s="541"/>
      <c r="B103" s="471" t="s">
        <v>2187</v>
      </c>
      <c r="C103" s="470">
        <f>D80*$D$157</f>
        <v>2519.9562682215742</v>
      </c>
      <c r="D103" s="490">
        <f>IFERROR(C103/C$106,0)</f>
        <v>0.28376067116867359</v>
      </c>
      <c r="E103" s="417"/>
      <c r="F103" s="452" t="s">
        <v>2188</v>
      </c>
      <c r="G103" s="417"/>
    </row>
    <row r="104" spans="1:7">
      <c r="A104" s="541"/>
      <c r="B104" s="471" t="s">
        <v>2189</v>
      </c>
      <c r="C104" s="470">
        <f>D81*$D$157</f>
        <v>319.09012364206177</v>
      </c>
      <c r="D104" s="490">
        <f>IFERROR(C104/C$106,0)</f>
        <v>3.593126943900006E-2</v>
      </c>
      <c r="E104" s="417"/>
      <c r="F104" s="452" t="s">
        <v>2190</v>
      </c>
      <c r="G104" s="417"/>
    </row>
    <row r="105" spans="1:7">
      <c r="A105" s="541"/>
      <c r="B105" s="471" t="s">
        <v>2279</v>
      </c>
      <c r="C105" s="433">
        <f>D89+D90</f>
        <v>650</v>
      </c>
      <c r="D105" s="490">
        <f>IFERROR(C105/C$106,0)</f>
        <v>7.3193506802325212E-2</v>
      </c>
      <c r="E105" s="417"/>
      <c r="F105" s="452" t="s">
        <v>2703</v>
      </c>
      <c r="G105" s="417"/>
    </row>
    <row r="106" spans="1:7" ht="15" customHeight="1">
      <c r="A106" s="541"/>
      <c r="B106" s="628" t="s">
        <v>2064</v>
      </c>
      <c r="C106" s="629">
        <f>SUM(C102:C105)</f>
        <v>8880.5691706433008</v>
      </c>
      <c r="D106" s="658">
        <f>SUM(D102:D105)</f>
        <v>1</v>
      </c>
      <c r="E106" s="417"/>
      <c r="F106" s="452" t="s">
        <v>2704</v>
      </c>
      <c r="G106" s="417"/>
    </row>
    <row r="107" spans="1:7">
      <c r="A107" s="541"/>
      <c r="B107" s="417" t="s">
        <v>2125</v>
      </c>
      <c r="C107" s="620">
        <f>(C41+C148)*($C$150+$C$151*$D$157)</f>
        <v>2855.3064512108631</v>
      </c>
      <c r="D107" s="417"/>
      <c r="E107" s="417"/>
      <c r="F107" s="452" t="s">
        <v>2191</v>
      </c>
      <c r="G107" s="417"/>
    </row>
    <row r="108" spans="1:7" ht="3.95" customHeight="1">
      <c r="A108" s="541"/>
      <c r="B108" s="417"/>
      <c r="C108" s="417"/>
      <c r="D108" s="417"/>
      <c r="E108" s="417"/>
      <c r="F108" s="452"/>
      <c r="G108" s="417"/>
    </row>
    <row r="109" spans="1:7">
      <c r="A109" s="541"/>
      <c r="B109" s="454" t="s">
        <v>2163</v>
      </c>
      <c r="C109" s="622" t="s">
        <v>2130</v>
      </c>
      <c r="D109" s="622" t="s">
        <v>2131</v>
      </c>
      <c r="E109" s="417"/>
      <c r="F109" s="452"/>
      <c r="G109" s="417"/>
    </row>
    <row r="110" spans="1:7">
      <c r="A110" s="541"/>
      <c r="B110" s="417" t="s">
        <v>2096</v>
      </c>
      <c r="C110" s="621">
        <f>IFERROR((D73-D89-D90-D80*$D$157)/(($C$150+$C$151*$D$157)*(C41+C148)),0)</f>
        <v>1.5130780195852926</v>
      </c>
      <c r="D110" s="636">
        <f>C31</f>
        <v>2</v>
      </c>
      <c r="E110" s="417"/>
      <c r="F110" s="452" t="s">
        <v>2192</v>
      </c>
      <c r="G110" s="417"/>
    </row>
    <row r="111" spans="1:7">
      <c r="A111" s="541"/>
      <c r="B111" s="417" t="s">
        <v>2132</v>
      </c>
      <c r="C111" s="620">
        <f>MAX(0,(D73-D89-D90-D78)/$D$157-D81)</f>
        <v>44536.57070498071</v>
      </c>
      <c r="D111" s="429">
        <f>D80</f>
        <v>99350</v>
      </c>
      <c r="E111" s="417"/>
      <c r="F111" s="452" t="s">
        <v>2193</v>
      </c>
      <c r="G111" s="417"/>
    </row>
    <row r="112" spans="1:7">
      <c r="A112" s="541"/>
      <c r="B112" s="417" t="s">
        <v>2133</v>
      </c>
      <c r="C112" s="692">
        <f>IFERROR((C111+$C$153+$C$57)/($C$11+$C$18),0)</f>
        <v>7.1998997299204444</v>
      </c>
      <c r="D112" s="691">
        <f>$C$13</f>
        <v>15.933715742511154</v>
      </c>
      <c r="E112" s="417"/>
      <c r="F112" s="452" t="s">
        <v>2341</v>
      </c>
      <c r="G112" s="417"/>
    </row>
    <row r="113" spans="1:8">
      <c r="A113" s="541"/>
      <c r="B113" s="417" t="s">
        <v>2134</v>
      </c>
      <c r="C113" s="154">
        <f>IFERROR(((C111+$C$153+$C$57)/$C$13-$C$11)/$C$15/C7,0)</f>
        <v>-6.2574580835250799</v>
      </c>
      <c r="D113" s="83">
        <f>$C$16</f>
        <v>65</v>
      </c>
      <c r="E113" s="417"/>
      <c r="F113" s="452" t="s">
        <v>2152</v>
      </c>
      <c r="G113" s="417"/>
    </row>
    <row r="114" spans="1:8">
      <c r="A114" s="541"/>
      <c r="B114" s="417" t="s">
        <v>2738</v>
      </c>
      <c r="C114" s="388">
        <f>D98</f>
        <v>0</v>
      </c>
      <c r="D114" s="388">
        <f>D99</f>
        <v>0.15020736167869675</v>
      </c>
      <c r="E114" s="417"/>
      <c r="F114" s="452" t="s">
        <v>2912</v>
      </c>
      <c r="G114" s="417"/>
    </row>
    <row r="115" spans="1:8">
      <c r="A115" s="541"/>
      <c r="B115" s="417" t="s">
        <v>2327</v>
      </c>
      <c r="C115" s="490">
        <f>MIN(1,IFERROR(1-(D73-D89-D90-D78)/(D82*$C$157),0))</f>
        <v>0.54073965409971936</v>
      </c>
      <c r="D115" s="490">
        <f>$C$8</f>
        <v>0.1</v>
      </c>
      <c r="E115" s="417"/>
      <c r="F115" s="452" t="s">
        <v>2340</v>
      </c>
      <c r="G115" s="417"/>
    </row>
    <row r="116" spans="1:8" ht="15" customHeight="1">
      <c r="A116" s="541"/>
      <c r="B116" s="417" t="s">
        <v>2280</v>
      </c>
      <c r="C116" s="620">
        <f>D78+D89+D90-D73</f>
        <v>-1448.7349199491528</v>
      </c>
      <c r="D116" s="417"/>
      <c r="E116" s="417"/>
      <c r="F116" s="452" t="s">
        <v>2194</v>
      </c>
      <c r="G116" s="417"/>
    </row>
    <row r="117" spans="1:8">
      <c r="A117" s="541"/>
      <c r="B117" s="417" t="s">
        <v>2222</v>
      </c>
      <c r="C117" s="439">
        <f>IFERROR(1-C111/D111,0)</f>
        <v>0.55172047604448204</v>
      </c>
      <c r="D117" s="530"/>
      <c r="E117" s="417"/>
      <c r="F117" s="452" t="s">
        <v>2833</v>
      </c>
      <c r="G117" s="417"/>
    </row>
    <row r="118" spans="1:8" ht="3.95" customHeight="1">
      <c r="A118" s="541"/>
      <c r="B118" s="417"/>
      <c r="C118" s="417"/>
      <c r="D118" s="417"/>
      <c r="E118" s="417"/>
      <c r="F118" s="452"/>
      <c r="G118" s="417"/>
    </row>
    <row r="119" spans="1:8" ht="14.25" customHeight="1">
      <c r="A119" s="681"/>
      <c r="B119" s="370" t="str">
        <f>"Topkey Dilution Impact — Ben (Year "&amp;$C$7&amp;")"</f>
        <v>Topkey Dilution Impact — Ben (Year 5)</v>
      </c>
      <c r="C119" s="604" t="s">
        <v>2331</v>
      </c>
      <c r="D119" s="604" t="s">
        <v>2332</v>
      </c>
      <c r="E119" s="681"/>
      <c r="F119" s="681"/>
      <c r="G119" s="681"/>
      <c r="H119" s="681"/>
    </row>
    <row r="120" spans="1:8" ht="14.25" customHeight="1">
      <c r="A120" s="681"/>
      <c r="B120" s="681" t="s">
        <v>2056</v>
      </c>
      <c r="C120" s="388">
        <f>$C$157</f>
        <v>2.8182701652089408E-2</v>
      </c>
      <c r="D120" s="388">
        <f>$D$157</f>
        <v>2.5364431486880466E-2</v>
      </c>
      <c r="E120" s="681"/>
      <c r="F120" s="681"/>
      <c r="G120" s="681"/>
      <c r="H120" s="681"/>
    </row>
    <row r="121" spans="1:8" ht="14.25" customHeight="1">
      <c r="A121" s="681"/>
      <c r="B121" s="681" t="s">
        <v>2062</v>
      </c>
      <c r="C121" s="682">
        <f>$D$82*C120</f>
        <v>3154.4959909595959</v>
      </c>
      <c r="D121" s="682">
        <f>$D$82*D120</f>
        <v>2839.046391863636</v>
      </c>
      <c r="E121" s="681"/>
      <c r="F121" s="681" t="s">
        <v>2523</v>
      </c>
      <c r="G121" s="681"/>
      <c r="H121" s="681"/>
    </row>
    <row r="122" spans="1:8" ht="14.25" customHeight="1">
      <c r="A122" s="681"/>
      <c r="B122" s="719" t="s">
        <v>2333</v>
      </c>
      <c r="C122" s="683">
        <f>$D$78+$D$89+$D$90</f>
        <v>6041.5227787796648</v>
      </c>
      <c r="D122" s="683">
        <f>$D$78+$D$89+$D$90</f>
        <v>6041.5227787796648</v>
      </c>
      <c r="E122" s="681"/>
      <c r="F122" s="681" t="s">
        <v>2524</v>
      </c>
      <c r="G122" s="681"/>
      <c r="H122" s="681"/>
    </row>
    <row r="123" spans="1:8" ht="14.25" customHeight="1">
      <c r="A123" s="681"/>
      <c r="B123" s="687" t="s">
        <v>2064</v>
      </c>
      <c r="C123" s="686">
        <f>C121+C122</f>
        <v>9196.0187697392612</v>
      </c>
      <c r="D123" s="688">
        <f>D121+D122</f>
        <v>8880.5691706433008</v>
      </c>
      <c r="E123" s="681"/>
      <c r="F123" s="681"/>
      <c r="G123" s="681"/>
      <c r="H123" s="681"/>
    </row>
    <row r="124" spans="1:8" ht="14.25" customHeight="1">
      <c r="A124" s="681"/>
      <c r="B124" s="719" t="s">
        <v>2334</v>
      </c>
      <c r="C124" s="83">
        <f>$D$73</f>
        <v>7490.2576987288176</v>
      </c>
      <c r="D124" s="83">
        <f>$D$73</f>
        <v>7490.2576987288176</v>
      </c>
      <c r="E124" s="681"/>
      <c r="F124" s="681"/>
      <c r="G124" s="681"/>
      <c r="H124" s="681"/>
    </row>
    <row r="125" spans="1:8" ht="14.25" customHeight="1">
      <c r="A125" s="681"/>
      <c r="B125" s="689" t="s">
        <v>2335</v>
      </c>
      <c r="C125" s="690">
        <f>C123-C124</f>
        <v>1705.7610710104436</v>
      </c>
      <c r="D125" s="690">
        <f>D123-D124</f>
        <v>1390.3114719144833</v>
      </c>
      <c r="E125" s="681"/>
      <c r="F125" s="681"/>
      <c r="G125" s="681"/>
      <c r="H125" s="681"/>
    </row>
    <row r="126" spans="1:8" ht="14.25" customHeight="1">
      <c r="A126" s="681"/>
      <c r="B126" s="681" t="s">
        <v>2336</v>
      </c>
      <c r="C126" s="681"/>
      <c r="D126" s="682">
        <f>D123-C123</f>
        <v>-315.44959909596037</v>
      </c>
      <c r="E126" s="681"/>
      <c r="F126" s="681" t="s">
        <v>2339</v>
      </c>
      <c r="G126" s="681"/>
      <c r="H126" s="681"/>
    </row>
    <row r="127" spans="1:8" ht="14.25" customHeight="1">
      <c r="A127" s="681"/>
      <c r="B127" s="681" t="s">
        <v>2337</v>
      </c>
      <c r="C127" s="681"/>
      <c r="D127" s="684">
        <f>$C$115-$D$115</f>
        <v>0.44073965409971938</v>
      </c>
      <c r="E127" s="681"/>
      <c r="F127" s="681" t="s">
        <v>2913</v>
      </c>
      <c r="G127" s="681"/>
      <c r="H127" s="681"/>
    </row>
    <row r="128" spans="1:8" ht="14.25" customHeight="1">
      <c r="B128" s="681" t="s">
        <v>2338</v>
      </c>
      <c r="D128" s="685">
        <f>D123-$D$91</f>
        <v>0</v>
      </c>
      <c r="F128" s="681" t="s">
        <v>2107</v>
      </c>
    </row>
    <row r="129" spans="1:8" ht="3.95" customHeight="1">
      <c r="A129" s="681"/>
      <c r="B129" s="681"/>
      <c r="C129" s="681"/>
      <c r="D129" s="681"/>
      <c r="E129" s="681"/>
      <c r="F129" s="681"/>
      <c r="G129" s="681"/>
      <c r="H129" s="681"/>
    </row>
    <row r="130" spans="1:8">
      <c r="A130" s="541"/>
      <c r="B130" s="454" t="s">
        <v>2223</v>
      </c>
      <c r="C130" s="622" t="s">
        <v>2135</v>
      </c>
      <c r="D130" s="622" t="str">
        <f>"Year "&amp;$C$7</f>
        <v>Year 5</v>
      </c>
      <c r="E130" s="417"/>
      <c r="F130" s="452"/>
      <c r="G130" s="417"/>
    </row>
    <row r="131" spans="1:8" ht="15" customHeight="1">
      <c r="A131" s="541"/>
      <c r="B131" s="452" t="s">
        <v>2003</v>
      </c>
      <c r="C131" s="645"/>
      <c r="D131" s="429">
        <f>D73</f>
        <v>7490.2576987288176</v>
      </c>
      <c r="E131" s="417"/>
      <c r="F131" s="452" t="s">
        <v>2707</v>
      </c>
      <c r="G131" s="417"/>
    </row>
    <row r="132" spans="1:8" ht="15" customHeight="1">
      <c r="A132" s="541"/>
      <c r="B132" s="452" t="s">
        <v>2224</v>
      </c>
      <c r="C132" s="645"/>
      <c r="D132" s="433">
        <f>D91</f>
        <v>8880.5691706433008</v>
      </c>
      <c r="E132" s="417"/>
      <c r="F132" s="452" t="s">
        <v>2708</v>
      </c>
      <c r="G132" s="417"/>
    </row>
    <row r="133" spans="1:8" ht="15" customHeight="1">
      <c r="A133" s="541"/>
      <c r="B133" s="452" t="s">
        <v>2195</v>
      </c>
      <c r="C133" s="646">
        <v>1.5</v>
      </c>
      <c r="D133" s="430">
        <f>($C$150+$C$151*$D$157)*(C41+C148)*C133+D80*$D$157+D89+D90</f>
        <v>7452.9159450378684</v>
      </c>
      <c r="E133" s="417"/>
      <c r="F133" s="452" t="s">
        <v>2226</v>
      </c>
      <c r="G133" s="417"/>
    </row>
    <row r="134" spans="1:8" ht="15" customHeight="1">
      <c r="A134" s="541"/>
      <c r="B134" s="452" t="s">
        <v>2136</v>
      </c>
      <c r="C134" s="646">
        <v>12</v>
      </c>
      <c r="D134" s="430">
        <f>D78+(($C$11+$C$18)*C134-$C$153-$C$57+D81)*$D$157+D89+D90</f>
        <v>8254.3720860951962</v>
      </c>
      <c r="E134" s="417"/>
      <c r="F134" s="452" t="s">
        <v>2227</v>
      </c>
      <c r="G134" s="417"/>
    </row>
    <row r="135" spans="1:8" ht="15" customHeight="1">
      <c r="A135" s="541"/>
      <c r="B135" s="452" t="s">
        <v>2137</v>
      </c>
      <c r="C135" s="435">
        <v>90</v>
      </c>
      <c r="D135" s="430">
        <f>D78+(($C$11+C135*C7*$C$15)*$C$13-$C$153-$C$57+D81)*$D$157+D89+D90</f>
        <v>9368.3466992371559</v>
      </c>
      <c r="E135" s="417"/>
      <c r="F135" s="452" t="s">
        <v>2228</v>
      </c>
      <c r="G135" s="417"/>
    </row>
    <row r="136" spans="1:8" ht="15" customHeight="1">
      <c r="A136" s="541"/>
      <c r="B136" s="452" t="s">
        <v>2328</v>
      </c>
      <c r="C136" s="633">
        <v>0.15</v>
      </c>
      <c r="D136" s="430">
        <f>D78+D82*$C$157*(1-C136)+D89+D90</f>
        <v>8722.8443710953215</v>
      </c>
      <c r="E136" s="417"/>
      <c r="F136" s="452" t="s">
        <v>2229</v>
      </c>
      <c r="G136" s="417"/>
    </row>
    <row r="137" spans="1:8" ht="15" customHeight="1">
      <c r="A137" s="541"/>
      <c r="B137" s="524" t="s">
        <v>2196</v>
      </c>
      <c r="C137" s="524"/>
      <c r="D137" s="526">
        <f>$C$150*(C41+C148)*C133+(($C$11+C135*C7*$C$15)*C134-$C$153-$C$57+$C$151*(C41+C148)*C133)*$C$157*(1-C136)+D89+D90</f>
        <v>7055.1609956721677</v>
      </c>
      <c r="E137" s="417"/>
      <c r="F137" s="452" t="s">
        <v>2230</v>
      </c>
      <c r="G137" s="417"/>
    </row>
    <row r="138" spans="1:8" ht="15" customHeight="1">
      <c r="A138" s="541"/>
      <c r="B138" s="521" t="s">
        <v>2225</v>
      </c>
      <c r="C138" s="623"/>
      <c r="D138" s="527">
        <f>D137-D131</f>
        <v>-435.09670305664986</v>
      </c>
      <c r="E138" s="417"/>
      <c r="F138" s="452" t="s">
        <v>2231</v>
      </c>
      <c r="G138" s="417"/>
    </row>
    <row r="139" spans="1:8" ht="3.95" customHeight="1">
      <c r="A139" s="541"/>
      <c r="B139" s="417"/>
      <c r="C139" s="417"/>
      <c r="D139" s="417"/>
      <c r="E139" s="417"/>
      <c r="F139" s="452"/>
      <c r="G139" s="417"/>
    </row>
    <row r="140" spans="1:8">
      <c r="A140" s="541"/>
      <c r="B140" s="454" t="s">
        <v>2197</v>
      </c>
      <c r="C140" s="622" t="str">
        <f>C$147</f>
        <v>Today</v>
      </c>
      <c r="D140" s="622" t="str">
        <f>D$70</f>
        <v>Year 5</v>
      </c>
      <c r="E140" s="417"/>
      <c r="F140" s="452"/>
      <c r="G140" s="417"/>
    </row>
    <row r="141" spans="1:8">
      <c r="A141" s="541"/>
      <c r="B141" s="417" t="s">
        <v>2055</v>
      </c>
      <c r="C141" s="429">
        <f>C153</f>
        <v>650</v>
      </c>
      <c r="D141" s="470">
        <f>C153+C57</f>
        <v>650</v>
      </c>
      <c r="E141" s="417"/>
      <c r="F141" s="452" t="s">
        <v>2281</v>
      </c>
      <c r="G141" s="417"/>
    </row>
    <row r="142" spans="1:8">
      <c r="A142" s="541"/>
      <c r="B142" s="417" t="s">
        <v>2198</v>
      </c>
      <c r="C142" s="490">
        <f>IFERROR(C153/C152,0)</f>
        <v>0.30952380952380953</v>
      </c>
      <c r="D142" s="417"/>
      <c r="E142" s="417"/>
      <c r="F142" s="452"/>
      <c r="G142" s="417"/>
    </row>
    <row r="143" spans="1:8" ht="15" customHeight="1">
      <c r="A143" s="541"/>
      <c r="B143" s="417" t="s">
        <v>2199</v>
      </c>
      <c r="C143" s="635">
        <f>C150</f>
        <v>0.3</v>
      </c>
      <c r="D143" s="417"/>
      <c r="E143" s="417"/>
      <c r="F143" s="452" t="s">
        <v>2200</v>
      </c>
      <c r="G143" s="417"/>
    </row>
    <row r="144" spans="1:8">
      <c r="A144" s="541"/>
      <c r="B144" s="417" t="s">
        <v>2056</v>
      </c>
      <c r="C144" s="530">
        <f>C157</f>
        <v>2.8182701652089408E-2</v>
      </c>
      <c r="D144" s="530">
        <f>D157</f>
        <v>2.5364431486880466E-2</v>
      </c>
      <c r="E144" s="417"/>
      <c r="F144" s="452"/>
      <c r="G144" s="417"/>
    </row>
    <row r="145" spans="1:8">
      <c r="A145" s="541"/>
      <c r="B145" s="417" t="s">
        <v>2140</v>
      </c>
      <c r="C145" s="490">
        <f>IFERROR((C78+C84)/C91,0)</f>
        <v>0.78333333333333333</v>
      </c>
      <c r="D145" s="490">
        <f>IFERROR((D78+D84)/D91,0)</f>
        <v>0.92680649319767483</v>
      </c>
      <c r="E145" s="417"/>
      <c r="F145" s="452" t="s">
        <v>2201</v>
      </c>
      <c r="G145" s="417"/>
    </row>
    <row r="146" spans="1:8" ht="3.95" customHeight="1">
      <c r="A146" s="541"/>
      <c r="B146" s="417"/>
      <c r="C146" s="417"/>
      <c r="D146" s="417"/>
      <c r="E146" s="417"/>
      <c r="F146" s="452"/>
      <c r="G146" s="417"/>
    </row>
    <row r="147" spans="1:8">
      <c r="B147" s="454" t="s">
        <v>2165</v>
      </c>
      <c r="C147" s="622" t="s">
        <v>2024</v>
      </c>
      <c r="D147" s="622" t="str">
        <f>"Year "&amp;$C$7</f>
        <v>Year 5</v>
      </c>
      <c r="E147" s="417"/>
      <c r="F147" s="452"/>
      <c r="G147" s="417"/>
    </row>
    <row r="148" spans="1:8">
      <c r="B148" s="417" t="s">
        <v>2100</v>
      </c>
      <c r="C148" s="46">
        <v>2998.5410200000001</v>
      </c>
      <c r="D148" s="417"/>
      <c r="E148" s="417"/>
      <c r="F148" s="452" t="s">
        <v>2834</v>
      </c>
      <c r="G148" s="417"/>
    </row>
    <row r="149" spans="1:8">
      <c r="B149" s="417" t="s">
        <v>2166</v>
      </c>
      <c r="C149" s="429">
        <f>C71</f>
        <v>3000</v>
      </c>
      <c r="D149" s="417"/>
      <c r="E149" s="417"/>
      <c r="F149" s="452" t="s">
        <v>2914</v>
      </c>
      <c r="G149" s="417"/>
    </row>
    <row r="150" spans="1:8">
      <c r="B150" s="417" t="s">
        <v>2167</v>
      </c>
      <c r="C150" s="635">
        <f>C6</f>
        <v>0.3</v>
      </c>
      <c r="D150" s="417"/>
      <c r="E150" s="417"/>
      <c r="F150" s="452" t="s">
        <v>2915</v>
      </c>
      <c r="G150" s="417"/>
    </row>
    <row r="151" spans="1:8">
      <c r="B151" s="417" t="s">
        <v>2168</v>
      </c>
      <c r="C151" s="490">
        <f>1-C150</f>
        <v>0.7</v>
      </c>
      <c r="D151" s="417"/>
      <c r="E151" s="417"/>
      <c r="F151" s="452"/>
      <c r="G151" s="417"/>
    </row>
    <row r="152" spans="1:8">
      <c r="B152" s="417" t="s">
        <v>2169</v>
      </c>
      <c r="C152" s="620">
        <f>C149*C151</f>
        <v>2100</v>
      </c>
      <c r="D152" s="417"/>
      <c r="E152" s="417"/>
      <c r="F152" s="452" t="s">
        <v>2170</v>
      </c>
      <c r="G152" s="417"/>
    </row>
    <row r="153" spans="1:8">
      <c r="B153" s="471" t="s">
        <v>1999</v>
      </c>
      <c r="C153" s="82">
        <v>650</v>
      </c>
      <c r="D153" s="417"/>
      <c r="E153" s="417"/>
      <c r="F153" s="452" t="s">
        <v>2835</v>
      </c>
      <c r="G153" s="417"/>
    </row>
    <row r="154" spans="1:8">
      <c r="B154" s="417" t="s">
        <v>2172</v>
      </c>
      <c r="C154" s="470">
        <f>C152-C153</f>
        <v>1450</v>
      </c>
      <c r="D154" s="417"/>
      <c r="E154" s="417"/>
      <c r="F154" s="452" t="s">
        <v>2173</v>
      </c>
      <c r="G154" s="417"/>
    </row>
    <row r="155" spans="1:8">
      <c r="B155" s="417" t="s">
        <v>2037</v>
      </c>
      <c r="C155" s="82">
        <v>50000</v>
      </c>
      <c r="D155" s="417"/>
      <c r="E155" s="417"/>
      <c r="F155" s="452" t="s">
        <v>2836</v>
      </c>
      <c r="G155" s="417"/>
    </row>
    <row r="156" spans="1:8">
      <c r="B156" s="417" t="s">
        <v>2000</v>
      </c>
      <c r="C156" s="470">
        <f>C155+C152-C153</f>
        <v>51450</v>
      </c>
      <c r="D156" s="417"/>
      <c r="E156" s="417"/>
      <c r="F156" s="452" t="s">
        <v>2174</v>
      </c>
      <c r="G156" s="417"/>
    </row>
    <row r="157" spans="1:8">
      <c r="B157" s="417" t="s">
        <v>2056</v>
      </c>
      <c r="C157" s="631">
        <f>IFERROR(C154/C156,0)</f>
        <v>2.8182701652089408E-2</v>
      </c>
      <c r="D157" s="631">
        <f>C157*(1-$C$8)</f>
        <v>2.5364431486880466E-2</v>
      </c>
      <c r="E157" s="417"/>
      <c r="F157" s="541" t="s">
        <v>2326</v>
      </c>
      <c r="G157" s="417"/>
      <c r="H157" s="541"/>
    </row>
    <row r="158" spans="1:8">
      <c r="B158" s="417" t="s">
        <v>2045</v>
      </c>
      <c r="C158" s="470">
        <f>C155-C153</f>
        <v>49350</v>
      </c>
      <c r="D158" s="417"/>
      <c r="E158" s="417"/>
      <c r="F158" s="452" t="s">
        <v>2175</v>
      </c>
      <c r="G158" s="417"/>
      <c r="H158" s="541"/>
    </row>
    <row r="159" spans="1:8">
      <c r="B159" s="417" t="s">
        <v>2176</v>
      </c>
      <c r="C159" s="470">
        <f>C82-C156</f>
        <v>0</v>
      </c>
      <c r="D159" s="417"/>
      <c r="E159" s="417"/>
      <c r="F159" s="452" t="s">
        <v>2107</v>
      </c>
      <c r="G159" s="417"/>
    </row>
    <row r="160" spans="1:8">
      <c r="B160" s="417" t="s">
        <v>2177</v>
      </c>
      <c r="C160" s="470">
        <f>C84-C154</f>
        <v>0</v>
      </c>
      <c r="D160" s="417"/>
      <c r="E160" s="417"/>
      <c r="F160" s="452" t="s">
        <v>2107</v>
      </c>
      <c r="G160" s="417"/>
    </row>
    <row r="161" spans="2:7">
      <c r="B161" s="417" t="s">
        <v>2178</v>
      </c>
      <c r="C161" s="470">
        <f>C91-C149</f>
        <v>0</v>
      </c>
      <c r="D161" s="417"/>
      <c r="E161" s="417"/>
      <c r="F161" s="452" t="s">
        <v>2107</v>
      </c>
      <c r="G161" s="417"/>
    </row>
    <row r="162" spans="2:7">
      <c r="B162" s="417"/>
      <c r="C162" s="417"/>
      <c r="D162" s="417"/>
      <c r="E162" s="417"/>
      <c r="F162" s="452"/>
      <c r="G162" s="417"/>
    </row>
    <row r="163" spans="2:7">
      <c r="B163" s="454" t="s">
        <v>2114</v>
      </c>
      <c r="C163" s="622" t="s">
        <v>1197</v>
      </c>
      <c r="D163" s="622"/>
      <c r="E163" s="417"/>
      <c r="F163" s="452"/>
      <c r="G163" s="417"/>
    </row>
    <row r="164" spans="2:7">
      <c r="B164" s="417" t="s">
        <v>2115</v>
      </c>
      <c r="C164" s="82">
        <v>151</v>
      </c>
      <c r="D164" s="417"/>
      <c r="E164" s="417"/>
      <c r="F164" s="452" t="s">
        <v>2837</v>
      </c>
      <c r="G164" s="417"/>
    </row>
    <row r="165" spans="2:7">
      <c r="B165" s="471" t="s">
        <v>1314</v>
      </c>
      <c r="C165" s="82">
        <v>83</v>
      </c>
      <c r="D165" s="417"/>
      <c r="E165" s="417"/>
      <c r="F165" s="452" t="s">
        <v>2838</v>
      </c>
      <c r="G165" s="417"/>
    </row>
    <row r="166" spans="2:7">
      <c r="B166" s="471" t="s">
        <v>1532</v>
      </c>
      <c r="C166" s="82">
        <v>-57</v>
      </c>
      <c r="D166" s="417"/>
      <c r="E166" s="417"/>
      <c r="F166" s="452" t="s">
        <v>2839</v>
      </c>
      <c r="G166" s="417"/>
    </row>
    <row r="167" spans="2:7">
      <c r="B167" s="674" t="s">
        <v>2116</v>
      </c>
      <c r="C167" s="675">
        <f>SUM(C164:C166)</f>
        <v>177</v>
      </c>
      <c r="D167" s="480"/>
      <c r="E167" s="417"/>
      <c r="F167" s="452" t="s">
        <v>2840</v>
      </c>
      <c r="G167" s="417"/>
    </row>
    <row r="168" spans="2:7">
      <c r="B168" s="628" t="s">
        <v>2117</v>
      </c>
      <c r="C168" s="632">
        <f>C167-C164</f>
        <v>26</v>
      </c>
      <c r="D168" s="480"/>
      <c r="E168" s="417"/>
      <c r="F168" s="452" t="s">
        <v>2120</v>
      </c>
      <c r="G168" s="417"/>
    </row>
    <row r="169" spans="2:7">
      <c r="B169" s="417"/>
      <c r="C169" s="417"/>
      <c r="D169" s="417"/>
      <c r="E169" s="417"/>
      <c r="F169" s="417"/>
      <c r="G169" s="417"/>
    </row>
    <row r="170" spans="2:7">
      <c r="B170" s="569" t="s">
        <v>2233</v>
      </c>
      <c r="C170" s="569"/>
      <c r="D170" s="541"/>
      <c r="E170" s="541"/>
      <c r="F170" s="452"/>
      <c r="G170" s="417"/>
    </row>
    <row r="171" spans="2:7">
      <c r="B171" s="559" t="s">
        <v>2841</v>
      </c>
      <c r="C171" s="82">
        <v>164</v>
      </c>
      <c r="D171" s="452"/>
      <c r="E171" s="541"/>
      <c r="F171" s="452" t="s">
        <v>2842</v>
      </c>
      <c r="G171" s="417"/>
    </row>
    <row r="172" spans="2:7">
      <c r="B172" s="452" t="s">
        <v>2234</v>
      </c>
      <c r="C172" s="853">
        <f>C32/C171</f>
        <v>1.4634146341463414</v>
      </c>
      <c r="D172" s="452"/>
      <c r="E172" s="541"/>
      <c r="F172" s="452" t="s">
        <v>2916</v>
      </c>
      <c r="G172" s="417"/>
    </row>
    <row r="173" spans="2:7">
      <c r="B173" s="559" t="s">
        <v>2235</v>
      </c>
      <c r="C173" s="633">
        <v>0.5</v>
      </c>
      <c r="D173" s="452"/>
      <c r="E173" s="541"/>
      <c r="F173" s="452" t="s">
        <v>2244</v>
      </c>
      <c r="G173" s="417"/>
    </row>
    <row r="174" spans="2:7">
      <c r="B174" s="452" t="s">
        <v>2236</v>
      </c>
      <c r="C174" s="649">
        <v>0</v>
      </c>
      <c r="D174" s="452"/>
      <c r="E174" s="541"/>
      <c r="F174" s="452" t="s">
        <v>2245</v>
      </c>
      <c r="G174" s="417"/>
    </row>
    <row r="175" spans="2:7">
      <c r="B175" s="452" t="s">
        <v>2237</v>
      </c>
      <c r="C175" s="648">
        <f>MAX(C172*C173,C174)</f>
        <v>0.73170731707317072</v>
      </c>
      <c r="D175" s="452"/>
      <c r="E175" s="541"/>
      <c r="F175" s="452" t="s">
        <v>2246</v>
      </c>
      <c r="G175" s="417"/>
    </row>
    <row r="176" spans="2:7">
      <c r="B176" s="452" t="s">
        <v>2238</v>
      </c>
      <c r="C176" s="648">
        <f>C172-C175</f>
        <v>0.73170731707317072</v>
      </c>
      <c r="D176" s="452"/>
      <c r="E176" s="541"/>
      <c r="F176" s="452" t="s">
        <v>2247</v>
      </c>
      <c r="G176" s="417"/>
    </row>
    <row r="177" spans="2:7">
      <c r="B177" s="452" t="s">
        <v>2239</v>
      </c>
      <c r="C177" s="430">
        <f>C167+C40</f>
        <v>537</v>
      </c>
      <c r="D177" s="452"/>
      <c r="E177" s="541"/>
      <c r="F177" s="452" t="s">
        <v>2917</v>
      </c>
      <c r="G177" s="417"/>
    </row>
    <row r="178" spans="2:7">
      <c r="B178" s="452" t="s">
        <v>2240</v>
      </c>
      <c r="C178" s="430">
        <f>C175*C177</f>
        <v>392.92682926829269</v>
      </c>
      <c r="D178" s="452"/>
      <c r="E178" s="541"/>
      <c r="F178" s="452" t="s">
        <v>2248</v>
      </c>
      <c r="G178" s="417"/>
    </row>
    <row r="179" spans="2:7">
      <c r="B179" s="524" t="s">
        <v>2241</v>
      </c>
      <c r="C179" s="526">
        <f>C176*C177</f>
        <v>392.92682926829269</v>
      </c>
      <c r="D179" s="453"/>
      <c r="E179" s="541"/>
      <c r="F179" s="452" t="s">
        <v>2252</v>
      </c>
      <c r="G179" s="417"/>
    </row>
    <row r="180" spans="2:7">
      <c r="B180" s="452" t="s">
        <v>2242</v>
      </c>
      <c r="C180" s="528">
        <f>IFERROR(C179/(C41+C148),0)</f>
        <v>4.372718195476815E-2</v>
      </c>
      <c r="D180" s="452"/>
      <c r="E180" s="541"/>
      <c r="F180" s="452" t="s">
        <v>2918</v>
      </c>
      <c r="G180" s="417"/>
    </row>
    <row r="181" spans="2:7">
      <c r="B181" s="521" t="s">
        <v>2243</v>
      </c>
      <c r="C181" s="527">
        <f>C179*($C$150+$C$151*$D$157)</f>
        <v>124.85450472872076</v>
      </c>
      <c r="D181" s="453"/>
      <c r="E181" s="541"/>
      <c r="F181" s="452" t="s">
        <v>2249</v>
      </c>
      <c r="G181" s="417"/>
    </row>
    <row r="182" spans="2:7">
      <c r="B182" s="417"/>
      <c r="C182" s="417"/>
      <c r="D182" s="417"/>
      <c r="E182" s="417"/>
      <c r="F182" s="417"/>
      <c r="G182" s="417"/>
    </row>
    <row r="183" spans="2:7" ht="15" customHeight="1">
      <c r="B183" s="454" t="s">
        <v>2295</v>
      </c>
      <c r="C183" s="622" t="s">
        <v>1242</v>
      </c>
      <c r="D183" s="622" t="s">
        <v>2275</v>
      </c>
      <c r="E183" s="417"/>
      <c r="F183" s="417"/>
      <c r="G183" s="417"/>
    </row>
    <row r="184" spans="2:7" ht="15" customHeight="1">
      <c r="B184" s="452" t="str">
        <f t="shared" ref="B184:B189" si="1">"Year "&amp;C184</f>
        <v>Year 0</v>
      </c>
      <c r="C184" s="654">
        <v>0</v>
      </c>
      <c r="D184" s="431">
        <f>IF(C184=0,$C$153-$C$149,0)+IF(C184=$C$45,$C$57,0)+IF(C184=$C$7,$D$78+$D$84,0)</f>
        <v>-2350</v>
      </c>
      <c r="E184" s="417"/>
      <c r="F184" s="612" t="s">
        <v>2919</v>
      </c>
      <c r="G184" s="417"/>
    </row>
    <row r="185" spans="2:7" ht="15" customHeight="1">
      <c r="B185" s="452" t="str">
        <f t="shared" si="1"/>
        <v>Year 1</v>
      </c>
      <c r="C185" s="653">
        <f>C184+1</f>
        <v>1</v>
      </c>
      <c r="D185" s="430">
        <f>IF(C185=0,$C$153-$C$149,0)+IF(C185=$C$45,$C$57,0)+IF(C185=$C$7,$D$78+$D$84,0)</f>
        <v>0</v>
      </c>
      <c r="E185" s="417"/>
      <c r="F185" s="417"/>
      <c r="G185" s="417"/>
    </row>
    <row r="186" spans="2:7" ht="15" customHeight="1">
      <c r="B186" s="452" t="str">
        <f t="shared" si="1"/>
        <v>Year 2</v>
      </c>
      <c r="C186" s="653">
        <f>C185+1</f>
        <v>2</v>
      </c>
      <c r="D186" s="430">
        <f>IF(C186=0,$C$153-$C$149,0)+IF(C186=$C$45,$C$57,0)+IF(C186=$C$7,$D$78+$D$84,0)</f>
        <v>0</v>
      </c>
      <c r="E186" s="417"/>
      <c r="F186" s="417"/>
      <c r="G186" s="417"/>
    </row>
    <row r="187" spans="2:7" ht="15" customHeight="1">
      <c r="B187" s="452" t="str">
        <f t="shared" si="1"/>
        <v>Year 3</v>
      </c>
      <c r="C187" s="653">
        <f>C186+1</f>
        <v>3</v>
      </c>
      <c r="D187" s="430">
        <f>IF(C187=0,$C$153-$C$149,0)+IF(C187=$C$45,$C$57,0)+IF(C187=$C$7,$D$78+$D$84,0)</f>
        <v>0</v>
      </c>
      <c r="E187" s="417"/>
      <c r="F187" s="417"/>
      <c r="G187" s="417"/>
    </row>
    <row r="188" spans="2:7" ht="15" customHeight="1">
      <c r="B188" s="452" t="str">
        <f t="shared" si="1"/>
        <v>Year 4</v>
      </c>
      <c r="C188" s="653">
        <f>C187+1</f>
        <v>4</v>
      </c>
      <c r="D188" s="430">
        <f>IF(C188=0,$C$153-$C$149,0)+IF(C188=$C$45,$C$57,0)+IF(C188=$C$7,$D$78+$D$84,0)</f>
        <v>0</v>
      </c>
      <c r="E188" s="417"/>
      <c r="F188" s="417"/>
      <c r="G188" s="417"/>
    </row>
    <row r="189" spans="2:7" ht="15" customHeight="1">
      <c r="B189" s="452" t="str">
        <f t="shared" si="1"/>
        <v>Year 5</v>
      </c>
      <c r="C189" s="653">
        <f>C188+1</f>
        <v>5</v>
      </c>
      <c r="D189" s="430">
        <f>IF(C189=0,$C$153-$C$149,0)+IF(C189=$C$45,$C$57,0)+IF(C189=$C$7,$D$78+$D$84,0)</f>
        <v>8230.5691706433008</v>
      </c>
      <c r="E189" s="417"/>
      <c r="F189" s="417"/>
      <c r="G189" s="417"/>
    </row>
    <row r="190" spans="2:7">
      <c r="B190" s="417"/>
      <c r="C190" s="417"/>
      <c r="D190" s="417"/>
      <c r="E190" s="417"/>
      <c r="F190" s="417"/>
      <c r="G190" s="417"/>
    </row>
    <row r="191" spans="2:7">
      <c r="B191" s="417"/>
      <c r="C191" s="417"/>
      <c r="D191" s="417"/>
      <c r="E191" s="417"/>
      <c r="F191" s="417"/>
      <c r="G191" s="417"/>
    </row>
    <row r="192" spans="2:7">
      <c r="B192" s="417"/>
      <c r="C192" s="417"/>
      <c r="D192" s="417"/>
      <c r="E192" s="417"/>
      <c r="F192" s="417"/>
      <c r="G192" s="417"/>
    </row>
    <row r="193" spans="2:7">
      <c r="B193" s="417"/>
      <c r="C193" s="417"/>
      <c r="D193" s="417"/>
      <c r="E193" s="417"/>
      <c r="F193" s="417"/>
      <c r="G193" s="417"/>
    </row>
    <row r="194" spans="2:7">
      <c r="B194" s="417"/>
      <c r="C194" s="417"/>
      <c r="D194" s="417"/>
      <c r="E194" s="417"/>
      <c r="F194" s="417"/>
      <c r="G194" s="417"/>
    </row>
    <row r="195" spans="2:7">
      <c r="B195" s="417"/>
      <c r="C195" s="417"/>
      <c r="D195" s="417"/>
      <c r="E195" s="417"/>
      <c r="F195" s="417"/>
      <c r="G195" s="417"/>
    </row>
    <row r="196" spans="2:7">
      <c r="B196" s="417"/>
      <c r="C196" s="417"/>
      <c r="D196" s="417"/>
      <c r="E196" s="417"/>
      <c r="F196" s="417"/>
      <c r="G196" s="417"/>
    </row>
    <row r="197" spans="2:7">
      <c r="B197" s="417"/>
      <c r="C197" s="417"/>
      <c r="D197" s="417"/>
      <c r="E197" s="417"/>
      <c r="F197" s="417"/>
      <c r="G197" s="417"/>
    </row>
    <row r="198" spans="2:7">
      <c r="B198" s="417"/>
      <c r="C198" s="417"/>
      <c r="D198" s="417"/>
      <c r="E198" s="417"/>
      <c r="F198" s="417"/>
      <c r="G198" s="417"/>
    </row>
    <row r="199" spans="2:7">
      <c r="B199" s="417"/>
      <c r="C199" s="417"/>
      <c r="D199" s="417"/>
      <c r="E199" s="417"/>
      <c r="F199" s="417"/>
      <c r="G199" s="417"/>
    </row>
    <row r="200" spans="2:7">
      <c r="B200" s="417"/>
      <c r="C200" s="417"/>
      <c r="D200" s="417"/>
      <c r="E200" s="417"/>
      <c r="F200" s="417"/>
      <c r="G200" s="417"/>
    </row>
    <row r="201" spans="2:7">
      <c r="B201" s="417"/>
      <c r="C201" s="417"/>
      <c r="D201" s="417"/>
      <c r="E201" s="417"/>
      <c r="F201" s="417"/>
      <c r="G201" s="417"/>
    </row>
    <row r="202" spans="2:7">
      <c r="B202" s="417"/>
      <c r="C202" s="417"/>
      <c r="D202" s="417"/>
      <c r="E202" s="417"/>
      <c r="F202" s="417"/>
      <c r="G202" s="417"/>
    </row>
    <row r="203" spans="2:7">
      <c r="B203" s="417"/>
      <c r="C203" s="417"/>
      <c r="D203" s="417"/>
      <c r="E203" s="417"/>
      <c r="F203" s="417"/>
      <c r="G203" s="417"/>
    </row>
    <row r="204" spans="2:7">
      <c r="B204" s="417"/>
      <c r="C204" s="417"/>
      <c r="D204" s="417"/>
      <c r="E204" s="417"/>
      <c r="F204" s="417"/>
      <c r="G204" s="417"/>
    </row>
    <row r="205" spans="2:7">
      <c r="B205" s="417"/>
      <c r="C205" s="417"/>
      <c r="D205" s="417"/>
      <c r="E205" s="417"/>
      <c r="F205" s="417"/>
      <c r="G205" s="417"/>
    </row>
    <row r="206" spans="2:7">
      <c r="B206" s="417"/>
      <c r="C206" s="417"/>
      <c r="D206" s="417"/>
      <c r="E206" s="417"/>
      <c r="F206" s="417"/>
      <c r="G206" s="417"/>
    </row>
    <row r="207" spans="2:7">
      <c r="B207" s="417"/>
      <c r="C207" s="417"/>
      <c r="D207" s="417"/>
      <c r="E207" s="417"/>
      <c r="F207" s="417"/>
      <c r="G207" s="417"/>
    </row>
    <row r="208" spans="2:7">
      <c r="B208" s="417"/>
      <c r="C208" s="417"/>
      <c r="D208" s="417"/>
      <c r="E208" s="417"/>
      <c r="F208" s="417"/>
      <c r="G208" s="417"/>
    </row>
    <row r="209" spans="2:7">
      <c r="B209" s="417"/>
      <c r="C209" s="417"/>
      <c r="D209" s="417"/>
      <c r="E209" s="417"/>
      <c r="F209" s="417"/>
      <c r="G209" s="417"/>
    </row>
    <row r="210" spans="2:7">
      <c r="B210" s="417"/>
      <c r="C210" s="417"/>
      <c r="D210" s="417"/>
      <c r="E210" s="417"/>
      <c r="F210" s="417"/>
      <c r="G210" s="417"/>
    </row>
    <row r="211" spans="2:7">
      <c r="B211" s="417"/>
      <c r="C211" s="417"/>
      <c r="D211" s="417"/>
      <c r="E211" s="417"/>
      <c r="F211" s="417"/>
      <c r="G211" s="417"/>
    </row>
    <row r="212" spans="2:7">
      <c r="B212" s="417"/>
      <c r="C212" s="417"/>
      <c r="D212" s="417"/>
      <c r="E212" s="417"/>
      <c r="F212" s="417"/>
      <c r="G212" s="417"/>
    </row>
    <row r="213" spans="2:7">
      <c r="B213" s="417"/>
      <c r="C213" s="417"/>
      <c r="D213" s="417"/>
      <c r="E213" s="417"/>
      <c r="F213" s="417"/>
      <c r="G213" s="417"/>
    </row>
    <row r="214" spans="2:7">
      <c r="B214" s="417"/>
      <c r="C214" s="417"/>
      <c r="D214" s="417"/>
      <c r="E214" s="417"/>
      <c r="F214" s="417"/>
      <c r="G214" s="417"/>
    </row>
    <row r="215" spans="2:7">
      <c r="B215" s="417"/>
      <c r="C215" s="417"/>
      <c r="D215" s="417"/>
      <c r="E215" s="417"/>
      <c r="F215" s="417"/>
      <c r="G215" s="417"/>
    </row>
    <row r="216" spans="2:7">
      <c r="B216" s="417"/>
      <c r="C216" s="417"/>
      <c r="D216" s="417"/>
      <c r="E216" s="417"/>
      <c r="F216" s="417"/>
      <c r="G216" s="417"/>
    </row>
  </sheetData>
  <conditionalFormatting sqref="B63:D69 B71:D74 B76:D92 B94:D100 B102:D108 B120:D129 B141:D146 B133:D139 B111:D118 B6:D9 B20:D61">
    <cfRule type="expression" dxfId="96" priority="4">
      <formula>$H$3=1</formula>
    </cfRule>
  </conditionalFormatting>
  <conditionalFormatting sqref="B110:D110">
    <cfRule type="expression" dxfId="95" priority="3">
      <formula>$H$3=1</formula>
    </cfRule>
  </conditionalFormatting>
  <conditionalFormatting sqref="B131:D132">
    <cfRule type="expression" dxfId="94" priority="2">
      <formula>$H$3=1</formula>
    </cfRule>
  </conditionalFormatting>
  <conditionalFormatting sqref="B10:D19">
    <cfRule type="expression" dxfId="93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69" max="16383" man="1"/>
    <brk id="129" min="1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64FD-1386-41DB-9E36-742EF28E4FDF}">
  <sheetPr>
    <tabColor rgb="FF92D050"/>
  </sheetPr>
  <dimension ref="A1:BG989"/>
  <sheetViews>
    <sheetView zoomScale="130" zoomScaleNormal="130" workbookViewId="0">
      <pane xSplit="37" ySplit="5" topLeftCell="AP29" activePane="bottomRight" state="frozen"/>
      <selection pane="topRight" activeCell="AL1" sqref="AL1"/>
      <selection pane="bottomLeft" activeCell="A6" sqref="A6"/>
      <selection pane="bottomRight" activeCell="AS65" sqref="AS65"/>
    </sheetView>
  </sheetViews>
  <sheetFormatPr defaultColWidth="12.7109375" defaultRowHeight="15" customHeight="1" outlineLevelRow="1" outlineLevelCol="1"/>
  <cols>
    <col min="1" max="1" width="30.85546875" style="858" customWidth="1"/>
    <col min="2" max="3" width="11.42578125" style="858" hidden="1" customWidth="1" outlineLevel="1"/>
    <col min="4" max="4" width="13.42578125" style="858" hidden="1" customWidth="1" outlineLevel="1"/>
    <col min="5" max="5" width="11.42578125" style="858" hidden="1" customWidth="1" outlineLevel="1"/>
    <col min="6" max="12" width="12" style="858" hidden="1" customWidth="1" outlineLevel="1"/>
    <col min="13" max="25" width="13.42578125" style="858" hidden="1" customWidth="1" outlineLevel="1"/>
    <col min="26" max="26" width="13.42578125" style="858" hidden="1" customWidth="1" outlineLevel="1" collapsed="1"/>
    <col min="27" max="28" width="13.42578125" style="858" hidden="1" customWidth="1" outlineLevel="1"/>
    <col min="29" max="29" width="13.42578125" style="858" hidden="1" customWidth="1" outlineLevel="1" collapsed="1"/>
    <col min="30" max="30" width="13.42578125" style="858" hidden="1" customWidth="1" outlineLevel="1"/>
    <col min="31" max="31" width="13.42578125" style="858" hidden="1" customWidth="1" outlineLevel="1" collapsed="1"/>
    <col min="32" max="32" width="13.42578125" style="858" hidden="1" customWidth="1" outlineLevel="1"/>
    <col min="33" max="33" width="13.42578125" style="858" hidden="1" customWidth="1" outlineLevel="1" collapsed="1"/>
    <col min="34" max="34" width="13.42578125" style="858" hidden="1" customWidth="1" outlineLevel="1"/>
    <col min="35" max="35" width="13.42578125" style="858" hidden="1" customWidth="1" outlineLevel="1" collapsed="1"/>
    <col min="36" max="37" width="13.42578125" style="858" hidden="1" customWidth="1" outlineLevel="1"/>
    <col min="38" max="38" width="13.42578125" style="858" hidden="1" customWidth="1" outlineLevel="1" collapsed="1"/>
    <col min="39" max="41" width="13.42578125" style="858" hidden="1" customWidth="1" outlineLevel="1"/>
    <col min="42" max="42" width="13.42578125" style="858" customWidth="1" collapsed="1"/>
    <col min="43" max="47" width="13.42578125" style="858" customWidth="1"/>
    <col min="48" max="59" width="8.85546875" style="858" customWidth="1"/>
    <col min="60" max="16384" width="12.7109375" style="858"/>
  </cols>
  <sheetData>
    <row r="1" spans="1:59" ht="18.75" customHeight="1">
      <c r="A1" s="854" t="s">
        <v>2849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5"/>
      <c r="AU1" s="856"/>
      <c r="AV1" s="857"/>
      <c r="AW1" s="857"/>
      <c r="AX1" s="857"/>
      <c r="AY1" s="857"/>
      <c r="AZ1" s="857"/>
      <c r="BA1" s="857"/>
      <c r="BB1" s="857"/>
      <c r="BC1" s="857"/>
      <c r="BD1" s="857"/>
      <c r="BE1" s="857"/>
      <c r="BF1" s="857"/>
      <c r="BG1" s="857"/>
    </row>
    <row r="2" spans="1:59" ht="17.25" customHeight="1">
      <c r="A2" s="859" t="s">
        <v>120</v>
      </c>
      <c r="B2" s="859"/>
      <c r="C2" s="859"/>
      <c r="D2" s="859"/>
      <c r="E2" s="859"/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/>
      <c r="S2" s="859"/>
      <c r="T2" s="859"/>
      <c r="U2" s="859"/>
      <c r="V2" s="859"/>
      <c r="W2" s="859"/>
      <c r="X2" s="859"/>
      <c r="Y2" s="859"/>
      <c r="Z2" s="859"/>
      <c r="AA2" s="859"/>
      <c r="AB2" s="859"/>
      <c r="AC2" s="859"/>
      <c r="AD2" s="859"/>
      <c r="AE2" s="859"/>
      <c r="AF2" s="859"/>
      <c r="AG2" s="859"/>
      <c r="AH2" s="859"/>
      <c r="AI2" s="859"/>
      <c r="AJ2" s="859"/>
      <c r="AK2" s="859"/>
      <c r="AL2" s="859"/>
      <c r="AM2" s="859"/>
      <c r="AN2" s="859"/>
      <c r="AO2" s="859"/>
      <c r="AP2" s="859"/>
      <c r="AQ2" s="859"/>
      <c r="AR2" s="859"/>
      <c r="AS2" s="859"/>
      <c r="AT2" s="855"/>
      <c r="AU2" s="856"/>
      <c r="AV2" s="857"/>
      <c r="AW2" s="857"/>
      <c r="AX2" s="857"/>
      <c r="AY2" s="857"/>
      <c r="AZ2" s="857"/>
      <c r="BA2" s="857"/>
      <c r="BB2" s="857"/>
      <c r="BC2" s="857"/>
      <c r="BD2" s="857"/>
      <c r="BE2" s="857"/>
      <c r="BF2" s="857"/>
      <c r="BG2" s="857"/>
    </row>
    <row r="3" spans="1:59" ht="15" customHeight="1">
      <c r="A3" s="860" t="s">
        <v>2850</v>
      </c>
      <c r="B3" s="860"/>
      <c r="C3" s="860"/>
      <c r="D3" s="860"/>
      <c r="E3" s="860"/>
      <c r="F3" s="860"/>
      <c r="G3" s="860"/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0"/>
      <c r="U3" s="860"/>
      <c r="V3" s="860"/>
      <c r="W3" s="860"/>
      <c r="X3" s="860"/>
      <c r="Y3" s="860"/>
      <c r="Z3" s="860"/>
      <c r="AA3" s="860"/>
      <c r="AB3" s="860"/>
      <c r="AC3" s="860"/>
      <c r="AD3" s="860"/>
      <c r="AE3" s="860"/>
      <c r="AF3" s="860"/>
      <c r="AG3" s="860"/>
      <c r="AH3" s="860"/>
      <c r="AI3" s="860"/>
      <c r="AJ3" s="860"/>
      <c r="AK3" s="860"/>
      <c r="AL3" s="860"/>
      <c r="AM3" s="860"/>
      <c r="AN3" s="860"/>
      <c r="AO3" s="860"/>
      <c r="AP3" s="860"/>
      <c r="AQ3" s="860"/>
      <c r="AR3" s="860"/>
      <c r="AS3" s="860"/>
      <c r="AT3" s="855"/>
      <c r="AU3" s="856"/>
      <c r="AV3" s="857"/>
      <c r="AW3" s="857"/>
      <c r="AX3" s="857"/>
      <c r="AY3" s="857"/>
      <c r="AZ3" s="857"/>
      <c r="BA3" s="857"/>
      <c r="BB3" s="857"/>
      <c r="BC3" s="857"/>
      <c r="BD3" s="857"/>
      <c r="BE3" s="857"/>
      <c r="BF3" s="857"/>
      <c r="BG3" s="857"/>
    </row>
    <row r="4" spans="1:59" ht="14.25" customHeight="1">
      <c r="A4" s="857"/>
      <c r="B4" s="857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61"/>
      <c r="R4" s="857"/>
      <c r="S4" s="857"/>
      <c r="T4" s="857"/>
      <c r="U4" s="857"/>
      <c r="V4" s="857"/>
      <c r="W4" s="857"/>
      <c r="X4" s="857"/>
      <c r="Y4" s="857"/>
      <c r="Z4" s="857"/>
      <c r="AA4" s="857"/>
      <c r="AB4" s="857"/>
      <c r="AC4" s="857"/>
      <c r="AD4" s="857"/>
      <c r="AE4" s="857"/>
      <c r="AF4" s="857"/>
      <c r="AG4" s="857"/>
      <c r="AH4" s="857"/>
      <c r="AI4" s="857"/>
      <c r="AJ4" s="857"/>
      <c r="AK4" s="857"/>
      <c r="AL4" s="857"/>
      <c r="AM4" s="857"/>
      <c r="AN4" s="857"/>
      <c r="AO4" s="857"/>
      <c r="AP4" s="857"/>
      <c r="AQ4" s="857"/>
      <c r="AR4" s="857"/>
      <c r="AS4" s="857"/>
      <c r="AT4" s="855"/>
      <c r="AU4" s="856"/>
      <c r="AV4" s="857"/>
      <c r="AW4" s="857"/>
      <c r="AX4" s="857"/>
      <c r="AY4" s="857"/>
      <c r="AZ4" s="857"/>
      <c r="BA4" s="857"/>
      <c r="BB4" s="857"/>
      <c r="BC4" s="857"/>
      <c r="BD4" s="857"/>
      <c r="BE4" s="857"/>
      <c r="BF4" s="857"/>
      <c r="BG4" s="857"/>
    </row>
    <row r="5" spans="1:59" ht="14.25" customHeight="1">
      <c r="A5" s="857"/>
      <c r="B5" s="862" t="s">
        <v>777</v>
      </c>
      <c r="C5" s="862" t="s">
        <v>572</v>
      </c>
      <c r="D5" s="862" t="s">
        <v>655</v>
      </c>
      <c r="E5" s="862" t="s">
        <v>2851</v>
      </c>
      <c r="F5" s="862" t="s">
        <v>692</v>
      </c>
      <c r="G5" s="862" t="s">
        <v>2852</v>
      </c>
      <c r="H5" s="862" t="s">
        <v>583</v>
      </c>
      <c r="I5" s="862" t="s">
        <v>759</v>
      </c>
      <c r="J5" s="862" t="s">
        <v>597</v>
      </c>
      <c r="K5" s="862" t="s">
        <v>548</v>
      </c>
      <c r="L5" s="862" t="s">
        <v>570</v>
      </c>
      <c r="M5" s="862" t="s">
        <v>588</v>
      </c>
      <c r="N5" s="862" t="s">
        <v>122</v>
      </c>
      <c r="O5" s="863" t="s">
        <v>123</v>
      </c>
      <c r="P5" s="863" t="s">
        <v>124</v>
      </c>
      <c r="Q5" s="864" t="s">
        <v>125</v>
      </c>
      <c r="R5" s="863" t="s">
        <v>126</v>
      </c>
      <c r="S5" s="863" t="s">
        <v>127</v>
      </c>
      <c r="T5" s="863" t="s">
        <v>128</v>
      </c>
      <c r="U5" s="863" t="s">
        <v>129</v>
      </c>
      <c r="V5" s="863" t="s">
        <v>130</v>
      </c>
      <c r="W5" s="863" t="s">
        <v>131</v>
      </c>
      <c r="X5" s="863" t="s">
        <v>132</v>
      </c>
      <c r="Y5" s="865" t="s">
        <v>133</v>
      </c>
      <c r="Z5" s="865" t="s">
        <v>200</v>
      </c>
      <c r="AA5" s="866" t="s">
        <v>201</v>
      </c>
      <c r="AB5" s="866" t="s">
        <v>202</v>
      </c>
      <c r="AC5" s="866" t="s">
        <v>203</v>
      </c>
      <c r="AD5" s="866" t="s">
        <v>204</v>
      </c>
      <c r="AE5" s="866" t="s">
        <v>205</v>
      </c>
      <c r="AF5" s="867" t="s">
        <v>206</v>
      </c>
      <c r="AG5" s="865" t="s">
        <v>207</v>
      </c>
      <c r="AH5" s="865" t="s">
        <v>208</v>
      </c>
      <c r="AI5" s="865" t="s">
        <v>209</v>
      </c>
      <c r="AJ5" s="865" t="s">
        <v>210</v>
      </c>
      <c r="AK5" s="865" t="s">
        <v>211</v>
      </c>
      <c r="AL5" s="865" t="s">
        <v>242</v>
      </c>
      <c r="AM5" s="867" t="s">
        <v>243</v>
      </c>
      <c r="AN5" s="868" t="s">
        <v>244</v>
      </c>
      <c r="AO5" s="869" t="s">
        <v>245</v>
      </c>
      <c r="AP5" s="869" t="s">
        <v>246</v>
      </c>
      <c r="AQ5" s="865" t="s">
        <v>247</v>
      </c>
      <c r="AR5" s="865" t="s">
        <v>248</v>
      </c>
      <c r="AS5" s="868" t="s">
        <v>622</v>
      </c>
      <c r="AT5" s="870" t="s">
        <v>2853</v>
      </c>
      <c r="AU5" s="870" t="s">
        <v>2854</v>
      </c>
      <c r="AV5" s="857"/>
      <c r="AW5" s="857"/>
      <c r="AX5" s="857"/>
      <c r="AY5" s="857"/>
      <c r="AZ5" s="857"/>
      <c r="BA5" s="857"/>
      <c r="BB5" s="857"/>
      <c r="BC5" s="857"/>
      <c r="BD5" s="857"/>
      <c r="BE5" s="857"/>
      <c r="BF5" s="857"/>
      <c r="BG5" s="857"/>
    </row>
    <row r="6" spans="1:59" ht="14.25" customHeight="1">
      <c r="A6" s="871" t="s">
        <v>6</v>
      </c>
      <c r="B6" s="872"/>
      <c r="C6" s="872"/>
      <c r="D6" s="872"/>
      <c r="E6" s="872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2"/>
      <c r="Q6" s="872"/>
      <c r="R6" s="872"/>
      <c r="S6" s="872"/>
      <c r="T6" s="872"/>
      <c r="U6" s="872"/>
      <c r="V6" s="872"/>
      <c r="W6" s="872"/>
      <c r="X6" s="872"/>
      <c r="Y6" s="872"/>
      <c r="Z6" s="872"/>
      <c r="AA6" s="872"/>
      <c r="AB6" s="872"/>
      <c r="AC6" s="872"/>
      <c r="AD6" s="872"/>
      <c r="AE6" s="872"/>
      <c r="AF6" s="872"/>
      <c r="AG6" s="872"/>
      <c r="AH6" s="872"/>
      <c r="AI6" s="872"/>
      <c r="AJ6" s="872"/>
      <c r="AK6" s="872"/>
      <c r="AL6" s="872"/>
      <c r="AM6" s="872"/>
      <c r="AN6" s="872"/>
      <c r="AO6" s="872"/>
      <c r="AP6" s="872"/>
      <c r="AQ6" s="872"/>
      <c r="AR6" s="872"/>
      <c r="AS6" s="872"/>
      <c r="AT6" s="873"/>
      <c r="AU6" s="873"/>
      <c r="AV6" s="857"/>
      <c r="AW6" s="857"/>
      <c r="AX6" s="857"/>
      <c r="AY6" s="857"/>
      <c r="AZ6" s="857"/>
      <c r="BA6" s="857"/>
      <c r="BB6" s="857"/>
      <c r="BC6" s="857"/>
      <c r="BD6" s="857"/>
      <c r="BE6" s="857"/>
      <c r="BF6" s="857"/>
      <c r="BG6" s="857"/>
    </row>
    <row r="7" spans="1:59" ht="14.25" customHeight="1">
      <c r="A7" s="871" t="s">
        <v>2855</v>
      </c>
      <c r="B7" s="874">
        <v>0</v>
      </c>
      <c r="C7" s="874">
        <v>0</v>
      </c>
      <c r="D7" s="874">
        <v>0</v>
      </c>
      <c r="E7" s="874">
        <v>0</v>
      </c>
      <c r="F7" s="874">
        <v>0</v>
      </c>
      <c r="G7" s="874">
        <v>0</v>
      </c>
      <c r="H7" s="874">
        <v>0</v>
      </c>
      <c r="I7" s="874">
        <v>2964.93</v>
      </c>
      <c r="J7" s="874">
        <v>3441.94</v>
      </c>
      <c r="K7" s="874">
        <v>4592.17</v>
      </c>
      <c r="L7" s="874">
        <v>8712.1299999999992</v>
      </c>
      <c r="M7" s="874">
        <v>13095.5</v>
      </c>
      <c r="N7" s="875">
        <v>18089.37</v>
      </c>
      <c r="O7" s="875">
        <v>21184.19</v>
      </c>
      <c r="P7" s="875">
        <v>25553.9</v>
      </c>
      <c r="Q7" s="875">
        <v>24988.400000000001</v>
      </c>
      <c r="R7" s="875">
        <v>24939.4</v>
      </c>
      <c r="S7" s="875">
        <v>29681.83</v>
      </c>
      <c r="T7" s="875">
        <v>30558.73</v>
      </c>
      <c r="U7" s="875">
        <v>31772.21</v>
      </c>
      <c r="V7" s="875">
        <v>34937.129999999997</v>
      </c>
      <c r="W7" s="875">
        <v>34861.03</v>
      </c>
      <c r="X7" s="875">
        <v>36603.279999999999</v>
      </c>
      <c r="Y7" s="875">
        <v>40226.089999999997</v>
      </c>
      <c r="Z7" s="875">
        <v>47634.09</v>
      </c>
      <c r="AA7" s="875">
        <v>50486.44</v>
      </c>
      <c r="AB7" s="875">
        <v>63798.6</v>
      </c>
      <c r="AC7" s="875">
        <v>69443.490000000005</v>
      </c>
      <c r="AD7" s="875">
        <v>71040.58</v>
      </c>
      <c r="AE7" s="875">
        <v>79098.820000000007</v>
      </c>
      <c r="AF7" s="875">
        <v>85201.02</v>
      </c>
      <c r="AG7" s="875">
        <v>85244.04</v>
      </c>
      <c r="AH7" s="875">
        <v>100429.94</v>
      </c>
      <c r="AI7" s="875">
        <v>107351.74</v>
      </c>
      <c r="AJ7" s="875">
        <v>110416.22</v>
      </c>
      <c r="AK7" s="875">
        <v>125776.14</v>
      </c>
      <c r="AL7" s="875">
        <v>133115.98000000001</v>
      </c>
      <c r="AM7" s="875">
        <v>137271.13</v>
      </c>
      <c r="AN7" s="875">
        <v>149658.79</v>
      </c>
      <c r="AO7" s="875">
        <v>154471.07999999999</v>
      </c>
      <c r="AP7" s="875">
        <v>159780.56</v>
      </c>
      <c r="AQ7" s="875">
        <v>179120.57</v>
      </c>
      <c r="AR7" s="875">
        <v>203261.24</v>
      </c>
      <c r="AS7" s="875">
        <v>212201.09</v>
      </c>
      <c r="AT7" s="876">
        <v>1328880.4400000002</v>
      </c>
      <c r="AU7" s="876">
        <v>995921.12</v>
      </c>
      <c r="AV7" s="857"/>
      <c r="AW7" s="857"/>
      <c r="AX7" s="857"/>
      <c r="AY7" s="857"/>
      <c r="AZ7" s="857"/>
      <c r="BA7" s="857"/>
      <c r="BB7" s="857"/>
      <c r="BC7" s="857"/>
      <c r="BD7" s="857"/>
      <c r="BE7" s="857"/>
      <c r="BF7" s="857"/>
      <c r="BG7" s="857"/>
    </row>
    <row r="8" spans="1:59" ht="14.25" customHeight="1">
      <c r="A8" s="871" t="s">
        <v>2856</v>
      </c>
      <c r="B8" s="875">
        <v>0</v>
      </c>
      <c r="C8" s="875">
        <v>0</v>
      </c>
      <c r="D8" s="875">
        <v>0</v>
      </c>
      <c r="E8" s="875">
        <v>0</v>
      </c>
      <c r="F8" s="875">
        <v>0</v>
      </c>
      <c r="G8" s="875">
        <v>0</v>
      </c>
      <c r="H8" s="875">
        <v>0</v>
      </c>
      <c r="I8" s="875">
        <v>0</v>
      </c>
      <c r="J8" s="875">
        <v>0</v>
      </c>
      <c r="K8" s="875">
        <v>0</v>
      </c>
      <c r="L8" s="875">
        <v>0</v>
      </c>
      <c r="M8" s="875">
        <v>0</v>
      </c>
      <c r="N8" s="875">
        <v>0</v>
      </c>
      <c r="O8" s="875">
        <v>0</v>
      </c>
      <c r="P8" s="875">
        <v>0</v>
      </c>
      <c r="Q8" s="875">
        <v>0</v>
      </c>
      <c r="R8" s="875">
        <v>0</v>
      </c>
      <c r="S8" s="875">
        <v>0</v>
      </c>
      <c r="T8" s="875">
        <v>0</v>
      </c>
      <c r="U8" s="875">
        <v>0</v>
      </c>
      <c r="V8" s="875">
        <v>0</v>
      </c>
      <c r="W8" s="875">
        <v>0</v>
      </c>
      <c r="X8" s="875">
        <v>0</v>
      </c>
      <c r="Y8" s="875">
        <v>0</v>
      </c>
      <c r="Z8" s="875">
        <v>126.92</v>
      </c>
      <c r="AA8" s="875">
        <v>265.38</v>
      </c>
      <c r="AB8" s="875">
        <v>384.62</v>
      </c>
      <c r="AC8" s="875">
        <v>604.30999999999995</v>
      </c>
      <c r="AD8" s="875">
        <v>654.30999999999995</v>
      </c>
      <c r="AE8" s="875">
        <v>801.23</v>
      </c>
      <c r="AF8" s="875">
        <v>876.23</v>
      </c>
      <c r="AG8" s="875">
        <v>1053.1500000000001</v>
      </c>
      <c r="AH8" s="875">
        <v>1186.79</v>
      </c>
      <c r="AI8" s="875">
        <v>1475.48</v>
      </c>
      <c r="AJ8" s="875">
        <v>1713.94</v>
      </c>
      <c r="AK8" s="875">
        <v>1779.33</v>
      </c>
      <c r="AL8" s="875">
        <v>1867.79</v>
      </c>
      <c r="AM8" s="875">
        <v>1871.63</v>
      </c>
      <c r="AN8" s="875">
        <v>2294.71</v>
      </c>
      <c r="AO8" s="875">
        <v>2508.33</v>
      </c>
      <c r="AP8" s="875">
        <v>3149.94</v>
      </c>
      <c r="AQ8" s="875">
        <v>2511.71</v>
      </c>
      <c r="AR8" s="875">
        <v>2497.48</v>
      </c>
      <c r="AS8" s="875">
        <v>2568.63</v>
      </c>
      <c r="AT8" s="876">
        <v>19270.22</v>
      </c>
      <c r="AU8" s="876">
        <v>10921.69</v>
      </c>
      <c r="AV8" s="857"/>
      <c r="AW8" s="857"/>
      <c r="AX8" s="857"/>
      <c r="AY8" s="857"/>
      <c r="AZ8" s="857"/>
      <c r="BA8" s="857"/>
      <c r="BB8" s="857"/>
      <c r="BC8" s="857"/>
      <c r="BD8" s="857"/>
      <c r="BE8" s="857"/>
      <c r="BF8" s="857"/>
      <c r="BG8" s="857"/>
    </row>
    <row r="9" spans="1:59" ht="14.25" customHeight="1">
      <c r="A9" s="877" t="s">
        <v>2857</v>
      </c>
      <c r="B9" s="875">
        <v>0</v>
      </c>
      <c r="C9" s="875">
        <v>0</v>
      </c>
      <c r="D9" s="875">
        <v>0</v>
      </c>
      <c r="E9" s="875">
        <v>0</v>
      </c>
      <c r="F9" s="875">
        <v>0</v>
      </c>
      <c r="G9" s="875">
        <v>0</v>
      </c>
      <c r="H9" s="875">
        <v>0</v>
      </c>
      <c r="I9" s="875">
        <v>0</v>
      </c>
      <c r="J9" s="875">
        <v>0</v>
      </c>
      <c r="K9" s="875">
        <v>0</v>
      </c>
      <c r="L9" s="875">
        <v>0</v>
      </c>
      <c r="M9" s="875">
        <v>0</v>
      </c>
      <c r="N9" s="875">
        <v>0</v>
      </c>
      <c r="O9" s="875">
        <v>0</v>
      </c>
      <c r="P9" s="875">
        <v>0</v>
      </c>
      <c r="Q9" s="875">
        <v>0</v>
      </c>
      <c r="R9" s="875">
        <v>0</v>
      </c>
      <c r="S9" s="875">
        <v>0</v>
      </c>
      <c r="T9" s="875">
        <v>0</v>
      </c>
      <c r="U9" s="875">
        <v>0</v>
      </c>
      <c r="V9" s="875">
        <v>0</v>
      </c>
      <c r="W9" s="875">
        <v>0</v>
      </c>
      <c r="X9" s="875">
        <v>0</v>
      </c>
      <c r="Y9" s="875">
        <v>0</v>
      </c>
      <c r="Z9" s="875">
        <v>0</v>
      </c>
      <c r="AA9" s="875">
        <v>0</v>
      </c>
      <c r="AB9" s="875">
        <v>0</v>
      </c>
      <c r="AC9" s="875">
        <v>0</v>
      </c>
      <c r="AD9" s="875">
        <v>0</v>
      </c>
      <c r="AE9" s="875">
        <v>0</v>
      </c>
      <c r="AF9" s="875">
        <v>0</v>
      </c>
      <c r="AG9" s="875">
        <v>0</v>
      </c>
      <c r="AH9" s="875">
        <v>0</v>
      </c>
      <c r="AI9" s="875">
        <v>0</v>
      </c>
      <c r="AJ9" s="875">
        <v>0</v>
      </c>
      <c r="AK9" s="875">
        <v>0</v>
      </c>
      <c r="AL9" s="875">
        <v>0</v>
      </c>
      <c r="AM9" s="875">
        <v>0</v>
      </c>
      <c r="AN9" s="875">
        <v>0</v>
      </c>
      <c r="AO9" s="875">
        <v>0</v>
      </c>
      <c r="AP9" s="875">
        <v>0</v>
      </c>
      <c r="AQ9" s="875">
        <v>0</v>
      </c>
      <c r="AR9" s="875">
        <v>8134.58</v>
      </c>
      <c r="AS9" s="875">
        <v>0</v>
      </c>
      <c r="AT9" s="876">
        <v>8134.58</v>
      </c>
      <c r="AU9" s="876">
        <v>0</v>
      </c>
      <c r="AV9" s="857"/>
      <c r="AW9" s="857"/>
      <c r="AX9" s="857"/>
      <c r="AY9" s="857"/>
      <c r="AZ9" s="857"/>
      <c r="BA9" s="857"/>
      <c r="BB9" s="857"/>
      <c r="BC9" s="857"/>
      <c r="BD9" s="857"/>
      <c r="BE9" s="857"/>
      <c r="BF9" s="857"/>
      <c r="BG9" s="857"/>
    </row>
    <row r="10" spans="1:59" ht="14.25" hidden="1" customHeight="1" outlineLevel="1">
      <c r="A10" s="877" t="s">
        <v>2858</v>
      </c>
      <c r="B10" s="874">
        <v>135.19999999999999</v>
      </c>
      <c r="C10" s="874">
        <v>261.48</v>
      </c>
      <c r="D10" s="874">
        <v>1317.57</v>
      </c>
      <c r="E10" s="874">
        <v>2070.4</v>
      </c>
      <c r="F10" s="874">
        <v>2114.5300000000002</v>
      </c>
      <c r="G10" s="874">
        <v>3267.79</v>
      </c>
      <c r="H10" s="874">
        <v>4339.3100000000004</v>
      </c>
      <c r="I10" s="874">
        <v>6467.25</v>
      </c>
      <c r="J10" s="874">
        <v>6648.08</v>
      </c>
      <c r="K10" s="874">
        <v>8248.23</v>
      </c>
      <c r="L10" s="874">
        <v>8771.7199999999993</v>
      </c>
      <c r="M10" s="875">
        <v>-38811.909999999996</v>
      </c>
      <c r="N10" s="875">
        <v>12769.28</v>
      </c>
      <c r="O10" s="875">
        <v>16478.900000000001</v>
      </c>
      <c r="P10" s="875">
        <v>18637.52</v>
      </c>
      <c r="Q10" s="875">
        <v>20532.37</v>
      </c>
      <c r="R10" s="875">
        <v>22739.95</v>
      </c>
      <c r="S10" s="875">
        <v>23382.47</v>
      </c>
      <c r="T10" s="875">
        <v>26033.3</v>
      </c>
      <c r="U10" s="875">
        <v>29459.13</v>
      </c>
      <c r="V10" s="875">
        <v>25779.82</v>
      </c>
      <c r="W10" s="875">
        <v>26287.599999999999</v>
      </c>
      <c r="X10" s="875">
        <v>25803.15</v>
      </c>
      <c r="Y10" s="875">
        <v>27760.46</v>
      </c>
      <c r="Z10" s="875">
        <v>33608.01</v>
      </c>
      <c r="AA10" s="875">
        <v>29675.68</v>
      </c>
      <c r="AB10" s="875">
        <v>35213.78</v>
      </c>
      <c r="AC10" s="875">
        <v>36939.21</v>
      </c>
      <c r="AD10" s="875">
        <v>39085.699999999997</v>
      </c>
      <c r="AE10" s="875">
        <v>36427.74</v>
      </c>
      <c r="AF10" s="875">
        <v>44250.65</v>
      </c>
      <c r="AG10" s="875">
        <v>45918.22</v>
      </c>
      <c r="AH10" s="875">
        <v>42126.21</v>
      </c>
      <c r="AI10" s="875">
        <v>42006.239999999998</v>
      </c>
      <c r="AJ10" s="875">
        <v>36722.11</v>
      </c>
      <c r="AK10" s="875">
        <v>51189.95</v>
      </c>
      <c r="AL10" s="875">
        <v>51748.98</v>
      </c>
      <c r="AM10" s="875">
        <v>52865.02</v>
      </c>
      <c r="AN10" s="875">
        <v>61141.18</v>
      </c>
      <c r="AO10" s="875">
        <v>63756.3</v>
      </c>
      <c r="AP10" s="875">
        <v>64086.66</v>
      </c>
      <c r="AQ10" s="875">
        <v>67902.070000000007</v>
      </c>
      <c r="AR10" s="875">
        <v>68489.460000000006</v>
      </c>
      <c r="AS10" s="875">
        <v>63912.68</v>
      </c>
      <c r="AT10" s="876">
        <v>493902.35000000003</v>
      </c>
      <c r="AU10" s="876">
        <v>473163.5</v>
      </c>
      <c r="AV10" s="857"/>
      <c r="AW10" s="857"/>
      <c r="AX10" s="857"/>
      <c r="AY10" s="857"/>
      <c r="AZ10" s="857"/>
      <c r="BA10" s="857"/>
      <c r="BB10" s="857"/>
      <c r="BC10" s="857"/>
      <c r="BD10" s="857"/>
      <c r="BE10" s="857"/>
      <c r="BF10" s="857"/>
      <c r="BG10" s="857"/>
    </row>
    <row r="11" spans="1:59" ht="14.25" hidden="1" customHeight="1" outlineLevel="1">
      <c r="A11" s="877" t="s">
        <v>2859</v>
      </c>
      <c r="B11" s="875">
        <v>0</v>
      </c>
      <c r="C11" s="875">
        <v>0</v>
      </c>
      <c r="D11" s="875">
        <v>0</v>
      </c>
      <c r="E11" s="875">
        <v>0</v>
      </c>
      <c r="F11" s="875">
        <v>0</v>
      </c>
      <c r="G11" s="875">
        <v>0</v>
      </c>
      <c r="H11" s="875">
        <v>0</v>
      </c>
      <c r="I11" s="875">
        <v>0</v>
      </c>
      <c r="J11" s="875">
        <v>0</v>
      </c>
      <c r="K11" s="875">
        <v>0</v>
      </c>
      <c r="L11" s="875">
        <v>0</v>
      </c>
      <c r="M11" s="875">
        <v>-50255.02</v>
      </c>
      <c r="N11" s="874">
        <v>-12769</v>
      </c>
      <c r="O11" s="874">
        <v>-14581</v>
      </c>
      <c r="P11" s="874">
        <v>-17079</v>
      </c>
      <c r="Q11" s="874">
        <v>-19313</v>
      </c>
      <c r="R11" s="874">
        <v>-20735</v>
      </c>
      <c r="S11" s="874">
        <v>-21576</v>
      </c>
      <c r="T11" s="874">
        <v>-24561</v>
      </c>
      <c r="U11" s="874">
        <v>-27348</v>
      </c>
      <c r="V11" s="874">
        <v>-23678</v>
      </c>
      <c r="W11" s="874">
        <v>-24265</v>
      </c>
      <c r="X11" s="874">
        <v>-23674.94</v>
      </c>
      <c r="Y11" s="874">
        <v>-42095.37</v>
      </c>
      <c r="Z11" s="874">
        <v>-28649.48</v>
      </c>
      <c r="AA11" s="874">
        <v>-21384.94</v>
      </c>
      <c r="AB11" s="874">
        <v>-31827.62</v>
      </c>
      <c r="AC11" s="874">
        <v>-33976.97</v>
      </c>
      <c r="AD11" s="874">
        <v>-29041.63</v>
      </c>
      <c r="AE11" s="874">
        <v>-34882.339999999997</v>
      </c>
      <c r="AF11" s="874">
        <v>-42616.89</v>
      </c>
      <c r="AG11" s="874">
        <v>-41763.49</v>
      </c>
      <c r="AH11" s="874">
        <v>-33072.730000000003</v>
      </c>
      <c r="AI11" s="874">
        <v>-38846.080000000002</v>
      </c>
      <c r="AJ11" s="874">
        <v>-35394.949999999997</v>
      </c>
      <c r="AK11" s="874">
        <v>-44157.49</v>
      </c>
      <c r="AL11" s="874">
        <v>-44244.5</v>
      </c>
      <c r="AM11" s="874">
        <v>-40994.379999999997</v>
      </c>
      <c r="AN11" s="874">
        <v>-47407.6</v>
      </c>
      <c r="AO11" s="874">
        <v>-49195.06</v>
      </c>
      <c r="AP11" s="874">
        <v>-50991.46</v>
      </c>
      <c r="AQ11" s="874">
        <v>-51624.59</v>
      </c>
      <c r="AR11" s="874">
        <v>-54391.74</v>
      </c>
      <c r="AS11" s="874">
        <v>-49152.17</v>
      </c>
      <c r="AT11" s="876">
        <v>-388001.49999999994</v>
      </c>
      <c r="AU11" s="876">
        <v>-415614.61</v>
      </c>
      <c r="AV11" s="857"/>
      <c r="AW11" s="857"/>
      <c r="AX11" s="857"/>
      <c r="AY11" s="857"/>
      <c r="AZ11" s="857"/>
      <c r="BA11" s="857"/>
      <c r="BB11" s="857"/>
      <c r="BC11" s="857"/>
      <c r="BD11" s="857"/>
      <c r="BE11" s="857"/>
      <c r="BF11" s="857"/>
      <c r="BG11" s="857"/>
    </row>
    <row r="12" spans="1:59" ht="14.25" customHeight="1" collapsed="1">
      <c r="A12" s="877" t="s">
        <v>2860</v>
      </c>
      <c r="B12" s="875">
        <v>135.19999999999999</v>
      </c>
      <c r="C12" s="875">
        <v>261.48</v>
      </c>
      <c r="D12" s="875">
        <v>1317.57</v>
      </c>
      <c r="E12" s="875">
        <v>2070.4</v>
      </c>
      <c r="F12" s="875">
        <v>2114.5300000000002</v>
      </c>
      <c r="G12" s="875">
        <v>3267.79</v>
      </c>
      <c r="H12" s="875">
        <v>4339.3100000000004</v>
      </c>
      <c r="I12" s="875">
        <v>6467.25</v>
      </c>
      <c r="J12" s="875">
        <v>6648.08</v>
      </c>
      <c r="K12" s="875">
        <v>8248.23</v>
      </c>
      <c r="L12" s="875">
        <v>8771.7199999999993</v>
      </c>
      <c r="M12" s="875">
        <v>-38811.909999999996</v>
      </c>
      <c r="N12" s="874">
        <v>0.28000000000065484</v>
      </c>
      <c r="O12" s="874">
        <v>1897.9000000000015</v>
      </c>
      <c r="P12" s="874">
        <v>1558.5200000000004</v>
      </c>
      <c r="Q12" s="874">
        <v>1219.369999999999</v>
      </c>
      <c r="R12" s="874">
        <v>2004.9500000000007</v>
      </c>
      <c r="S12" s="874">
        <v>1806.4700000000012</v>
      </c>
      <c r="T12" s="874">
        <v>1472.2999999999993</v>
      </c>
      <c r="U12" s="874">
        <v>2111.130000000001</v>
      </c>
      <c r="V12" s="874">
        <v>2101.8199999999997</v>
      </c>
      <c r="W12" s="874">
        <v>2022.5999999999985</v>
      </c>
      <c r="X12" s="874">
        <v>2128.2100000000028</v>
      </c>
      <c r="Y12" s="874">
        <v>-14334.910000000003</v>
      </c>
      <c r="Z12" s="874">
        <v>4958.5300000000025</v>
      </c>
      <c r="AA12" s="874">
        <v>8290.7400000000016</v>
      </c>
      <c r="AB12" s="874">
        <v>3386.16</v>
      </c>
      <c r="AC12" s="874">
        <v>2962.239999999998</v>
      </c>
      <c r="AD12" s="874">
        <v>10044.069999999996</v>
      </c>
      <c r="AE12" s="874">
        <v>1545.4000000000015</v>
      </c>
      <c r="AF12" s="874">
        <v>1633.760000000002</v>
      </c>
      <c r="AG12" s="874">
        <v>4154.7300000000032</v>
      </c>
      <c r="AH12" s="874">
        <v>9053.4799999999959</v>
      </c>
      <c r="AI12" s="874">
        <v>3160.1599999999962</v>
      </c>
      <c r="AJ12" s="874">
        <v>1327.1600000000035</v>
      </c>
      <c r="AK12" s="874">
        <v>7032.4599999999991</v>
      </c>
      <c r="AL12" s="874">
        <v>7504.4800000000032</v>
      </c>
      <c r="AM12" s="874">
        <v>11870.64</v>
      </c>
      <c r="AN12" s="874">
        <v>13733.580000000002</v>
      </c>
      <c r="AO12" s="874">
        <v>14561.240000000005</v>
      </c>
      <c r="AP12" s="874">
        <v>13095.200000000004</v>
      </c>
      <c r="AQ12" s="874">
        <v>16277.48000000001</v>
      </c>
      <c r="AR12" s="874">
        <v>14097.720000000008</v>
      </c>
      <c r="AS12" s="874">
        <v>14760.510000000002</v>
      </c>
      <c r="AT12" s="876">
        <v>105900.85000000009</v>
      </c>
      <c r="AU12" s="876">
        <v>57548.89</v>
      </c>
      <c r="AV12" s="857"/>
      <c r="AW12" s="857"/>
      <c r="AX12" s="857"/>
      <c r="AY12" s="857"/>
      <c r="AZ12" s="857"/>
      <c r="BA12" s="857"/>
      <c r="BB12" s="857"/>
      <c r="BC12" s="857"/>
      <c r="BD12" s="857"/>
      <c r="BE12" s="857"/>
      <c r="BF12" s="857"/>
      <c r="BG12" s="857"/>
    </row>
    <row r="13" spans="1:59" ht="14.25" customHeight="1">
      <c r="A13" s="878" t="s">
        <v>2861</v>
      </c>
      <c r="B13" s="875">
        <v>0</v>
      </c>
      <c r="C13" s="875">
        <v>0</v>
      </c>
      <c r="D13" s="875">
        <v>0</v>
      </c>
      <c r="E13" s="875">
        <v>0</v>
      </c>
      <c r="F13" s="875">
        <v>0</v>
      </c>
      <c r="G13" s="875">
        <v>0</v>
      </c>
      <c r="H13" s="875">
        <v>0</v>
      </c>
      <c r="I13" s="875">
        <v>0</v>
      </c>
      <c r="J13" s="875">
        <v>0</v>
      </c>
      <c r="K13" s="875">
        <v>0</v>
      </c>
      <c r="L13" s="875">
        <v>0</v>
      </c>
      <c r="M13" s="875">
        <v>0</v>
      </c>
      <c r="N13" s="879">
        <v>0</v>
      </c>
      <c r="O13" s="879">
        <v>0</v>
      </c>
      <c r="P13" s="879">
        <v>0</v>
      </c>
      <c r="Q13" s="879">
        <v>0</v>
      </c>
      <c r="R13" s="879">
        <v>0</v>
      </c>
      <c r="S13" s="879">
        <v>0</v>
      </c>
      <c r="T13" s="879">
        <v>0</v>
      </c>
      <c r="U13" s="879">
        <v>0</v>
      </c>
      <c r="V13" s="879">
        <v>0</v>
      </c>
      <c r="W13" s="879">
        <v>0</v>
      </c>
      <c r="X13" s="879">
        <v>0</v>
      </c>
      <c r="Y13" s="879">
        <v>0</v>
      </c>
      <c r="Z13" s="879">
        <v>9045.2199999999993</v>
      </c>
      <c r="AA13" s="879">
        <v>8878.4599999999991</v>
      </c>
      <c r="AB13" s="879">
        <v>8678.27</v>
      </c>
      <c r="AC13" s="879">
        <v>10880.59</v>
      </c>
      <c r="AD13" s="879">
        <v>12861.95</v>
      </c>
      <c r="AE13" s="879">
        <v>15553.39</v>
      </c>
      <c r="AF13" s="879">
        <v>17422.54</v>
      </c>
      <c r="AG13" s="879">
        <v>22961.15</v>
      </c>
      <c r="AH13" s="879">
        <v>24701.439999999999</v>
      </c>
      <c r="AI13" s="879">
        <v>18056.34</v>
      </c>
      <c r="AJ13" s="879">
        <v>17173.84</v>
      </c>
      <c r="AK13" s="879">
        <v>15651.18</v>
      </c>
      <c r="AL13" s="879">
        <v>13741.14</v>
      </c>
      <c r="AM13" s="879">
        <v>16372.14</v>
      </c>
      <c r="AN13" s="879">
        <v>15465.63</v>
      </c>
      <c r="AO13" s="879">
        <v>19055.240000000002</v>
      </c>
      <c r="AP13" s="879">
        <v>19664.68</v>
      </c>
      <c r="AQ13" s="879">
        <v>21848.02</v>
      </c>
      <c r="AR13" s="879">
        <v>24995.1</v>
      </c>
      <c r="AS13" s="879">
        <v>31986.15</v>
      </c>
      <c r="AT13" s="880">
        <v>163128.09999999998</v>
      </c>
      <c r="AU13" s="880">
        <v>181864.37</v>
      </c>
      <c r="AV13" s="857"/>
      <c r="AW13" s="857"/>
      <c r="AX13" s="857"/>
      <c r="AY13" s="857"/>
      <c r="AZ13" s="857"/>
      <c r="BA13" s="857"/>
      <c r="BB13" s="857"/>
      <c r="BC13" s="857"/>
      <c r="BD13" s="857"/>
      <c r="BE13" s="857"/>
      <c r="BF13" s="857"/>
      <c r="BG13" s="857"/>
    </row>
    <row r="14" spans="1:59" ht="14.25" customHeight="1">
      <c r="A14" s="871" t="s">
        <v>262</v>
      </c>
      <c r="B14" s="881">
        <v>135.19999999999999</v>
      </c>
      <c r="C14" s="881">
        <v>261.48</v>
      </c>
      <c r="D14" s="881">
        <v>1317.57</v>
      </c>
      <c r="E14" s="881">
        <v>2070.4</v>
      </c>
      <c r="F14" s="881">
        <v>2114.5300000000002</v>
      </c>
      <c r="G14" s="881">
        <v>3267.79</v>
      </c>
      <c r="H14" s="881">
        <v>4339.3100000000004</v>
      </c>
      <c r="I14" s="881">
        <v>9432.18</v>
      </c>
      <c r="J14" s="881">
        <v>10090.02</v>
      </c>
      <c r="K14" s="881">
        <v>12840.4</v>
      </c>
      <c r="L14" s="881">
        <v>17483.849999999999</v>
      </c>
      <c r="M14" s="881">
        <v>-25716.409999999996</v>
      </c>
      <c r="N14" s="881">
        <v>18089.650000000001</v>
      </c>
      <c r="O14" s="881">
        <v>23082.09</v>
      </c>
      <c r="P14" s="881">
        <v>27112.420000000002</v>
      </c>
      <c r="Q14" s="881">
        <v>26207.77</v>
      </c>
      <c r="R14" s="881">
        <v>26944.350000000002</v>
      </c>
      <c r="S14" s="881">
        <v>31488.300000000003</v>
      </c>
      <c r="T14" s="881">
        <v>32031.03</v>
      </c>
      <c r="U14" s="881">
        <v>33883.339999999997</v>
      </c>
      <c r="V14" s="881">
        <v>37038.949999999997</v>
      </c>
      <c r="W14" s="881">
        <v>36883.629999999997</v>
      </c>
      <c r="X14" s="881">
        <v>38731.490000000005</v>
      </c>
      <c r="Y14" s="881">
        <v>25891.179999999993</v>
      </c>
      <c r="Z14" s="881">
        <v>61764.759999999995</v>
      </c>
      <c r="AA14" s="881">
        <v>67921.01999999999</v>
      </c>
      <c r="AB14" s="881">
        <v>76247.650000000009</v>
      </c>
      <c r="AC14" s="881">
        <v>83890.63</v>
      </c>
      <c r="AD14" s="881">
        <v>94600.909999999989</v>
      </c>
      <c r="AE14" s="881">
        <v>96998.840000000011</v>
      </c>
      <c r="AF14" s="881">
        <v>105133.55000000002</v>
      </c>
      <c r="AG14" s="881">
        <v>113413.06999999998</v>
      </c>
      <c r="AH14" s="881">
        <v>135371.65</v>
      </c>
      <c r="AI14" s="881">
        <v>130043.72</v>
      </c>
      <c r="AJ14" s="881">
        <v>130631.16</v>
      </c>
      <c r="AK14" s="881">
        <v>150239.10999999999</v>
      </c>
      <c r="AL14" s="881">
        <v>156229.39000000001</v>
      </c>
      <c r="AM14" s="881">
        <v>167385.54000000004</v>
      </c>
      <c r="AN14" s="881">
        <v>181152.71000000002</v>
      </c>
      <c r="AO14" s="881">
        <v>190595.88999999996</v>
      </c>
      <c r="AP14" s="881">
        <v>195690.38</v>
      </c>
      <c r="AQ14" s="881">
        <v>219757.78</v>
      </c>
      <c r="AR14" s="881">
        <v>252986.12</v>
      </c>
      <c r="AS14" s="881">
        <v>261516.38</v>
      </c>
      <c r="AT14" s="882">
        <v>1625314.1900000004</v>
      </c>
      <c r="AU14" s="883">
        <v>1246256.0699999998</v>
      </c>
      <c r="AV14" s="857"/>
      <c r="AW14" s="857"/>
      <c r="AX14" s="857"/>
      <c r="AY14" s="857"/>
      <c r="AZ14" s="857"/>
      <c r="BA14" s="857"/>
      <c r="BB14" s="857"/>
      <c r="BC14" s="857"/>
      <c r="BD14" s="857"/>
      <c r="BE14" s="857"/>
      <c r="BF14" s="857"/>
      <c r="BG14" s="857"/>
    </row>
    <row r="15" spans="1:59" ht="14.25" customHeight="1">
      <c r="A15" s="871" t="s">
        <v>30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>
        <v>0</v>
      </c>
      <c r="N15" s="884">
        <v>1762.03</v>
      </c>
      <c r="O15" s="884">
        <v>8164.9</v>
      </c>
      <c r="P15" s="884">
        <v>6045.75</v>
      </c>
      <c r="Q15" s="884">
        <v>5884.6100000000006</v>
      </c>
      <c r="R15" s="884">
        <v>6032.76</v>
      </c>
      <c r="S15" s="884">
        <v>6565.42</v>
      </c>
      <c r="T15" s="874">
        <v>5865.95</v>
      </c>
      <c r="U15" s="874">
        <v>5222.5</v>
      </c>
      <c r="V15" s="874">
        <v>5576.1</v>
      </c>
      <c r="W15" s="874">
        <v>5731.87</v>
      </c>
      <c r="X15" s="874">
        <v>6082.66</v>
      </c>
      <c r="Y15" s="874">
        <v>6283.77</v>
      </c>
      <c r="Z15" s="874">
        <v>12555.58</v>
      </c>
      <c r="AA15" s="874">
        <v>10728.929999999998</v>
      </c>
      <c r="AB15" s="874">
        <v>13506.710000000001</v>
      </c>
      <c r="AC15" s="874">
        <v>13785.76</v>
      </c>
      <c r="AD15" s="874">
        <v>15133.23</v>
      </c>
      <c r="AE15" s="874">
        <v>14820.05</v>
      </c>
      <c r="AF15" s="874">
        <v>19832.55</v>
      </c>
      <c r="AG15" s="874">
        <v>19724.73</v>
      </c>
      <c r="AH15" s="874">
        <v>22963.420000000002</v>
      </c>
      <c r="AI15" s="874">
        <v>21069.449999999997</v>
      </c>
      <c r="AJ15" s="874">
        <v>20882.849999999999</v>
      </c>
      <c r="AK15" s="874">
        <v>20993.309999999998</v>
      </c>
      <c r="AL15" s="874">
        <v>22418.190000000002</v>
      </c>
      <c r="AM15" s="874">
        <v>21117.040000000001</v>
      </c>
      <c r="AN15" s="874">
        <v>22635.94</v>
      </c>
      <c r="AO15" s="874">
        <v>23078.3</v>
      </c>
      <c r="AP15" s="874">
        <v>23901.23</v>
      </c>
      <c r="AQ15" s="874">
        <v>24059.21</v>
      </c>
      <c r="AR15" s="874">
        <v>25625.39</v>
      </c>
      <c r="AS15" s="874">
        <v>26236.49</v>
      </c>
      <c r="AT15" s="876">
        <v>189071.78999999998</v>
      </c>
      <c r="AU15" s="876">
        <v>205996.57000000004</v>
      </c>
      <c r="AV15" s="857"/>
      <c r="AW15" s="857"/>
      <c r="AX15" s="857"/>
      <c r="AY15" s="857"/>
      <c r="AZ15" s="857"/>
      <c r="BA15" s="857"/>
      <c r="BB15" s="857"/>
      <c r="BC15" s="857"/>
      <c r="BD15" s="857"/>
      <c r="BE15" s="857"/>
      <c r="BF15" s="857"/>
      <c r="BG15" s="857"/>
    </row>
    <row r="16" spans="1:59" ht="14.25" customHeight="1">
      <c r="A16" s="871" t="s">
        <v>48</v>
      </c>
      <c r="B16" s="884">
        <v>135.19999999999999</v>
      </c>
      <c r="C16" s="884">
        <v>261.48</v>
      </c>
      <c r="D16" s="884">
        <v>1317.57</v>
      </c>
      <c r="E16" s="884">
        <v>2070.4</v>
      </c>
      <c r="F16" s="884">
        <v>2114.5300000000002</v>
      </c>
      <c r="G16" s="884">
        <v>3267.79</v>
      </c>
      <c r="H16" s="884">
        <v>4339.3100000000004</v>
      </c>
      <c r="I16" s="884">
        <v>9432.18</v>
      </c>
      <c r="J16" s="884">
        <v>10090.02</v>
      </c>
      <c r="K16" s="884">
        <v>12840.4</v>
      </c>
      <c r="L16" s="884">
        <v>17483.849999999999</v>
      </c>
      <c r="M16" s="884">
        <v>-25716.409999999996</v>
      </c>
      <c r="N16" s="884">
        <v>16327.62</v>
      </c>
      <c r="O16" s="884">
        <v>14917.19</v>
      </c>
      <c r="P16" s="884">
        <v>21066.670000000002</v>
      </c>
      <c r="Q16" s="884">
        <v>20323.16</v>
      </c>
      <c r="R16" s="884">
        <v>20911.590000000004</v>
      </c>
      <c r="S16" s="884">
        <v>24922.880000000005</v>
      </c>
      <c r="T16" s="881">
        <v>26165.079999999998</v>
      </c>
      <c r="U16" s="881">
        <v>28660.839999999997</v>
      </c>
      <c r="V16" s="881">
        <v>31462.85</v>
      </c>
      <c r="W16" s="881">
        <v>31151.759999999998</v>
      </c>
      <c r="X16" s="881">
        <v>32648.830000000005</v>
      </c>
      <c r="Y16" s="881">
        <v>19607.409999999993</v>
      </c>
      <c r="Z16" s="881">
        <v>49209.179999999993</v>
      </c>
      <c r="AA16" s="881">
        <v>57192.089999999989</v>
      </c>
      <c r="AB16" s="881">
        <v>62740.94000000001</v>
      </c>
      <c r="AC16" s="881">
        <v>70104.87000000001</v>
      </c>
      <c r="AD16" s="881">
        <v>79467.679999999993</v>
      </c>
      <c r="AE16" s="881">
        <v>82178.790000000008</v>
      </c>
      <c r="AF16" s="881">
        <v>85301.000000000015</v>
      </c>
      <c r="AG16" s="881">
        <v>93688.339999999982</v>
      </c>
      <c r="AH16" s="881">
        <v>112408.23</v>
      </c>
      <c r="AI16" s="881">
        <v>108974.27</v>
      </c>
      <c r="AJ16" s="881">
        <v>109748.31</v>
      </c>
      <c r="AK16" s="881">
        <v>129245.79999999999</v>
      </c>
      <c r="AL16" s="881">
        <v>133811.20000000001</v>
      </c>
      <c r="AM16" s="881">
        <v>146268.50000000003</v>
      </c>
      <c r="AN16" s="881">
        <v>158516.77000000002</v>
      </c>
      <c r="AO16" s="881">
        <v>167517.58999999997</v>
      </c>
      <c r="AP16" s="881">
        <v>171789.15</v>
      </c>
      <c r="AQ16" s="881">
        <v>195698.57</v>
      </c>
      <c r="AR16" s="881">
        <v>227360.72999999998</v>
      </c>
      <c r="AS16" s="881">
        <v>235279.89</v>
      </c>
      <c r="AT16" s="882">
        <v>1436242.4000000004</v>
      </c>
      <c r="AU16" s="883">
        <v>1040259.5</v>
      </c>
      <c r="AV16" s="857"/>
      <c r="AW16" s="857"/>
      <c r="AX16" s="857"/>
      <c r="AY16" s="857"/>
      <c r="AZ16" s="857"/>
      <c r="BA16" s="857"/>
      <c r="BB16" s="857"/>
      <c r="BC16" s="857"/>
      <c r="BD16" s="857"/>
      <c r="BE16" s="857"/>
      <c r="BF16" s="857"/>
      <c r="BG16" s="857"/>
    </row>
    <row r="17" spans="1:59" ht="14.25" customHeight="1">
      <c r="A17" s="871"/>
      <c r="B17" s="885"/>
      <c r="C17" s="885"/>
      <c r="D17" s="885"/>
      <c r="E17" s="885"/>
      <c r="F17" s="885"/>
      <c r="G17" s="885"/>
      <c r="H17" s="885"/>
      <c r="I17" s="885"/>
      <c r="J17" s="885"/>
      <c r="K17" s="885"/>
      <c r="L17" s="885"/>
      <c r="M17" s="885"/>
      <c r="N17" s="884"/>
      <c r="O17" s="884"/>
      <c r="P17" s="884"/>
      <c r="Q17" s="884"/>
      <c r="R17" s="884"/>
      <c r="S17" s="884"/>
      <c r="T17" s="886"/>
      <c r="U17" s="886"/>
      <c r="V17" s="886"/>
      <c r="W17" s="886"/>
      <c r="X17" s="886"/>
      <c r="Y17" s="887"/>
      <c r="Z17" s="887"/>
      <c r="AA17" s="887"/>
      <c r="AB17" s="887"/>
      <c r="AC17" s="887"/>
      <c r="AD17" s="887"/>
      <c r="AE17" s="887"/>
      <c r="AF17" s="887"/>
      <c r="AG17" s="887"/>
      <c r="AH17" s="887"/>
      <c r="AI17" s="887"/>
      <c r="AJ17" s="887"/>
      <c r="AK17" s="887"/>
      <c r="AL17" s="887"/>
      <c r="AM17" s="887"/>
      <c r="AN17" s="887"/>
      <c r="AO17" s="887"/>
      <c r="AP17" s="887"/>
      <c r="AQ17" s="887"/>
      <c r="AR17" s="887"/>
      <c r="AS17" s="887"/>
      <c r="AT17" s="888"/>
      <c r="AU17" s="888"/>
      <c r="AV17" s="857"/>
      <c r="AW17" s="857"/>
      <c r="AX17" s="857"/>
      <c r="AY17" s="857"/>
      <c r="AZ17" s="857"/>
      <c r="BA17" s="857"/>
      <c r="BB17" s="857"/>
      <c r="BC17" s="857"/>
      <c r="BD17" s="857"/>
      <c r="BE17" s="857"/>
      <c r="BF17" s="857"/>
      <c r="BG17" s="857"/>
    </row>
    <row r="18" spans="1:59" ht="14.25" customHeight="1">
      <c r="A18" s="871" t="s">
        <v>2862</v>
      </c>
      <c r="B18" s="889"/>
      <c r="C18" s="889"/>
      <c r="D18" s="889"/>
      <c r="E18" s="889"/>
      <c r="F18" s="889"/>
      <c r="G18" s="889"/>
      <c r="H18" s="889"/>
      <c r="I18" s="889"/>
      <c r="J18" s="889"/>
      <c r="K18" s="889"/>
      <c r="L18" s="889"/>
      <c r="M18" s="889"/>
      <c r="N18" s="885"/>
      <c r="O18" s="885"/>
      <c r="P18" s="885"/>
      <c r="Q18" s="885"/>
      <c r="R18" s="885"/>
      <c r="S18" s="885"/>
      <c r="T18" s="885"/>
      <c r="U18" s="887"/>
      <c r="V18" s="887"/>
      <c r="W18" s="887"/>
      <c r="X18" s="887"/>
      <c r="Y18" s="889"/>
      <c r="Z18" s="889"/>
      <c r="AA18" s="889"/>
      <c r="AB18" s="889"/>
      <c r="AC18" s="889"/>
      <c r="AD18" s="889"/>
      <c r="AE18" s="889"/>
      <c r="AF18" s="889"/>
      <c r="AG18" s="889"/>
      <c r="AH18" s="889"/>
      <c r="AI18" s="889"/>
      <c r="AJ18" s="889"/>
      <c r="AK18" s="889"/>
      <c r="AL18" s="889"/>
      <c r="AM18" s="889"/>
      <c r="AN18" s="889"/>
      <c r="AO18" s="889"/>
      <c r="AP18" s="889"/>
      <c r="AQ18" s="889"/>
      <c r="AR18" s="889"/>
      <c r="AS18" s="889"/>
      <c r="AT18" s="890"/>
      <c r="AU18" s="890"/>
      <c r="AV18" s="857"/>
      <c r="AW18" s="857"/>
      <c r="AX18" s="857"/>
      <c r="AY18" s="857"/>
      <c r="AZ18" s="857"/>
      <c r="BA18" s="857"/>
      <c r="BB18" s="857"/>
      <c r="BC18" s="857"/>
      <c r="BD18" s="857"/>
      <c r="BE18" s="857"/>
      <c r="BF18" s="857"/>
      <c r="BG18" s="857"/>
    </row>
    <row r="19" spans="1:59" ht="14.25" customHeight="1">
      <c r="A19" s="871" t="s">
        <v>2863</v>
      </c>
      <c r="B19" s="874">
        <v>26996.639999999999</v>
      </c>
      <c r="C19" s="874">
        <v>25199.360000000001</v>
      </c>
      <c r="D19" s="874">
        <v>16690.419999999998</v>
      </c>
      <c r="E19" s="874">
        <v>32072.55</v>
      </c>
      <c r="F19" s="874">
        <v>58139.649999999994</v>
      </c>
      <c r="G19" s="874">
        <v>56525.89</v>
      </c>
      <c r="H19" s="874">
        <v>52094.400000000001</v>
      </c>
      <c r="I19" s="874">
        <v>41179.64</v>
      </c>
      <c r="J19" s="874">
        <v>44182.22</v>
      </c>
      <c r="K19" s="874">
        <v>46570.86</v>
      </c>
      <c r="L19" s="874">
        <v>32655.489999999998</v>
      </c>
      <c r="M19" s="874">
        <v>63594.619999999995</v>
      </c>
      <c r="N19" s="889">
        <v>56935.520000000004</v>
      </c>
      <c r="O19" s="889">
        <v>58842.549999999996</v>
      </c>
      <c r="P19" s="889">
        <v>59021.710000000006</v>
      </c>
      <c r="Q19" s="889">
        <v>58903.41</v>
      </c>
      <c r="R19" s="889">
        <v>95941.700000000012</v>
      </c>
      <c r="S19" s="889">
        <v>64429.87000000001</v>
      </c>
      <c r="T19" s="889">
        <v>79591.569999999992</v>
      </c>
      <c r="U19" s="889">
        <v>83469.759999999995</v>
      </c>
      <c r="V19" s="889">
        <v>78799.31</v>
      </c>
      <c r="W19" s="874">
        <v>72583.64</v>
      </c>
      <c r="X19" s="874">
        <v>94251.31</v>
      </c>
      <c r="Y19" s="874">
        <v>79983.680000000008</v>
      </c>
      <c r="Z19" s="874">
        <v>88098.15</v>
      </c>
      <c r="AA19" s="874">
        <v>111545.07</v>
      </c>
      <c r="AB19" s="874">
        <v>94617.1</v>
      </c>
      <c r="AC19" s="874">
        <v>116343.01</v>
      </c>
      <c r="AD19" s="874">
        <v>120406.67</v>
      </c>
      <c r="AE19" s="874">
        <v>116916.47999999998</v>
      </c>
      <c r="AF19" s="874">
        <v>113732.56000000001</v>
      </c>
      <c r="AG19" s="874">
        <v>156380.56</v>
      </c>
      <c r="AH19" s="874">
        <v>143198.30000000002</v>
      </c>
      <c r="AI19" s="874">
        <v>117971.65999999999</v>
      </c>
      <c r="AJ19" s="874">
        <v>147759</v>
      </c>
      <c r="AK19" s="874">
        <v>170966.44</v>
      </c>
      <c r="AL19" s="874">
        <v>145774.20000000001</v>
      </c>
      <c r="AM19" s="874">
        <v>128955.32</v>
      </c>
      <c r="AN19" s="874">
        <v>155547.48000000001</v>
      </c>
      <c r="AO19" s="874">
        <v>160134.68000000002</v>
      </c>
      <c r="AP19" s="874">
        <v>153570.32999999999</v>
      </c>
      <c r="AQ19" s="874">
        <v>151976.50999999998</v>
      </c>
      <c r="AR19" s="874">
        <v>149483.09</v>
      </c>
      <c r="AS19" s="874">
        <v>159372.43</v>
      </c>
      <c r="AT19" s="876">
        <v>1204814.04</v>
      </c>
      <c r="AU19" s="876">
        <v>1497935</v>
      </c>
      <c r="AV19" s="857"/>
      <c r="AW19" s="857"/>
      <c r="AY19" s="857"/>
      <c r="AZ19" s="857"/>
      <c r="BA19" s="857"/>
      <c r="BB19" s="857"/>
      <c r="BC19" s="857"/>
      <c r="BD19" s="857"/>
      <c r="BE19" s="857"/>
      <c r="BF19" s="857"/>
      <c r="BG19" s="857"/>
    </row>
    <row r="20" spans="1:59" ht="14.25" customHeight="1">
      <c r="A20" s="871" t="s">
        <v>2864</v>
      </c>
      <c r="B20" s="874">
        <v>28231.56</v>
      </c>
      <c r="C20" s="874">
        <v>28110.760000000002</v>
      </c>
      <c r="D20" s="874">
        <v>53083.12</v>
      </c>
      <c r="E20" s="874">
        <v>29433.31</v>
      </c>
      <c r="F20" s="874">
        <v>41370.43</v>
      </c>
      <c r="G20" s="874">
        <v>42673.81</v>
      </c>
      <c r="H20" s="874">
        <v>60062.77</v>
      </c>
      <c r="I20" s="874">
        <v>56208.520000000004</v>
      </c>
      <c r="J20" s="874">
        <v>57859.86</v>
      </c>
      <c r="K20" s="874">
        <v>55752.11</v>
      </c>
      <c r="L20" s="874">
        <v>54126.76</v>
      </c>
      <c r="M20" s="874">
        <v>63425.009999999995</v>
      </c>
      <c r="N20" s="874">
        <v>60043.59</v>
      </c>
      <c r="O20" s="874">
        <v>51244.87</v>
      </c>
      <c r="P20" s="874">
        <v>44939.41</v>
      </c>
      <c r="Q20" s="874">
        <v>51595.66</v>
      </c>
      <c r="R20" s="874">
        <v>51556.73</v>
      </c>
      <c r="S20" s="874">
        <v>50645.2</v>
      </c>
      <c r="T20" s="874">
        <v>59702.05</v>
      </c>
      <c r="U20" s="874">
        <v>51472.05</v>
      </c>
      <c r="V20" s="874">
        <v>59848.05</v>
      </c>
      <c r="W20" s="874">
        <v>59065.05</v>
      </c>
      <c r="X20" s="874">
        <v>58230.3</v>
      </c>
      <c r="Y20" s="874">
        <v>83261.52</v>
      </c>
      <c r="Z20" s="874">
        <v>51021.73</v>
      </c>
      <c r="AA20" s="874">
        <v>55469.820000000007</v>
      </c>
      <c r="AB20" s="874">
        <v>73605.8</v>
      </c>
      <c r="AC20" s="874">
        <v>65540.3</v>
      </c>
      <c r="AD20" s="874">
        <v>58845.3</v>
      </c>
      <c r="AE20" s="874">
        <v>69511.45</v>
      </c>
      <c r="AF20" s="874">
        <v>103903.8</v>
      </c>
      <c r="AG20" s="874">
        <v>74193.3</v>
      </c>
      <c r="AH20" s="874">
        <v>66966.3</v>
      </c>
      <c r="AI20" s="874">
        <v>71369.3</v>
      </c>
      <c r="AJ20" s="874">
        <v>88436.800000000003</v>
      </c>
      <c r="AK20" s="874">
        <v>113061.75999999999</v>
      </c>
      <c r="AL20" s="874">
        <v>78788.06</v>
      </c>
      <c r="AM20" s="874">
        <v>71422.2</v>
      </c>
      <c r="AN20" s="874">
        <v>77643.63</v>
      </c>
      <c r="AO20" s="874">
        <v>78073.649999999994</v>
      </c>
      <c r="AP20" s="874">
        <v>80965.59</v>
      </c>
      <c r="AQ20" s="874">
        <v>84513.34</v>
      </c>
      <c r="AR20" s="874">
        <v>70857.17</v>
      </c>
      <c r="AS20" s="874">
        <v>65389.36</v>
      </c>
      <c r="AT20" s="876">
        <v>607653</v>
      </c>
      <c r="AU20" s="876">
        <v>891925.66000000015</v>
      </c>
      <c r="AV20" s="857"/>
      <c r="AW20" s="857"/>
      <c r="AY20" s="857"/>
      <c r="AZ20" s="857"/>
      <c r="BA20" s="857"/>
      <c r="BB20" s="857"/>
      <c r="BC20" s="857"/>
      <c r="BD20" s="857"/>
      <c r="BE20" s="857"/>
      <c r="BF20" s="857"/>
      <c r="BG20" s="857"/>
    </row>
    <row r="21" spans="1:59" ht="14.25" customHeight="1">
      <c r="A21" s="891" t="s">
        <v>2865</v>
      </c>
      <c r="B21" s="874">
        <v>4209.26</v>
      </c>
      <c r="C21" s="874">
        <v>5976.39</v>
      </c>
      <c r="D21" s="874">
        <v>20985.52</v>
      </c>
      <c r="E21" s="874">
        <v>17292.070000000003</v>
      </c>
      <c r="F21" s="874">
        <v>16789.84</v>
      </c>
      <c r="G21" s="874">
        <v>20837.73</v>
      </c>
      <c r="H21" s="874">
        <v>12846.410000000002</v>
      </c>
      <c r="I21" s="874">
        <v>13789.59</v>
      </c>
      <c r="J21" s="874">
        <v>11901.22</v>
      </c>
      <c r="K21" s="874">
        <v>17980.22</v>
      </c>
      <c r="L21" s="874">
        <v>14356.609999999999</v>
      </c>
      <c r="M21" s="874">
        <v>21523.38</v>
      </c>
      <c r="N21" s="874">
        <v>20665.240000000002</v>
      </c>
      <c r="O21" s="874">
        <v>8095.46</v>
      </c>
      <c r="P21" s="874">
        <v>14564.279999999999</v>
      </c>
      <c r="Q21" s="874">
        <v>18472</v>
      </c>
      <c r="R21" s="874">
        <v>25789.83</v>
      </c>
      <c r="S21" s="874">
        <v>17751.239999999998</v>
      </c>
      <c r="T21" s="874">
        <v>29244.410000000003</v>
      </c>
      <c r="U21" s="874">
        <v>13760.17</v>
      </c>
      <c r="V21" s="874">
        <v>29976.100000000002</v>
      </c>
      <c r="W21" s="874">
        <v>25652.269999999997</v>
      </c>
      <c r="X21" s="874">
        <v>20577.699999999997</v>
      </c>
      <c r="Y21" s="874">
        <v>33015.78</v>
      </c>
      <c r="Z21" s="874">
        <v>25330.080000000002</v>
      </c>
      <c r="AA21" s="874">
        <v>25538.530000000002</v>
      </c>
      <c r="AB21" s="874">
        <v>36041.050000000003</v>
      </c>
      <c r="AC21" s="874">
        <v>24107.14</v>
      </c>
      <c r="AD21" s="874">
        <v>44449.41</v>
      </c>
      <c r="AE21" s="874">
        <v>36695.619999999995</v>
      </c>
      <c r="AF21" s="874">
        <v>40107.18</v>
      </c>
      <c r="AG21" s="874">
        <v>27254.809999999998</v>
      </c>
      <c r="AH21" s="874">
        <v>50799.13</v>
      </c>
      <c r="AI21" s="874">
        <v>45464.07</v>
      </c>
      <c r="AJ21" s="874">
        <v>33007.119999999995</v>
      </c>
      <c r="AK21" s="874">
        <v>53186.26</v>
      </c>
      <c r="AL21" s="874">
        <v>61269.04</v>
      </c>
      <c r="AM21" s="874">
        <v>55468.76</v>
      </c>
      <c r="AN21" s="874">
        <v>50052.159999999996</v>
      </c>
      <c r="AO21" s="874">
        <v>40308.410000000011</v>
      </c>
      <c r="AP21" s="874">
        <v>23001.25</v>
      </c>
      <c r="AQ21" s="874">
        <v>49673.43</v>
      </c>
      <c r="AR21" s="874">
        <v>40106.719999999994</v>
      </c>
      <c r="AS21" s="874">
        <v>41056.15</v>
      </c>
      <c r="AT21" s="876">
        <v>360935.92</v>
      </c>
      <c r="AU21" s="876">
        <v>441980.4</v>
      </c>
      <c r="AV21" s="857"/>
      <c r="AW21" s="857"/>
      <c r="AY21" s="857"/>
      <c r="AZ21" s="857"/>
      <c r="BA21" s="857"/>
      <c r="BB21" s="857"/>
      <c r="BC21" s="857"/>
      <c r="BD21" s="857"/>
      <c r="BE21" s="857"/>
      <c r="BF21" s="857"/>
      <c r="BG21" s="857"/>
    </row>
    <row r="22" spans="1:59" ht="14.25" customHeight="1">
      <c r="A22" s="871" t="s">
        <v>2866</v>
      </c>
      <c r="B22" s="874">
        <v>1911.16</v>
      </c>
      <c r="C22" s="874">
        <v>4898.83</v>
      </c>
      <c r="D22" s="874">
        <v>1364.7399999999907</v>
      </c>
      <c r="E22" s="874">
        <v>17802.68</v>
      </c>
      <c r="F22" s="874">
        <v>1334.9199999999998</v>
      </c>
      <c r="G22" s="874">
        <v>9881.0500000000011</v>
      </c>
      <c r="H22" s="874">
        <v>1389.74</v>
      </c>
      <c r="I22" s="874">
        <v>2960.06</v>
      </c>
      <c r="J22" s="874">
        <v>5012.51</v>
      </c>
      <c r="K22" s="874">
        <v>5314.06</v>
      </c>
      <c r="L22" s="874">
        <v>7043.13</v>
      </c>
      <c r="M22" s="874">
        <v>12267.81</v>
      </c>
      <c r="N22" s="874">
        <v>20309.48</v>
      </c>
      <c r="O22" s="874">
        <v>9665.4499999999989</v>
      </c>
      <c r="P22" s="874">
        <v>12444.159999999998</v>
      </c>
      <c r="Q22" s="874">
        <v>4498.2000000000007</v>
      </c>
      <c r="R22" s="874">
        <v>11675.39</v>
      </c>
      <c r="S22" s="874">
        <v>11832.65</v>
      </c>
      <c r="T22" s="874">
        <v>3700.9199999999992</v>
      </c>
      <c r="U22" s="874">
        <v>7423.43</v>
      </c>
      <c r="V22" s="874">
        <v>3082.82</v>
      </c>
      <c r="W22" s="874">
        <v>7344.5499999999993</v>
      </c>
      <c r="X22" s="874">
        <v>6990.99</v>
      </c>
      <c r="Y22" s="874">
        <v>1514.3900000000003</v>
      </c>
      <c r="Z22" s="874">
        <v>12902.260000000002</v>
      </c>
      <c r="AA22" s="874">
        <v>1794.87</v>
      </c>
      <c r="AB22" s="874">
        <v>4687.8900000000003</v>
      </c>
      <c r="AC22" s="874">
        <v>3587.5600000000004</v>
      </c>
      <c r="AD22" s="874">
        <v>3441.46</v>
      </c>
      <c r="AE22" s="874">
        <v>4529.2999999999993</v>
      </c>
      <c r="AF22" s="874">
        <v>9737.83</v>
      </c>
      <c r="AG22" s="874">
        <v>5672.9299999999994</v>
      </c>
      <c r="AH22" s="874">
        <v>3576.23</v>
      </c>
      <c r="AI22" s="874">
        <v>2633.1499999999996</v>
      </c>
      <c r="AJ22" s="874">
        <v>3447.48</v>
      </c>
      <c r="AK22" s="874">
        <v>1726.0200000000002</v>
      </c>
      <c r="AL22" s="874">
        <v>3885.8499999999995</v>
      </c>
      <c r="AM22" s="874">
        <v>2358.98</v>
      </c>
      <c r="AN22" s="874">
        <v>1801.2799999999997</v>
      </c>
      <c r="AO22" s="874">
        <v>801.71999999999957</v>
      </c>
      <c r="AP22" s="874">
        <v>2044.5499999999995</v>
      </c>
      <c r="AQ22" s="874">
        <v>3227.73</v>
      </c>
      <c r="AR22" s="874">
        <v>1847.9499999999998</v>
      </c>
      <c r="AS22" s="874">
        <v>1750.3799999999997</v>
      </c>
      <c r="AT22" s="876">
        <v>17718.439999999999</v>
      </c>
      <c r="AU22" s="876">
        <v>57736.98</v>
      </c>
      <c r="AV22" s="857"/>
      <c r="AW22" s="857"/>
      <c r="AY22" s="857"/>
      <c r="AZ22" s="857"/>
      <c r="BA22" s="857"/>
      <c r="BB22" s="857"/>
      <c r="BC22" s="857"/>
      <c r="BD22" s="857"/>
      <c r="BE22" s="857"/>
      <c r="BF22" s="857"/>
      <c r="BG22" s="857"/>
    </row>
    <row r="23" spans="1:59" ht="14.25" customHeight="1">
      <c r="A23" s="871"/>
      <c r="B23" s="889"/>
      <c r="C23" s="889"/>
      <c r="D23" s="889"/>
      <c r="E23" s="889"/>
      <c r="F23" s="889"/>
      <c r="G23" s="889"/>
      <c r="H23" s="889"/>
      <c r="I23" s="889"/>
      <c r="J23" s="889"/>
      <c r="K23" s="889"/>
      <c r="L23" s="889"/>
      <c r="M23" s="889"/>
      <c r="N23" s="874"/>
      <c r="O23" s="874"/>
      <c r="P23" s="874"/>
      <c r="Q23" s="874"/>
      <c r="R23" s="874"/>
      <c r="S23" s="874"/>
      <c r="T23" s="874"/>
      <c r="U23" s="874"/>
      <c r="V23" s="874"/>
      <c r="W23" s="874"/>
      <c r="X23" s="874"/>
      <c r="Y23" s="889"/>
      <c r="Z23" s="889"/>
      <c r="AA23" s="889"/>
      <c r="AB23" s="889"/>
      <c r="AC23" s="889"/>
      <c r="AD23" s="889"/>
      <c r="AE23" s="889"/>
      <c r="AF23" s="889"/>
      <c r="AG23" s="889"/>
      <c r="AH23" s="889"/>
      <c r="AI23" s="889"/>
      <c r="AJ23" s="889"/>
      <c r="AK23" s="889"/>
      <c r="AL23" s="889"/>
      <c r="AM23" s="889"/>
      <c r="AN23" s="889"/>
      <c r="AO23" s="889"/>
      <c r="AP23" s="889"/>
      <c r="AQ23" s="889"/>
      <c r="AR23" s="889"/>
      <c r="AS23" s="889"/>
      <c r="AT23" s="890"/>
      <c r="AU23" s="890"/>
      <c r="AV23" s="857"/>
      <c r="AW23" s="857"/>
      <c r="AX23" s="857"/>
      <c r="AY23" s="857"/>
      <c r="AZ23" s="857"/>
      <c r="BA23" s="857"/>
      <c r="BB23" s="857"/>
      <c r="BC23" s="857"/>
      <c r="BD23" s="857"/>
      <c r="BE23" s="857"/>
      <c r="BF23" s="857"/>
      <c r="BG23" s="857"/>
    </row>
    <row r="24" spans="1:59" ht="14.25" customHeight="1">
      <c r="A24" s="871" t="s">
        <v>2867</v>
      </c>
      <c r="B24" s="884">
        <v>61348.62</v>
      </c>
      <c r="C24" s="884">
        <v>64185.340000000004</v>
      </c>
      <c r="D24" s="884">
        <v>92123.8</v>
      </c>
      <c r="E24" s="884">
        <v>96600.610000000015</v>
      </c>
      <c r="F24" s="884">
        <v>117634.83999999998</v>
      </c>
      <c r="G24" s="884">
        <v>129918.48</v>
      </c>
      <c r="H24" s="884">
        <v>126393.32</v>
      </c>
      <c r="I24" s="884">
        <v>114137.81</v>
      </c>
      <c r="J24" s="884">
        <v>118955.81</v>
      </c>
      <c r="K24" s="884">
        <v>125617.25</v>
      </c>
      <c r="L24" s="884">
        <v>108181.99</v>
      </c>
      <c r="M24" s="884">
        <v>160810.81999999998</v>
      </c>
      <c r="N24" s="884">
        <v>157953.83000000002</v>
      </c>
      <c r="O24" s="884">
        <v>127848.33</v>
      </c>
      <c r="P24" s="884">
        <v>130969.56000000001</v>
      </c>
      <c r="Q24" s="884">
        <v>133469.27000000002</v>
      </c>
      <c r="R24" s="884">
        <v>184963.65000000002</v>
      </c>
      <c r="S24" s="884">
        <v>144658.96</v>
      </c>
      <c r="T24" s="884">
        <v>172238.95</v>
      </c>
      <c r="U24" s="884">
        <v>156125.41</v>
      </c>
      <c r="V24" s="884">
        <v>171706.28</v>
      </c>
      <c r="W24" s="884">
        <v>164645.50999999998</v>
      </c>
      <c r="X24" s="884">
        <v>180050.3</v>
      </c>
      <c r="Y24" s="884">
        <v>197775.37000000002</v>
      </c>
      <c r="Z24" s="884">
        <v>177352.22000000003</v>
      </c>
      <c r="AA24" s="884">
        <v>194348.29</v>
      </c>
      <c r="AB24" s="884">
        <v>208951.84000000003</v>
      </c>
      <c r="AC24" s="884">
        <v>209578.01</v>
      </c>
      <c r="AD24" s="884">
        <v>227142.84</v>
      </c>
      <c r="AE24" s="884">
        <v>227652.84999999998</v>
      </c>
      <c r="AF24" s="884">
        <v>267481.37</v>
      </c>
      <c r="AG24" s="884">
        <v>263501.59999999998</v>
      </c>
      <c r="AH24" s="884">
        <v>264539.96000000002</v>
      </c>
      <c r="AI24" s="884">
        <v>237438.18</v>
      </c>
      <c r="AJ24" s="884">
        <v>272650.39999999997</v>
      </c>
      <c r="AK24" s="884">
        <v>338940.48000000004</v>
      </c>
      <c r="AL24" s="884">
        <v>289717.14999999997</v>
      </c>
      <c r="AM24" s="884">
        <v>258205.26000000004</v>
      </c>
      <c r="AN24" s="884">
        <v>285044.55000000005</v>
      </c>
      <c r="AO24" s="884">
        <v>279318.46000000002</v>
      </c>
      <c r="AP24" s="884">
        <v>259581.71999999997</v>
      </c>
      <c r="AQ24" s="884">
        <v>289391.00999999995</v>
      </c>
      <c r="AR24" s="884">
        <v>262294.93</v>
      </c>
      <c r="AS24" s="884">
        <v>267568.32</v>
      </c>
      <c r="AT24" s="892">
        <v>2191121.4</v>
      </c>
      <c r="AU24" s="893">
        <v>2889578.04</v>
      </c>
      <c r="AV24" s="857"/>
      <c r="AW24" s="857"/>
      <c r="AX24" s="857"/>
      <c r="AY24" s="857"/>
      <c r="AZ24" s="857"/>
      <c r="BA24" s="857"/>
      <c r="BB24" s="857"/>
      <c r="BC24" s="857"/>
      <c r="BD24" s="857"/>
      <c r="BE24" s="857"/>
      <c r="BF24" s="857"/>
      <c r="BG24" s="857"/>
    </row>
    <row r="25" spans="1:59" ht="14.25" customHeight="1">
      <c r="A25" s="871" t="s">
        <v>2868</v>
      </c>
      <c r="B25" s="884">
        <v>-61213.420000000006</v>
      </c>
      <c r="C25" s="884">
        <v>-63923.86</v>
      </c>
      <c r="D25" s="884">
        <v>-90806.23</v>
      </c>
      <c r="E25" s="884">
        <v>-94530.210000000021</v>
      </c>
      <c r="F25" s="884">
        <v>-115520.30999999998</v>
      </c>
      <c r="G25" s="884">
        <v>-126650.69</v>
      </c>
      <c r="H25" s="884">
        <v>-122054.01000000001</v>
      </c>
      <c r="I25" s="884">
        <v>-104705.63</v>
      </c>
      <c r="J25" s="884">
        <v>-108865.79</v>
      </c>
      <c r="K25" s="884">
        <v>-112776.85</v>
      </c>
      <c r="L25" s="884">
        <v>-90698.140000000014</v>
      </c>
      <c r="M25" s="884">
        <v>-186527.22999999998</v>
      </c>
      <c r="N25" s="884">
        <v>-141626.21000000002</v>
      </c>
      <c r="O25" s="884">
        <v>-112931.14</v>
      </c>
      <c r="P25" s="884">
        <v>-109902.89000000001</v>
      </c>
      <c r="Q25" s="884">
        <v>-113146.11000000002</v>
      </c>
      <c r="R25" s="884">
        <v>-164052.06000000003</v>
      </c>
      <c r="S25" s="884">
        <v>-119736.07999999999</v>
      </c>
      <c r="T25" s="884">
        <v>-146073.87000000002</v>
      </c>
      <c r="U25" s="884">
        <v>-127464.57</v>
      </c>
      <c r="V25" s="884">
        <v>-140243.43</v>
      </c>
      <c r="W25" s="884">
        <v>-133493.74999999997</v>
      </c>
      <c r="X25" s="884">
        <v>-147401.46999999997</v>
      </c>
      <c r="Y25" s="884">
        <v>-178167.96000000002</v>
      </c>
      <c r="Z25" s="884">
        <v>-128143.04000000004</v>
      </c>
      <c r="AA25" s="884">
        <v>-137156.20000000001</v>
      </c>
      <c r="AB25" s="881">
        <v>-146210.90000000002</v>
      </c>
      <c r="AC25" s="881">
        <v>-139473.14000000001</v>
      </c>
      <c r="AD25" s="881">
        <v>-147675.16</v>
      </c>
      <c r="AE25" s="881">
        <v>-145474.05999999997</v>
      </c>
      <c r="AF25" s="881">
        <v>-182180.37</v>
      </c>
      <c r="AG25" s="881">
        <v>-169813.26</v>
      </c>
      <c r="AH25" s="881">
        <v>-152131.73000000004</v>
      </c>
      <c r="AI25" s="881">
        <v>-128463.90999999999</v>
      </c>
      <c r="AJ25" s="881">
        <v>-162902.08999999997</v>
      </c>
      <c r="AK25" s="881">
        <v>-209694.68000000005</v>
      </c>
      <c r="AL25" s="881">
        <v>-155905.94999999995</v>
      </c>
      <c r="AM25" s="881">
        <v>-111936.76000000001</v>
      </c>
      <c r="AN25" s="881">
        <v>-126527.78000000003</v>
      </c>
      <c r="AO25" s="881">
        <v>-111800.87000000005</v>
      </c>
      <c r="AP25" s="881">
        <v>-87792.569999999978</v>
      </c>
      <c r="AQ25" s="881">
        <v>-93692.439999999944</v>
      </c>
      <c r="AR25" s="881">
        <v>-34934.200000000012</v>
      </c>
      <c r="AS25" s="881">
        <v>-32288.429999999993</v>
      </c>
      <c r="AT25" s="894">
        <v>-754878.99999999953</v>
      </c>
      <c r="AU25" s="883">
        <v>-1849318.54</v>
      </c>
      <c r="AV25" s="895"/>
      <c r="AW25" s="857"/>
      <c r="AX25" s="857"/>
      <c r="AY25" s="857"/>
      <c r="AZ25" s="857"/>
      <c r="BA25" s="857"/>
      <c r="BB25" s="857"/>
      <c r="BC25" s="857"/>
      <c r="BD25" s="857"/>
      <c r="BE25" s="857"/>
      <c r="BF25" s="857"/>
      <c r="BG25" s="857"/>
    </row>
    <row r="26" spans="1:59" ht="14.25" customHeight="1">
      <c r="A26" s="871"/>
      <c r="B26" s="885"/>
      <c r="C26" s="885"/>
      <c r="D26" s="885"/>
      <c r="E26" s="885"/>
      <c r="F26" s="885"/>
      <c r="G26" s="885"/>
      <c r="H26" s="885"/>
      <c r="I26" s="885"/>
      <c r="J26" s="885"/>
      <c r="K26" s="885"/>
      <c r="L26" s="885"/>
      <c r="M26" s="885"/>
      <c r="N26" s="884"/>
      <c r="O26" s="884"/>
      <c r="P26" s="884"/>
      <c r="Q26" s="884"/>
      <c r="R26" s="884"/>
      <c r="S26" s="884"/>
      <c r="T26" s="884"/>
      <c r="U26" s="884"/>
      <c r="V26" s="884"/>
      <c r="W26" s="884"/>
      <c r="X26" s="884"/>
      <c r="Y26" s="896"/>
      <c r="Z26" s="896"/>
      <c r="AA26" s="896"/>
      <c r="AB26" s="885"/>
      <c r="AC26" s="885"/>
      <c r="AD26" s="885"/>
      <c r="AE26" s="885"/>
      <c r="AF26" s="885"/>
      <c r="AG26" s="885"/>
      <c r="AH26" s="885"/>
      <c r="AI26" s="885"/>
      <c r="AJ26" s="885"/>
      <c r="AK26" s="885"/>
      <c r="AL26" s="885"/>
      <c r="AM26" s="885"/>
      <c r="AN26" s="885"/>
      <c r="AO26" s="885"/>
      <c r="AP26" s="885"/>
      <c r="AQ26" s="885"/>
      <c r="AR26" s="885"/>
      <c r="AS26" s="885"/>
      <c r="AT26" s="888"/>
      <c r="AU26" s="888"/>
      <c r="AV26" s="857"/>
      <c r="AW26" s="857"/>
      <c r="AX26" s="857"/>
      <c r="AY26" s="857"/>
      <c r="AZ26" s="857"/>
      <c r="BA26" s="857"/>
      <c r="BB26" s="857"/>
      <c r="BC26" s="857"/>
      <c r="BD26" s="857"/>
      <c r="BE26" s="857"/>
      <c r="BF26" s="857"/>
      <c r="BG26" s="857"/>
    </row>
    <row r="27" spans="1:59" ht="14.25" customHeight="1">
      <c r="A27" s="897" t="s">
        <v>2869</v>
      </c>
      <c r="B27" s="874">
        <v>0</v>
      </c>
      <c r="C27" s="874">
        <v>0</v>
      </c>
      <c r="D27" s="874">
        <v>1328805</v>
      </c>
      <c r="E27" s="874">
        <v>825</v>
      </c>
      <c r="F27" s="874">
        <v>0</v>
      </c>
      <c r="G27" s="874">
        <v>0</v>
      </c>
      <c r="H27" s="874">
        <v>0</v>
      </c>
      <c r="I27" s="874">
        <v>0</v>
      </c>
      <c r="J27" s="874">
        <v>0</v>
      </c>
      <c r="K27" s="874">
        <v>0</v>
      </c>
      <c r="L27" s="874">
        <v>0</v>
      </c>
      <c r="M27" s="874">
        <v>9073.51</v>
      </c>
      <c r="N27" s="874">
        <v>1987.3</v>
      </c>
      <c r="O27" s="874">
        <v>4622.5599999999995</v>
      </c>
      <c r="P27" s="874">
        <v>2095.65</v>
      </c>
      <c r="Q27" s="874">
        <v>3220.64</v>
      </c>
      <c r="R27" s="874">
        <v>2070.63</v>
      </c>
      <c r="S27" s="874">
        <v>2070.62</v>
      </c>
      <c r="T27" s="874">
        <v>2445.6099999999997</v>
      </c>
      <c r="U27" s="874">
        <v>2117.1799999999998</v>
      </c>
      <c r="V27" s="874">
        <v>2217.19</v>
      </c>
      <c r="W27" s="874">
        <v>3394.68</v>
      </c>
      <c r="X27" s="874">
        <v>3120.7</v>
      </c>
      <c r="Y27" s="874">
        <v>2234.6799999999998</v>
      </c>
      <c r="Z27" s="874">
        <v>2234.6799999999998</v>
      </c>
      <c r="AA27" s="874">
        <v>4026</v>
      </c>
      <c r="AB27" s="874">
        <v>1257.8899999999999</v>
      </c>
      <c r="AC27" s="874">
        <v>1650.42</v>
      </c>
      <c r="AD27" s="874">
        <v>500.41</v>
      </c>
      <c r="AE27" s="874">
        <v>500.41</v>
      </c>
      <c r="AF27" s="874">
        <v>500.41</v>
      </c>
      <c r="AG27" s="874">
        <v>4419.3</v>
      </c>
      <c r="AH27" s="874">
        <v>4528.6799999999994</v>
      </c>
      <c r="AI27" s="874">
        <v>4644.67</v>
      </c>
      <c r="AJ27" s="874">
        <v>4572.24</v>
      </c>
      <c r="AK27" s="874">
        <v>4850.7299999999996</v>
      </c>
      <c r="AL27" s="874">
        <v>7750.42</v>
      </c>
      <c r="AM27" s="874">
        <v>5345.29</v>
      </c>
      <c r="AN27" s="874">
        <v>4900.42</v>
      </c>
      <c r="AO27" s="874">
        <v>6473.71</v>
      </c>
      <c r="AP27" s="874">
        <v>4900.42</v>
      </c>
      <c r="AQ27" s="874">
        <v>4773.71</v>
      </c>
      <c r="AR27" s="874">
        <v>4900.42</v>
      </c>
      <c r="AS27" s="874">
        <v>5000.42</v>
      </c>
      <c r="AT27" s="876">
        <v>44044.80999999999</v>
      </c>
      <c r="AU27" s="876">
        <v>33685.839999999997</v>
      </c>
      <c r="AV27" s="857"/>
      <c r="AW27" s="857"/>
      <c r="AX27" s="857"/>
      <c r="AY27" s="857"/>
      <c r="AZ27" s="857"/>
      <c r="BA27" s="857"/>
      <c r="BB27" s="857"/>
      <c r="BC27" s="857"/>
      <c r="BD27" s="857"/>
      <c r="BE27" s="857"/>
      <c r="BF27" s="857"/>
      <c r="BG27" s="857"/>
    </row>
    <row r="28" spans="1:59" ht="14.25" customHeight="1">
      <c r="A28" s="871" t="s">
        <v>2870</v>
      </c>
      <c r="B28" s="884">
        <v>-61213.420000000006</v>
      </c>
      <c r="C28" s="884">
        <v>-63923.86</v>
      </c>
      <c r="D28" s="884">
        <v>-1419611.23</v>
      </c>
      <c r="E28" s="884">
        <v>-95355.210000000021</v>
      </c>
      <c r="F28" s="884">
        <v>-115520.30999999998</v>
      </c>
      <c r="G28" s="884">
        <v>-126650.69</v>
      </c>
      <c r="H28" s="884">
        <v>-122054.01000000001</v>
      </c>
      <c r="I28" s="884">
        <v>-104705.63</v>
      </c>
      <c r="J28" s="884">
        <v>-108865.79</v>
      </c>
      <c r="K28" s="884">
        <v>-112776.85</v>
      </c>
      <c r="L28" s="884">
        <v>-90698.140000000014</v>
      </c>
      <c r="M28" s="884">
        <v>-195600.74</v>
      </c>
      <c r="N28" s="884">
        <v>-143613.51</v>
      </c>
      <c r="O28" s="884">
        <v>-117553.7</v>
      </c>
      <c r="P28" s="884">
        <v>-111998.54000000001</v>
      </c>
      <c r="Q28" s="884">
        <v>-116366.75000000001</v>
      </c>
      <c r="R28" s="884">
        <v>-166122.69000000003</v>
      </c>
      <c r="S28" s="884">
        <v>-121806.69999999998</v>
      </c>
      <c r="T28" s="884">
        <v>-148519.48000000001</v>
      </c>
      <c r="U28" s="884">
        <v>-129581.75</v>
      </c>
      <c r="V28" s="884">
        <v>-142460.62</v>
      </c>
      <c r="W28" s="884">
        <v>-136888.42999999996</v>
      </c>
      <c r="X28" s="884">
        <v>-150522.16999999998</v>
      </c>
      <c r="Y28" s="884">
        <v>-180402.64</v>
      </c>
      <c r="Z28" s="884">
        <v>-130377.72000000003</v>
      </c>
      <c r="AA28" s="884">
        <v>-141182.20000000001</v>
      </c>
      <c r="AB28" s="884">
        <v>-147468.79000000004</v>
      </c>
      <c r="AC28" s="884">
        <v>-141123.56000000003</v>
      </c>
      <c r="AD28" s="884">
        <v>-148175.57</v>
      </c>
      <c r="AE28" s="884">
        <v>-145974.46999999997</v>
      </c>
      <c r="AF28" s="884">
        <v>-182680.78</v>
      </c>
      <c r="AG28" s="884">
        <v>-174232.56</v>
      </c>
      <c r="AH28" s="884">
        <v>-156660.41000000003</v>
      </c>
      <c r="AI28" s="884">
        <v>-133108.57999999999</v>
      </c>
      <c r="AJ28" s="884">
        <v>-167474.32999999996</v>
      </c>
      <c r="AK28" s="884">
        <v>-214545.41000000006</v>
      </c>
      <c r="AL28" s="884">
        <v>-163656.36999999997</v>
      </c>
      <c r="AM28" s="884">
        <v>-117282.05</v>
      </c>
      <c r="AN28" s="884">
        <v>-131428.20000000004</v>
      </c>
      <c r="AO28" s="884">
        <v>-118274.58000000006</v>
      </c>
      <c r="AP28" s="884">
        <v>-92692.989999999976</v>
      </c>
      <c r="AQ28" s="884">
        <v>-98466.149999999951</v>
      </c>
      <c r="AR28" s="884">
        <v>-39834.62000000001</v>
      </c>
      <c r="AS28" s="884">
        <v>-37288.849999999991</v>
      </c>
      <c r="AT28" s="894">
        <v>-798923.80999999947</v>
      </c>
      <c r="AU28" s="883">
        <v>-1883004.3800000004</v>
      </c>
      <c r="AV28" s="857"/>
      <c r="AW28" s="857"/>
      <c r="AX28" s="857"/>
      <c r="AY28" s="857"/>
      <c r="AZ28" s="857"/>
      <c r="BA28" s="857"/>
      <c r="BB28" s="857"/>
      <c r="BC28" s="857"/>
      <c r="BD28" s="857"/>
      <c r="BE28" s="857"/>
      <c r="BF28" s="857"/>
      <c r="BG28" s="857"/>
    </row>
    <row r="29" spans="1:59" ht="14.25" customHeight="1">
      <c r="A29" s="871"/>
      <c r="B29" s="885"/>
      <c r="C29" s="885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4"/>
      <c r="O29" s="884"/>
      <c r="P29" s="884"/>
      <c r="Q29" s="884"/>
      <c r="R29" s="884"/>
      <c r="S29" s="884"/>
      <c r="T29" s="884"/>
      <c r="U29" s="884"/>
      <c r="V29" s="884"/>
      <c r="W29" s="884"/>
      <c r="X29" s="884"/>
      <c r="Y29" s="896"/>
      <c r="Z29" s="896"/>
      <c r="AA29" s="896"/>
      <c r="AB29" s="896"/>
      <c r="AC29" s="896"/>
      <c r="AD29" s="896"/>
      <c r="AE29" s="896"/>
      <c r="AF29" s="896"/>
      <c r="AG29" s="896"/>
      <c r="AH29" s="896"/>
      <c r="AI29" s="896"/>
      <c r="AJ29" s="896"/>
      <c r="AK29" s="896"/>
      <c r="AL29" s="896"/>
      <c r="AM29" s="896"/>
      <c r="AN29" s="896"/>
      <c r="AO29" s="885"/>
      <c r="AP29" s="885"/>
      <c r="AQ29" s="885"/>
      <c r="AR29" s="885"/>
      <c r="AS29" s="885"/>
      <c r="AT29" s="888"/>
      <c r="AU29" s="888"/>
      <c r="AV29" s="857"/>
      <c r="AW29" s="857"/>
      <c r="AX29" s="857"/>
      <c r="AY29" s="857"/>
      <c r="AZ29" s="857"/>
      <c r="BA29" s="857"/>
      <c r="BB29" s="857"/>
      <c r="BC29" s="857"/>
      <c r="BD29" s="857"/>
      <c r="BE29" s="857"/>
      <c r="BF29" s="857"/>
      <c r="BG29" s="857"/>
    </row>
    <row r="30" spans="1:59" ht="14.25" customHeight="1">
      <c r="A30" s="871" t="s">
        <v>103</v>
      </c>
      <c r="B30" s="874">
        <v>2365.48</v>
      </c>
      <c r="C30" s="874">
        <v>2140.12</v>
      </c>
      <c r="D30" s="874">
        <v>5771.04</v>
      </c>
      <c r="E30" s="874">
        <v>12188.38</v>
      </c>
      <c r="F30" s="874">
        <v>14108.62</v>
      </c>
      <c r="G30" s="874">
        <v>16084.31</v>
      </c>
      <c r="H30" s="874">
        <v>19328.48</v>
      </c>
      <c r="I30" s="874">
        <v>16211.08</v>
      </c>
      <c r="J30" s="874">
        <v>15571.01</v>
      </c>
      <c r="K30" s="874">
        <v>15509.79</v>
      </c>
      <c r="L30" s="874">
        <v>19737.400000000001</v>
      </c>
      <c r="M30" s="874">
        <v>20697.509999999998</v>
      </c>
      <c r="N30" s="874">
        <v>15584.310000000001</v>
      </c>
      <c r="O30" s="874">
        <v>13807.27</v>
      </c>
      <c r="P30" s="874">
        <v>14226.519999999999</v>
      </c>
      <c r="Q30" s="874">
        <v>16360.45</v>
      </c>
      <c r="R30" s="874">
        <v>14867.77</v>
      </c>
      <c r="S30" s="874">
        <v>15766.29</v>
      </c>
      <c r="T30" s="874">
        <v>18103.7</v>
      </c>
      <c r="U30" s="874">
        <v>16947.05</v>
      </c>
      <c r="V30" s="874">
        <v>16719.07</v>
      </c>
      <c r="W30" s="874">
        <v>14915.060000000001</v>
      </c>
      <c r="X30" s="874">
        <v>13378.36</v>
      </c>
      <c r="Y30" s="874">
        <v>12654.88</v>
      </c>
      <c r="Z30" s="874">
        <v>3081.79</v>
      </c>
      <c r="AA30" s="874">
        <v>3207.4599999999996</v>
      </c>
      <c r="AB30" s="874">
        <v>2974.96</v>
      </c>
      <c r="AC30" s="874">
        <v>3453.99</v>
      </c>
      <c r="AD30" s="874">
        <v>6922.2100000000009</v>
      </c>
      <c r="AE30" s="874">
        <v>1679.2</v>
      </c>
      <c r="AF30" s="874">
        <v>474.32</v>
      </c>
      <c r="AG30" s="874">
        <v>2553.27</v>
      </c>
      <c r="AH30" s="874">
        <v>3044.56</v>
      </c>
      <c r="AI30" s="874">
        <v>4350.84</v>
      </c>
      <c r="AJ30" s="874">
        <v>4519.59</v>
      </c>
      <c r="AK30" s="874">
        <v>2068.2099999999996</v>
      </c>
      <c r="AL30" s="874">
        <v>3681.4900000000002</v>
      </c>
      <c r="AM30" s="874">
        <v>3137.7799999999997</v>
      </c>
      <c r="AN30" s="874">
        <v>4206.68</v>
      </c>
      <c r="AO30" s="874">
        <v>3375.3</v>
      </c>
      <c r="AP30" s="874">
        <v>2978.9800000000005</v>
      </c>
      <c r="AQ30" s="874">
        <v>3873.66</v>
      </c>
      <c r="AR30" s="874">
        <v>2623.04</v>
      </c>
      <c r="AS30" s="874">
        <v>3725.1</v>
      </c>
      <c r="AT30" s="876">
        <v>27602.03</v>
      </c>
      <c r="AU30" s="876">
        <v>38330.400000000001</v>
      </c>
      <c r="AV30" s="857"/>
      <c r="AW30" s="857"/>
      <c r="AX30" s="857"/>
      <c r="AY30" s="857"/>
      <c r="AZ30" s="857"/>
      <c r="BA30" s="857"/>
      <c r="BB30" s="857"/>
      <c r="BC30" s="857"/>
      <c r="BD30" s="857"/>
      <c r="BE30" s="857"/>
      <c r="BF30" s="857"/>
      <c r="BG30" s="857"/>
    </row>
    <row r="31" spans="1:59" ht="14.25" customHeight="1">
      <c r="A31" s="891" t="s">
        <v>107</v>
      </c>
      <c r="B31" s="874"/>
      <c r="C31" s="874"/>
      <c r="D31" s="874"/>
      <c r="E31" s="874"/>
      <c r="F31" s="874"/>
      <c r="G31" s="874"/>
      <c r="H31" s="874"/>
      <c r="I31" s="874"/>
      <c r="J31" s="874"/>
      <c r="K31" s="874"/>
      <c r="L31" s="874"/>
      <c r="M31" s="874">
        <v>0</v>
      </c>
      <c r="N31" s="874">
        <v>0</v>
      </c>
      <c r="O31" s="874">
        <v>0</v>
      </c>
      <c r="P31" s="874">
        <v>0</v>
      </c>
      <c r="Q31" s="874">
        <v>0</v>
      </c>
      <c r="R31" s="874">
        <v>0</v>
      </c>
      <c r="S31" s="874">
        <v>34.58</v>
      </c>
      <c r="T31" s="874">
        <v>0</v>
      </c>
      <c r="U31" s="874">
        <v>41.32</v>
      </c>
      <c r="V31" s="874">
        <v>0</v>
      </c>
      <c r="W31" s="874">
        <v>0</v>
      </c>
      <c r="X31" s="874">
        <v>0</v>
      </c>
      <c r="Y31" s="874">
        <v>0</v>
      </c>
      <c r="Z31" s="874">
        <v>0</v>
      </c>
      <c r="AA31" s="874">
        <v>0</v>
      </c>
      <c r="AB31" s="874">
        <v>0</v>
      </c>
      <c r="AC31" s="874">
        <v>0</v>
      </c>
      <c r="AD31" s="874">
        <v>0</v>
      </c>
      <c r="AE31" s="874">
        <v>0</v>
      </c>
      <c r="AF31" s="874">
        <v>0</v>
      </c>
      <c r="AG31" s="874">
        <v>0</v>
      </c>
      <c r="AH31" s="874">
        <v>0</v>
      </c>
      <c r="AI31" s="874">
        <v>0</v>
      </c>
      <c r="AJ31" s="874">
        <v>0</v>
      </c>
      <c r="AK31" s="874">
        <v>0</v>
      </c>
      <c r="AL31" s="874">
        <v>0</v>
      </c>
      <c r="AM31" s="874">
        <v>0</v>
      </c>
      <c r="AN31" s="874">
        <v>0</v>
      </c>
      <c r="AO31" s="874">
        <v>0</v>
      </c>
      <c r="AP31" s="874">
        <v>0</v>
      </c>
      <c r="AQ31" s="874">
        <v>0</v>
      </c>
      <c r="AR31" s="874">
        <v>0</v>
      </c>
      <c r="AS31" s="874">
        <v>0</v>
      </c>
      <c r="AT31" s="876">
        <v>0</v>
      </c>
      <c r="AU31" s="876">
        <v>0</v>
      </c>
      <c r="AV31" s="857"/>
      <c r="AW31" s="857"/>
      <c r="AX31" s="857"/>
      <c r="AY31" s="857"/>
      <c r="AZ31" s="857"/>
      <c r="BA31" s="857"/>
      <c r="BB31" s="857"/>
      <c r="BC31" s="857"/>
      <c r="BD31" s="857"/>
      <c r="BE31" s="857"/>
      <c r="BF31" s="857"/>
      <c r="BG31" s="857"/>
    </row>
    <row r="32" spans="1:59" ht="14.25" customHeight="1">
      <c r="A32" s="871" t="s">
        <v>2871</v>
      </c>
      <c r="B32" s="884">
        <v>-58847.94</v>
      </c>
      <c r="C32" s="884">
        <v>-61783.74</v>
      </c>
      <c r="D32" s="884">
        <v>-1413840.19</v>
      </c>
      <c r="E32" s="884">
        <v>-83166.830000000016</v>
      </c>
      <c r="F32" s="884">
        <v>-101411.68999999999</v>
      </c>
      <c r="G32" s="884">
        <v>-110566.38</v>
      </c>
      <c r="H32" s="884">
        <v>-102725.53000000001</v>
      </c>
      <c r="I32" s="884">
        <v>-88494.55</v>
      </c>
      <c r="J32" s="884">
        <v>-93294.78</v>
      </c>
      <c r="K32" s="884">
        <v>-97267.06</v>
      </c>
      <c r="L32" s="884">
        <v>-70960.74000000002</v>
      </c>
      <c r="M32" s="884">
        <v>-174903.22999999998</v>
      </c>
      <c r="N32" s="884">
        <v>-128029.20000000001</v>
      </c>
      <c r="O32" s="884">
        <v>-103746.43</v>
      </c>
      <c r="P32" s="884">
        <v>-97772.02</v>
      </c>
      <c r="Q32" s="884">
        <v>-100006.30000000002</v>
      </c>
      <c r="R32" s="884">
        <v>-151254.92000000004</v>
      </c>
      <c r="S32" s="884">
        <v>-106074.98999999998</v>
      </c>
      <c r="T32" s="884">
        <v>-130415.78000000001</v>
      </c>
      <c r="U32" s="884">
        <v>-112676.02</v>
      </c>
      <c r="V32" s="884">
        <v>-125741.54999999999</v>
      </c>
      <c r="W32" s="884">
        <v>-121973.36999999997</v>
      </c>
      <c r="X32" s="884">
        <v>-137143.81</v>
      </c>
      <c r="Y32" s="884">
        <v>-167747.76</v>
      </c>
      <c r="Z32" s="881">
        <v>-127295.93000000004</v>
      </c>
      <c r="AA32" s="881">
        <v>-137974.74000000002</v>
      </c>
      <c r="AB32" s="881">
        <v>-144493.83000000005</v>
      </c>
      <c r="AC32" s="881">
        <v>-137669.57000000004</v>
      </c>
      <c r="AD32" s="881">
        <v>-141253.36000000002</v>
      </c>
      <c r="AE32" s="881">
        <v>-144295.26999999996</v>
      </c>
      <c r="AF32" s="881">
        <v>-182206.46</v>
      </c>
      <c r="AG32" s="881">
        <v>-171679.29</v>
      </c>
      <c r="AH32" s="881">
        <v>-153615.85000000003</v>
      </c>
      <c r="AI32" s="881">
        <v>-128757.73999999999</v>
      </c>
      <c r="AJ32" s="881">
        <v>-162954.73999999996</v>
      </c>
      <c r="AK32" s="881">
        <v>-212477.20000000007</v>
      </c>
      <c r="AL32" s="881">
        <v>-159974.87999999998</v>
      </c>
      <c r="AM32" s="881">
        <v>-114144.27</v>
      </c>
      <c r="AN32" s="881">
        <v>-127221.52000000005</v>
      </c>
      <c r="AO32" s="881">
        <v>-114899.28000000006</v>
      </c>
      <c r="AP32" s="881">
        <v>-89714.00999999998</v>
      </c>
      <c r="AQ32" s="881">
        <v>-94592.489999999947</v>
      </c>
      <c r="AR32" s="881">
        <v>-37211.580000000009</v>
      </c>
      <c r="AS32" s="881">
        <v>-33563.749999999993</v>
      </c>
      <c r="AT32" s="894">
        <v>-771321.77999999945</v>
      </c>
      <c r="AU32" s="883">
        <v>-1844673.9800000004</v>
      </c>
      <c r="AV32" s="857"/>
      <c r="AW32" s="857"/>
      <c r="AX32" s="857"/>
      <c r="AY32" s="857"/>
      <c r="AZ32" s="857"/>
      <c r="BA32" s="857"/>
      <c r="BB32" s="857"/>
      <c r="BC32" s="857"/>
      <c r="BD32" s="857"/>
      <c r="BE32" s="857"/>
      <c r="BF32" s="857"/>
      <c r="BG32" s="857"/>
    </row>
    <row r="33" spans="1:59" ht="14.25" customHeight="1">
      <c r="A33" s="871"/>
      <c r="B33" s="872"/>
      <c r="C33" s="872"/>
      <c r="D33" s="872"/>
      <c r="E33" s="872"/>
      <c r="F33" s="872"/>
      <c r="G33" s="872"/>
      <c r="H33" s="872"/>
      <c r="I33" s="872"/>
      <c r="J33" s="872"/>
      <c r="K33" s="872"/>
      <c r="L33" s="872"/>
      <c r="M33" s="872"/>
      <c r="N33" s="884"/>
      <c r="O33" s="884"/>
      <c r="P33" s="884"/>
      <c r="Q33" s="884"/>
      <c r="R33" s="884"/>
      <c r="S33" s="884"/>
      <c r="T33" s="884"/>
      <c r="U33" s="884"/>
      <c r="V33" s="884"/>
      <c r="W33" s="884"/>
      <c r="X33" s="884"/>
      <c r="Y33" s="898"/>
      <c r="Z33" s="872"/>
      <c r="AA33" s="872"/>
      <c r="AB33" s="872"/>
      <c r="AC33" s="872"/>
      <c r="AD33" s="872"/>
      <c r="AE33" s="872"/>
      <c r="AF33" s="872"/>
      <c r="AG33" s="872"/>
      <c r="AH33" s="872"/>
      <c r="AI33" s="872"/>
      <c r="AJ33" s="872"/>
      <c r="AK33" s="872"/>
      <c r="AL33" s="872"/>
      <c r="AM33" s="872"/>
      <c r="AN33" s="872"/>
      <c r="AO33" s="872"/>
      <c r="AP33" s="872"/>
      <c r="AQ33" s="872"/>
      <c r="AR33" s="872"/>
      <c r="AS33" s="872"/>
      <c r="AT33" s="873"/>
      <c r="AU33" s="873"/>
      <c r="AV33" s="857"/>
      <c r="AW33" s="857"/>
      <c r="AX33" s="857"/>
      <c r="AY33" s="857"/>
      <c r="AZ33" s="857"/>
      <c r="BA33" s="857"/>
      <c r="BB33" s="857"/>
      <c r="BC33" s="857"/>
      <c r="BD33" s="857"/>
      <c r="BE33" s="857"/>
      <c r="BF33" s="857"/>
      <c r="BG33" s="857"/>
    </row>
    <row r="34" spans="1:59">
      <c r="A34" s="857"/>
      <c r="B34" s="857"/>
      <c r="C34" s="857"/>
      <c r="D34" s="857"/>
      <c r="E34" s="857"/>
      <c r="F34" s="857"/>
      <c r="G34" s="857"/>
      <c r="H34" s="857"/>
      <c r="I34" s="857"/>
      <c r="J34" s="857"/>
      <c r="K34" s="857"/>
      <c r="L34" s="857"/>
      <c r="M34" s="857"/>
      <c r="N34" s="857"/>
      <c r="O34" s="857"/>
      <c r="P34" s="857"/>
      <c r="Q34" s="857"/>
      <c r="R34" s="857"/>
      <c r="S34" s="857"/>
      <c r="T34" s="857"/>
      <c r="U34" s="857"/>
      <c r="V34" s="857"/>
      <c r="W34" s="857"/>
      <c r="X34" s="857"/>
      <c r="Y34" s="857"/>
      <c r="Z34" s="857"/>
      <c r="AA34" s="857"/>
      <c r="AB34" s="857"/>
      <c r="AC34" s="857"/>
      <c r="AD34" s="857"/>
      <c r="AE34" s="857"/>
      <c r="AF34" s="857"/>
      <c r="AG34" s="857"/>
      <c r="AH34" s="857"/>
      <c r="AI34" s="857"/>
      <c r="AJ34" s="857"/>
      <c r="AK34" s="857"/>
      <c r="AL34" s="857"/>
      <c r="AM34" s="857"/>
      <c r="AN34" s="857"/>
      <c r="AO34" s="857"/>
      <c r="AP34" s="857"/>
      <c r="AQ34" s="857"/>
      <c r="AR34" s="857"/>
      <c r="AS34" s="857"/>
      <c r="AT34" s="855"/>
      <c r="AU34" s="856"/>
      <c r="AV34" s="857"/>
      <c r="AW34" s="857"/>
      <c r="AX34" s="857"/>
      <c r="AY34" s="857"/>
      <c r="AZ34" s="857"/>
      <c r="BA34" s="857"/>
      <c r="BB34" s="857"/>
      <c r="BC34" s="857"/>
      <c r="BD34" s="857"/>
      <c r="BE34" s="857"/>
      <c r="BF34" s="857"/>
      <c r="BG34" s="857"/>
    </row>
    <row r="35" spans="1:59" ht="14.25" customHeight="1" outlineLevel="1">
      <c r="A35" s="871" t="s">
        <v>2872</v>
      </c>
      <c r="B35" s="899">
        <v>0</v>
      </c>
      <c r="C35" s="899">
        <v>0</v>
      </c>
      <c r="D35" s="899">
        <v>0</v>
      </c>
      <c r="E35" s="899">
        <v>0</v>
      </c>
      <c r="F35" s="899">
        <v>0</v>
      </c>
      <c r="G35" s="899">
        <v>0</v>
      </c>
      <c r="H35" s="899">
        <v>0</v>
      </c>
      <c r="I35" s="899">
        <v>0</v>
      </c>
      <c r="J35" s="899">
        <v>0</v>
      </c>
      <c r="K35" s="899">
        <v>0</v>
      </c>
      <c r="L35" s="899">
        <v>0</v>
      </c>
      <c r="M35" s="899">
        <v>0</v>
      </c>
      <c r="N35" s="899">
        <v>0</v>
      </c>
      <c r="O35" s="899">
        <v>0</v>
      </c>
      <c r="P35" s="899">
        <v>0</v>
      </c>
      <c r="Q35" s="899">
        <v>-670.6600000000326</v>
      </c>
      <c r="R35" s="899">
        <v>-4.9999999999708962</v>
      </c>
      <c r="S35" s="899">
        <v>0</v>
      </c>
      <c r="T35" s="899">
        <v>0</v>
      </c>
      <c r="U35" s="899">
        <v>0</v>
      </c>
      <c r="V35" s="899">
        <v>0</v>
      </c>
      <c r="W35" s="899">
        <v>0</v>
      </c>
      <c r="X35" s="899">
        <v>0</v>
      </c>
      <c r="Y35" s="899">
        <v>0</v>
      </c>
      <c r="Z35" s="899">
        <v>0</v>
      </c>
      <c r="AA35" s="899">
        <v>0</v>
      </c>
      <c r="AB35" s="899">
        <v>0</v>
      </c>
      <c r="AC35" s="899">
        <v>0</v>
      </c>
      <c r="AD35" s="899">
        <v>0</v>
      </c>
      <c r="AE35" s="899">
        <v>0</v>
      </c>
      <c r="AF35" s="899">
        <v>0</v>
      </c>
      <c r="AG35" s="899">
        <v>0</v>
      </c>
      <c r="AH35" s="899">
        <v>0</v>
      </c>
      <c r="AI35" s="899">
        <v>0</v>
      </c>
      <c r="AJ35" s="899">
        <v>0</v>
      </c>
      <c r="AK35" s="899">
        <v>0</v>
      </c>
      <c r="AL35" s="899">
        <v>0</v>
      </c>
      <c r="AM35" s="899">
        <v>0</v>
      </c>
      <c r="AN35" s="899">
        <v>0</v>
      </c>
      <c r="AO35" s="899">
        <v>0</v>
      </c>
      <c r="AP35" s="899">
        <v>0</v>
      </c>
      <c r="AQ35" s="899">
        <v>0</v>
      </c>
      <c r="AR35" s="899">
        <v>5.8207660913467407E-11</v>
      </c>
      <c r="AS35" s="899">
        <v>-5.8207660913467407E-11</v>
      </c>
      <c r="AT35" s="855"/>
      <c r="AU35" s="856"/>
      <c r="AV35" s="857"/>
      <c r="AW35" s="857"/>
      <c r="AX35" s="857"/>
      <c r="AY35" s="857"/>
      <c r="AZ35" s="857"/>
      <c r="BA35" s="857"/>
      <c r="BB35" s="857"/>
      <c r="BC35" s="857"/>
      <c r="BD35" s="857"/>
      <c r="BE35" s="857"/>
      <c r="BF35" s="857"/>
      <c r="BG35" s="857"/>
    </row>
    <row r="36" spans="1:59" ht="14.25" customHeight="1">
      <c r="A36" s="857"/>
      <c r="B36" s="857"/>
      <c r="C36" s="857"/>
      <c r="D36" s="857"/>
      <c r="E36" s="857"/>
      <c r="F36" s="857"/>
      <c r="G36" s="857"/>
      <c r="H36" s="857"/>
      <c r="I36" s="857"/>
      <c r="J36" s="857"/>
      <c r="K36" s="857"/>
      <c r="L36" s="857"/>
      <c r="M36" s="857"/>
      <c r="N36" s="857"/>
      <c r="O36" s="857"/>
      <c r="P36" s="857"/>
      <c r="Q36" s="857"/>
      <c r="R36" s="857"/>
      <c r="S36" s="857"/>
      <c r="T36" s="857"/>
      <c r="U36" s="857"/>
      <c r="V36" s="857"/>
      <c r="W36" s="857"/>
      <c r="X36" s="857"/>
      <c r="Y36" s="857"/>
      <c r="Z36" s="857"/>
      <c r="AA36" s="857"/>
      <c r="AB36" s="857"/>
      <c r="AC36" s="857"/>
      <c r="AD36" s="857"/>
      <c r="AE36" s="857"/>
      <c r="AF36" s="857"/>
      <c r="AG36" s="857"/>
      <c r="AH36" s="857"/>
      <c r="AI36" s="857"/>
      <c r="AJ36" s="857"/>
      <c r="AK36" s="857"/>
      <c r="AL36" s="857"/>
      <c r="AM36" s="857"/>
      <c r="AN36" s="857"/>
      <c r="AO36" s="857"/>
      <c r="AP36" s="857"/>
      <c r="AQ36" s="857"/>
      <c r="AR36" s="857"/>
      <c r="AS36" s="857"/>
      <c r="AT36" s="855"/>
      <c r="AU36" s="856"/>
      <c r="AV36" s="857"/>
      <c r="AW36" s="857"/>
      <c r="AX36" s="857"/>
      <c r="AY36" s="857"/>
      <c r="AZ36" s="857"/>
      <c r="BA36" s="857"/>
      <c r="BB36" s="857"/>
      <c r="BC36" s="857"/>
      <c r="BD36" s="857"/>
      <c r="BE36" s="857"/>
      <c r="BF36" s="857"/>
      <c r="BG36" s="857"/>
    </row>
    <row r="37" spans="1:59" ht="14.25" customHeight="1">
      <c r="A37" s="900" t="s">
        <v>2873</v>
      </c>
      <c r="B37" s="857"/>
      <c r="C37" s="857"/>
      <c r="D37" s="857"/>
      <c r="E37" s="857"/>
      <c r="F37" s="857"/>
      <c r="G37" s="857"/>
      <c r="H37" s="857"/>
      <c r="I37" s="857"/>
      <c r="J37" s="857"/>
      <c r="K37" s="857"/>
      <c r="L37" s="857"/>
      <c r="M37" s="857"/>
      <c r="N37" s="901">
        <v>4394800.4000000004</v>
      </c>
      <c r="O37" s="901">
        <v>4349809.7700000005</v>
      </c>
      <c r="P37" s="901">
        <v>4168717.04</v>
      </c>
      <c r="Q37" s="901">
        <v>4061391.3500000006</v>
      </c>
      <c r="R37" s="901">
        <v>3855622.64</v>
      </c>
      <c r="S37" s="901">
        <v>3723790.97</v>
      </c>
      <c r="T37" s="901">
        <v>3666813.6799999997</v>
      </c>
      <c r="U37" s="901">
        <v>3504737.59</v>
      </c>
      <c r="V37" s="901">
        <v>3434416.95</v>
      </c>
      <c r="W37" s="901">
        <v>3356034.5999999996</v>
      </c>
      <c r="X37" s="901">
        <v>3207939.7699999996</v>
      </c>
      <c r="Y37" s="901">
        <v>3058500.4699999997</v>
      </c>
      <c r="Z37" s="901">
        <v>2939136.81</v>
      </c>
      <c r="AA37" s="901">
        <v>2857255.9999999995</v>
      </c>
      <c r="AB37" s="901">
        <v>2609063.4999999995</v>
      </c>
      <c r="AC37" s="901">
        <v>2630200.52</v>
      </c>
      <c r="AD37" s="901">
        <v>2985816.0399999996</v>
      </c>
      <c r="AE37" s="901">
        <v>2843294.91</v>
      </c>
      <c r="AF37" s="901">
        <v>3305383.4800000004</v>
      </c>
      <c r="AG37" s="901">
        <v>3417313.97</v>
      </c>
      <c r="AH37" s="901">
        <v>3548725.76</v>
      </c>
      <c r="AI37" s="901">
        <v>3273845.24</v>
      </c>
      <c r="AJ37" s="901">
        <v>3233279.2699999996</v>
      </c>
      <c r="AK37" s="901">
        <v>3061884.45</v>
      </c>
      <c r="AL37" s="901">
        <v>2801240.4000000004</v>
      </c>
      <c r="AM37" s="901">
        <v>2691873.58</v>
      </c>
      <c r="AN37" s="901">
        <v>2639816.0900000003</v>
      </c>
      <c r="AO37" s="901">
        <v>2534741.64</v>
      </c>
      <c r="AP37" s="901">
        <v>2264014.59</v>
      </c>
      <c r="AQ37" s="901">
        <v>2707565.7900000005</v>
      </c>
      <c r="AR37" s="901">
        <v>2687899.91</v>
      </c>
      <c r="AS37" s="901">
        <v>2521756.4</v>
      </c>
      <c r="AT37" s="902"/>
      <c r="AU37" s="856"/>
      <c r="AV37" s="857"/>
      <c r="AW37" s="857"/>
      <c r="AX37" s="857"/>
      <c r="AY37" s="857"/>
      <c r="AZ37" s="857"/>
      <c r="BA37" s="857"/>
      <c r="BB37" s="857"/>
      <c r="BC37" s="857"/>
      <c r="BD37" s="857"/>
      <c r="BE37" s="857"/>
      <c r="BF37" s="857"/>
      <c r="BG37" s="857"/>
    </row>
    <row r="38" spans="1:59" ht="14.25" customHeight="1">
      <c r="A38" s="900" t="s">
        <v>2874</v>
      </c>
      <c r="B38" s="857"/>
      <c r="C38" s="857"/>
      <c r="D38" s="857"/>
      <c r="E38" s="857"/>
      <c r="F38" s="857"/>
      <c r="G38" s="857"/>
      <c r="H38" s="857"/>
      <c r="I38" s="857"/>
      <c r="J38" s="857"/>
      <c r="K38" s="857"/>
      <c r="L38" s="857"/>
      <c r="M38" s="857"/>
      <c r="N38" s="901">
        <v>4354800.4000000004</v>
      </c>
      <c r="O38" s="901">
        <v>4309809.7700000005</v>
      </c>
      <c r="P38" s="901">
        <v>4128717.04</v>
      </c>
      <c r="Q38" s="901">
        <v>4021391.3500000006</v>
      </c>
      <c r="R38" s="901">
        <v>3815622.64</v>
      </c>
      <c r="S38" s="901">
        <v>3683790.97</v>
      </c>
      <c r="T38" s="901">
        <v>3626813.6799999997</v>
      </c>
      <c r="U38" s="901">
        <v>3464737.59</v>
      </c>
      <c r="V38" s="901">
        <v>3394416.95</v>
      </c>
      <c r="W38" s="901">
        <v>3316034.5999999996</v>
      </c>
      <c r="X38" s="901">
        <v>3167939.7699999996</v>
      </c>
      <c r="Y38" s="901">
        <v>3018500.4699999997</v>
      </c>
      <c r="Z38" s="901">
        <v>2899136.81</v>
      </c>
      <c r="AA38" s="901">
        <v>2817255.9999999995</v>
      </c>
      <c r="AB38" s="901">
        <v>2569063.4999999995</v>
      </c>
      <c r="AC38" s="901">
        <v>2590200.52</v>
      </c>
      <c r="AD38" s="901">
        <v>2945816.0399999996</v>
      </c>
      <c r="AE38" s="901">
        <v>2803294.91</v>
      </c>
      <c r="AF38" s="901">
        <v>3265383.4800000004</v>
      </c>
      <c r="AG38" s="901">
        <v>2877313.97</v>
      </c>
      <c r="AH38" s="901">
        <v>3008725.76</v>
      </c>
      <c r="AI38" s="901">
        <v>2733845.24</v>
      </c>
      <c r="AJ38" s="901">
        <v>2693279.2699999996</v>
      </c>
      <c r="AK38" s="901">
        <v>2521884.4500000002</v>
      </c>
      <c r="AL38" s="901">
        <v>2261240.4000000004</v>
      </c>
      <c r="AM38" s="901">
        <v>2151873.58</v>
      </c>
      <c r="AN38" s="901">
        <v>2099816.0900000003</v>
      </c>
      <c r="AO38" s="901">
        <v>1994741.6400000001</v>
      </c>
      <c r="AP38" s="901">
        <v>1724014.5899999999</v>
      </c>
      <c r="AQ38" s="901">
        <v>2167565.7900000005</v>
      </c>
      <c r="AR38" s="901">
        <v>2147899.91</v>
      </c>
      <c r="AS38" s="901">
        <v>1981756.4</v>
      </c>
      <c r="AT38" s="902"/>
      <c r="AU38" s="856"/>
      <c r="AV38" s="857"/>
      <c r="AW38" s="857"/>
      <c r="AX38" s="857"/>
      <c r="AY38" s="857"/>
      <c r="AZ38" s="857"/>
      <c r="BA38" s="857"/>
      <c r="BB38" s="857"/>
      <c r="BC38" s="857"/>
      <c r="BD38" s="857"/>
      <c r="BE38" s="857"/>
      <c r="BF38" s="857"/>
      <c r="BG38" s="857"/>
    </row>
    <row r="39" spans="1:59" ht="14.25" customHeight="1">
      <c r="A39" s="903" t="s">
        <v>2875</v>
      </c>
      <c r="B39" s="857"/>
      <c r="C39" s="857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901">
        <v>142600.6</v>
      </c>
      <c r="O39" s="901">
        <v>44990.950000000012</v>
      </c>
      <c r="P39" s="901">
        <v>181092.49</v>
      </c>
      <c r="Q39" s="901">
        <v>107325.01999999999</v>
      </c>
      <c r="R39" s="901">
        <v>205768.41999999998</v>
      </c>
      <c r="S39" s="901">
        <v>131832.02000000002</v>
      </c>
      <c r="T39" s="901">
        <v>56977.289999999994</v>
      </c>
      <c r="U39" s="901">
        <v>162075.79</v>
      </c>
      <c r="V39" s="901">
        <v>70320.639999999999</v>
      </c>
      <c r="W39" s="901">
        <v>78382.350000000006</v>
      </c>
      <c r="X39" s="901">
        <v>148094.84</v>
      </c>
      <c r="Y39" s="901">
        <v>149439.31</v>
      </c>
      <c r="Z39" s="901">
        <v>119363.66</v>
      </c>
      <c r="AA39" s="901">
        <v>81880.81</v>
      </c>
      <c r="AB39" s="901">
        <v>248192.49999999994</v>
      </c>
      <c r="AC39" s="901">
        <v>78862.98000000001</v>
      </c>
      <c r="AD39" s="901">
        <v>394384.47999999992</v>
      </c>
      <c r="AE39" s="901">
        <v>142521.12999999998</v>
      </c>
      <c r="AF39" s="901">
        <v>77911.430000000022</v>
      </c>
      <c r="AG39" s="901">
        <v>388069.50999999995</v>
      </c>
      <c r="AH39" s="901">
        <v>-131411.78999999995</v>
      </c>
      <c r="AI39" s="901">
        <v>274880.52</v>
      </c>
      <c r="AJ39" s="901">
        <v>40565.97000000003</v>
      </c>
      <c r="AK39" s="901">
        <v>171394.82</v>
      </c>
      <c r="AL39" s="901">
        <v>260644.05000000002</v>
      </c>
      <c r="AM39" s="901">
        <v>110519.45000000001</v>
      </c>
      <c r="AN39" s="901">
        <v>52057.490000000005</v>
      </c>
      <c r="AO39" s="901">
        <v>105074.45</v>
      </c>
      <c r="AP39" s="901">
        <v>270727.04999999987</v>
      </c>
      <c r="AQ39" s="901">
        <v>3399.9300000000185</v>
      </c>
      <c r="AR39" s="901">
        <v>19665.879999999997</v>
      </c>
      <c r="AS39" s="901">
        <v>166143.51000000004</v>
      </c>
      <c r="AT39" s="902"/>
      <c r="AU39" s="856"/>
      <c r="AV39" s="857"/>
      <c r="AW39" s="857"/>
      <c r="AX39" s="857"/>
      <c r="AY39" s="857"/>
      <c r="AZ39" s="857"/>
      <c r="BA39" s="857"/>
      <c r="BB39" s="857"/>
      <c r="BC39" s="857"/>
      <c r="BD39" s="857"/>
      <c r="BE39" s="857"/>
      <c r="BF39" s="857"/>
      <c r="BG39" s="857"/>
    </row>
    <row r="40" spans="1:59" ht="14.25" customHeight="1">
      <c r="A40" s="904" t="s">
        <v>2876</v>
      </c>
      <c r="B40" s="857"/>
      <c r="C40" s="857"/>
      <c r="D40" s="857"/>
      <c r="E40" s="857"/>
      <c r="F40" s="857"/>
      <c r="G40" s="857"/>
      <c r="H40" s="857"/>
      <c r="I40" s="857"/>
      <c r="J40" s="857"/>
      <c r="K40" s="857"/>
      <c r="L40" s="857"/>
      <c r="M40" s="857"/>
      <c r="N40" s="905">
        <v>142600.6</v>
      </c>
      <c r="O40" s="905">
        <v>93795.775000000009</v>
      </c>
      <c r="P40" s="905">
        <v>122894.68000000001</v>
      </c>
      <c r="Q40" s="905">
        <v>111136.15333333332</v>
      </c>
      <c r="R40" s="905">
        <v>164728.64333333334</v>
      </c>
      <c r="S40" s="905">
        <v>148308.48666666666</v>
      </c>
      <c r="T40" s="905">
        <v>131525.91</v>
      </c>
      <c r="U40" s="905">
        <v>116961.7</v>
      </c>
      <c r="V40" s="905">
        <v>96457.906666666677</v>
      </c>
      <c r="W40" s="905">
        <v>103592.92666666668</v>
      </c>
      <c r="X40" s="905">
        <v>98932.609999999986</v>
      </c>
      <c r="Y40" s="905">
        <v>125305.5</v>
      </c>
      <c r="Z40" s="905">
        <v>138965.93666666668</v>
      </c>
      <c r="AA40" s="905">
        <v>116894.59333333332</v>
      </c>
      <c r="AB40" s="905">
        <v>149812.32333333333</v>
      </c>
      <c r="AC40" s="905">
        <v>136312.09666666665</v>
      </c>
      <c r="AD40" s="905">
        <v>240479.98666666666</v>
      </c>
      <c r="AE40" s="905">
        <v>205256.19666666666</v>
      </c>
      <c r="AF40" s="905">
        <v>204939.01333333331</v>
      </c>
      <c r="AG40" s="905">
        <v>202834.02333333332</v>
      </c>
      <c r="AH40" s="905">
        <v>111523.05</v>
      </c>
      <c r="AI40" s="905">
        <v>177179.41333333333</v>
      </c>
      <c r="AJ40" s="905">
        <v>61344.900000000031</v>
      </c>
      <c r="AK40" s="905">
        <v>162280.43666666668</v>
      </c>
      <c r="AL40" s="905">
        <v>157534.94666666668</v>
      </c>
      <c r="AM40" s="905">
        <v>180852.77333333335</v>
      </c>
      <c r="AN40" s="905">
        <v>141073.66333333333</v>
      </c>
      <c r="AO40" s="905">
        <v>89217.13</v>
      </c>
      <c r="AP40" s="905">
        <v>142619.6633333333</v>
      </c>
      <c r="AQ40" s="905">
        <v>126400.47666666663</v>
      </c>
      <c r="AR40" s="905">
        <v>97930.953333333295</v>
      </c>
      <c r="AS40" s="905">
        <v>63069.773333333353</v>
      </c>
      <c r="AT40" s="902"/>
      <c r="AU40" s="856"/>
      <c r="AV40" s="857"/>
      <c r="AW40" s="857"/>
      <c r="AX40" s="857"/>
      <c r="AY40" s="857"/>
      <c r="AZ40" s="857"/>
      <c r="BA40" s="857"/>
      <c r="BB40" s="857"/>
      <c r="BC40" s="857"/>
      <c r="BD40" s="857"/>
      <c r="BE40" s="857"/>
      <c r="BF40" s="857"/>
      <c r="BG40" s="857"/>
    </row>
    <row r="41" spans="1:59" ht="14.25" customHeight="1">
      <c r="A41" s="906" t="s">
        <v>2877</v>
      </c>
      <c r="B41" s="857"/>
      <c r="C41" s="857"/>
      <c r="D41" s="857"/>
      <c r="E41" s="857"/>
      <c r="F41" s="857"/>
      <c r="G41" s="857"/>
      <c r="H41" s="857"/>
      <c r="I41" s="857"/>
      <c r="J41" s="857"/>
      <c r="K41" s="857"/>
      <c r="L41" s="857"/>
      <c r="M41" s="857"/>
      <c r="N41" s="907">
        <v>30.538443737263378</v>
      </c>
      <c r="O41" s="907">
        <v>45.948868912272438</v>
      </c>
      <c r="P41" s="907">
        <v>33.595571752983936</v>
      </c>
      <c r="Q41" s="907">
        <v>36.184366917384168</v>
      </c>
      <c r="R41" s="907">
        <v>23.163079369742476</v>
      </c>
      <c r="S41" s="907">
        <v>24.838706488048583</v>
      </c>
      <c r="T41" s="907">
        <v>27.574898968575848</v>
      </c>
      <c r="U41" s="907">
        <v>29.622838843826653</v>
      </c>
      <c r="V41" s="907">
        <v>35.1906553573697</v>
      </c>
      <c r="W41" s="907">
        <v>32.010241497183294</v>
      </c>
      <c r="X41" s="907">
        <v>32.021188665698801</v>
      </c>
      <c r="Y41" s="907">
        <v>24.08912992645973</v>
      </c>
      <c r="Z41" s="907">
        <v>20.862211845152171</v>
      </c>
      <c r="AA41" s="907">
        <v>24.10082382481448</v>
      </c>
      <c r="AB41" s="907">
        <v>17.148545879525663</v>
      </c>
      <c r="AC41" s="907">
        <v>19.001985761645173</v>
      </c>
      <c r="AD41" s="907">
        <v>12.249734711118579</v>
      </c>
      <c r="AE41" s="907">
        <v>13.657540944074462</v>
      </c>
      <c r="AF41" s="907">
        <v>15.933440036079681</v>
      </c>
      <c r="AG41" s="907">
        <v>14.18555882644738</v>
      </c>
      <c r="AH41" s="907">
        <v>26.978510361759295</v>
      </c>
      <c r="AI41" s="907">
        <v>15.429813140066839</v>
      </c>
      <c r="AJ41" s="907">
        <v>43.903882311324956</v>
      </c>
      <c r="AK41" s="907">
        <v>15.540286320402844</v>
      </c>
      <c r="AL41" s="907">
        <v>14.353897010449577</v>
      </c>
      <c r="AM41" s="907">
        <v>11.898482618421555</v>
      </c>
      <c r="AN41" s="907">
        <v>14.884536492389003</v>
      </c>
      <c r="AO41" s="907">
        <v>22.358280747206283</v>
      </c>
      <c r="AP41" s="907">
        <v>12.088197024912345</v>
      </c>
      <c r="AQ41" s="907">
        <v>17.148398860204729</v>
      </c>
      <c r="AR41" s="907">
        <v>21.932798945488337</v>
      </c>
      <c r="AS41" s="907">
        <v>31.421650899649119</v>
      </c>
      <c r="AT41" s="855"/>
      <c r="AU41" s="856"/>
      <c r="AV41" s="857"/>
      <c r="AW41" s="857"/>
      <c r="AX41" s="857"/>
      <c r="AY41" s="857"/>
      <c r="AZ41" s="857"/>
      <c r="BA41" s="857"/>
      <c r="BB41" s="857"/>
      <c r="BC41" s="857"/>
      <c r="BD41" s="857"/>
      <c r="BE41" s="857"/>
      <c r="BF41" s="857"/>
      <c r="BG41" s="857"/>
    </row>
    <row r="42" spans="1:59" ht="7.35" customHeight="1">
      <c r="A42" s="900"/>
      <c r="B42" s="857"/>
      <c r="C42" s="857"/>
      <c r="D42" s="857"/>
      <c r="E42" s="857"/>
      <c r="F42" s="857"/>
      <c r="G42" s="857"/>
      <c r="H42" s="857"/>
      <c r="I42" s="857"/>
      <c r="J42" s="857"/>
      <c r="K42" s="857"/>
      <c r="L42" s="857"/>
      <c r="M42" s="857"/>
      <c r="N42" s="907"/>
      <c r="O42" s="907"/>
      <c r="P42" s="907"/>
      <c r="Q42" s="907"/>
      <c r="R42" s="907"/>
      <c r="S42" s="907"/>
      <c r="T42" s="907"/>
      <c r="U42" s="907"/>
      <c r="V42" s="907"/>
      <c r="W42" s="907"/>
      <c r="X42" s="907"/>
      <c r="Y42" s="907"/>
      <c r="Z42" s="907"/>
      <c r="AA42" s="907"/>
      <c r="AB42" s="907"/>
      <c r="AC42" s="907"/>
      <c r="AD42" s="907"/>
      <c r="AE42" s="907"/>
      <c r="AF42" s="907"/>
      <c r="AG42" s="907"/>
      <c r="AH42" s="907"/>
      <c r="AI42" s="907"/>
      <c r="AJ42" s="907"/>
      <c r="AK42" s="907"/>
      <c r="AL42" s="907"/>
      <c r="AM42" s="907"/>
      <c r="AN42" s="907"/>
      <c r="AO42" s="907"/>
      <c r="AP42" s="907"/>
      <c r="AQ42" s="907"/>
      <c r="AR42" s="907"/>
      <c r="AS42" s="907"/>
      <c r="AT42" s="855"/>
      <c r="AU42" s="856"/>
      <c r="AV42" s="857"/>
      <c r="AW42" s="857"/>
      <c r="AX42" s="857"/>
      <c r="AY42" s="857"/>
      <c r="AZ42" s="857"/>
      <c r="BA42" s="857"/>
      <c r="BB42" s="857"/>
      <c r="BC42" s="857"/>
      <c r="BD42" s="857"/>
      <c r="BE42" s="857"/>
      <c r="BF42" s="857"/>
      <c r="BG42" s="857"/>
    </row>
    <row r="43" spans="1:59" ht="14.25" customHeight="1">
      <c r="A43" s="900" t="s">
        <v>2878</v>
      </c>
      <c r="B43" s="857"/>
      <c r="C43" s="857"/>
      <c r="D43" s="857"/>
      <c r="E43" s="857"/>
      <c r="F43" s="857"/>
      <c r="G43" s="857"/>
      <c r="H43" s="857"/>
      <c r="I43" s="857"/>
      <c r="J43" s="857"/>
      <c r="K43" s="857"/>
      <c r="L43" s="857"/>
      <c r="M43" s="857"/>
      <c r="N43" s="901">
        <v>4847670.5100000007</v>
      </c>
      <c r="O43" s="901">
        <v>4744076.3000000007</v>
      </c>
      <c r="P43" s="901">
        <v>4646456.5600000005</v>
      </c>
      <c r="Q43" s="901">
        <v>4546602.9700000016</v>
      </c>
      <c r="R43" s="901">
        <v>4395501.42</v>
      </c>
      <c r="S43" s="901">
        <v>4289579.4499999993</v>
      </c>
      <c r="T43" s="901">
        <v>4157639.9699999997</v>
      </c>
      <c r="U43" s="901">
        <v>4045163.13</v>
      </c>
      <c r="V43" s="901">
        <v>3912791.2900000005</v>
      </c>
      <c r="W43" s="901">
        <v>3791134.8099999991</v>
      </c>
      <c r="X43" s="901">
        <v>3654307.58</v>
      </c>
      <c r="Y43" s="901">
        <v>3486876.4</v>
      </c>
      <c r="Z43" s="901">
        <v>3354809.5599999996</v>
      </c>
      <c r="AA43" s="901">
        <v>3217292.7200000007</v>
      </c>
      <c r="AB43" s="901">
        <v>3071726.2099999995</v>
      </c>
      <c r="AC43" s="901">
        <v>3034557.0600000005</v>
      </c>
      <c r="AD43" s="901">
        <v>3643804.1099999989</v>
      </c>
      <c r="AE43" s="901">
        <v>3504545.25</v>
      </c>
      <c r="AF43" s="901">
        <v>3857927.24</v>
      </c>
      <c r="AG43" s="901">
        <v>3683493.88</v>
      </c>
      <c r="AH43" s="901">
        <v>3530500.14</v>
      </c>
      <c r="AI43" s="901">
        <v>3399057.8400000003</v>
      </c>
      <c r="AJ43" s="901">
        <v>3233147.26</v>
      </c>
      <c r="AK43" s="901">
        <v>3016112.41</v>
      </c>
      <c r="AL43" s="901">
        <v>2857583.040000001</v>
      </c>
      <c r="AM43" s="901">
        <v>2745563.74</v>
      </c>
      <c r="AN43" s="901">
        <v>2619314.56</v>
      </c>
      <c r="AO43" s="901">
        <v>2505387.6199999996</v>
      </c>
      <c r="AP43" s="901">
        <v>2416645.9499999997</v>
      </c>
      <c r="AQ43" s="901">
        <v>2323025.8000000003</v>
      </c>
      <c r="AR43" s="901">
        <v>2286786.5599999996</v>
      </c>
      <c r="AS43" s="901">
        <v>2254195.1499999994</v>
      </c>
      <c r="AT43" s="902"/>
      <c r="AU43" s="856"/>
      <c r="AV43" s="857"/>
      <c r="AW43" s="857"/>
      <c r="AX43" s="857"/>
      <c r="AY43" s="857"/>
      <c r="AZ43" s="857"/>
      <c r="BA43" s="857"/>
      <c r="BB43" s="857"/>
      <c r="BC43" s="857"/>
      <c r="BD43" s="857"/>
      <c r="BE43" s="857"/>
      <c r="BF43" s="857"/>
      <c r="BG43" s="857"/>
    </row>
    <row r="44" spans="1:59" ht="14.25" customHeight="1">
      <c r="A44" s="903" t="s">
        <v>2879</v>
      </c>
      <c r="B44" s="857"/>
      <c r="C44" s="857"/>
      <c r="D44" s="857"/>
      <c r="E44" s="857"/>
      <c r="F44" s="857"/>
      <c r="G44" s="857"/>
      <c r="H44" s="857"/>
      <c r="I44" s="857"/>
      <c r="J44" s="857"/>
      <c r="K44" s="857"/>
      <c r="L44" s="857"/>
      <c r="M44" s="857"/>
      <c r="N44" s="907"/>
      <c r="O44" s="907"/>
      <c r="P44" s="907"/>
      <c r="Q44" s="907"/>
      <c r="R44" s="907"/>
      <c r="S44" s="907"/>
      <c r="T44" s="907"/>
      <c r="U44" s="907"/>
      <c r="V44" s="907"/>
      <c r="W44" s="907"/>
      <c r="X44" s="907"/>
      <c r="Y44" s="907">
        <v>-167431.18000000017</v>
      </c>
      <c r="Z44" s="907">
        <v>-132066.84000000032</v>
      </c>
      <c r="AA44" s="907">
        <v>-137516.83999999892</v>
      </c>
      <c r="AB44" s="907">
        <v>-145566.51000000117</v>
      </c>
      <c r="AC44" s="907">
        <v>-37169.149999998976</v>
      </c>
      <c r="AD44" s="907">
        <v>609247.04999999842</v>
      </c>
      <c r="AE44" s="907">
        <v>-139258.85999999894</v>
      </c>
      <c r="AF44" s="907">
        <v>353381.99000000022</v>
      </c>
      <c r="AG44" s="907">
        <v>-174433.36000000034</v>
      </c>
      <c r="AH44" s="907">
        <v>-152993.73999999976</v>
      </c>
      <c r="AI44" s="907">
        <v>-131442.29999999981</v>
      </c>
      <c r="AJ44" s="907">
        <v>-165910.58000000054</v>
      </c>
      <c r="AK44" s="907">
        <v>-217034.84999999963</v>
      </c>
      <c r="AL44" s="907">
        <v>-158529.36999999918</v>
      </c>
      <c r="AM44" s="907">
        <v>-112019.30000000075</v>
      </c>
      <c r="AN44" s="907">
        <v>-126249.18000000017</v>
      </c>
      <c r="AO44" s="907">
        <v>-113926.94000000041</v>
      </c>
      <c r="AP44" s="907">
        <v>-88741.669999999925</v>
      </c>
      <c r="AQ44" s="907">
        <v>-93620.149999999441</v>
      </c>
      <c r="AR44" s="907">
        <v>-36239.240000000689</v>
      </c>
      <c r="AS44" s="907">
        <v>-32591.410000000149</v>
      </c>
      <c r="AT44" s="855"/>
      <c r="AU44" s="856"/>
      <c r="AV44" s="857"/>
      <c r="AW44" s="857"/>
      <c r="AX44" s="857"/>
      <c r="AY44" s="857"/>
      <c r="AZ44" s="857"/>
      <c r="BA44" s="857"/>
      <c r="BB44" s="857"/>
      <c r="BC44" s="857"/>
      <c r="BD44" s="857"/>
      <c r="BE44" s="857"/>
      <c r="BF44" s="857"/>
      <c r="BG44" s="857"/>
    </row>
    <row r="45" spans="1:59" ht="14.25" customHeight="1">
      <c r="A45" s="904" t="s">
        <v>2880</v>
      </c>
      <c r="B45" s="857"/>
      <c r="C45" s="857"/>
      <c r="D45" s="857"/>
      <c r="E45" s="857"/>
      <c r="F45" s="857"/>
      <c r="G45" s="857"/>
      <c r="H45" s="857"/>
      <c r="I45" s="857"/>
      <c r="J45" s="857"/>
      <c r="K45" s="857"/>
      <c r="L45" s="857"/>
      <c r="M45" s="857"/>
      <c r="N45" s="907"/>
      <c r="O45" s="907"/>
      <c r="P45" s="907"/>
      <c r="Q45" s="907"/>
      <c r="R45" s="907"/>
      <c r="S45" s="907"/>
      <c r="T45" s="907"/>
      <c r="U45" s="907"/>
      <c r="V45" s="907"/>
      <c r="W45" s="907"/>
      <c r="X45" s="907"/>
      <c r="Y45" s="907">
        <v>-167431.18000000017</v>
      </c>
      <c r="Z45" s="907">
        <v>-149749.01000000024</v>
      </c>
      <c r="AA45" s="907">
        <v>-145671.61999999979</v>
      </c>
      <c r="AB45" s="907">
        <v>-138383.39666666681</v>
      </c>
      <c r="AC45" s="907">
        <v>-106750.83333333302</v>
      </c>
      <c r="AD45" s="907">
        <v>142170.46333333277</v>
      </c>
      <c r="AE45" s="907">
        <v>144273.01333333351</v>
      </c>
      <c r="AF45" s="907">
        <v>274456.72666666657</v>
      </c>
      <c r="AG45" s="907">
        <v>13229.923333333651</v>
      </c>
      <c r="AH45" s="907">
        <v>8651.6300000000429</v>
      </c>
      <c r="AI45" s="907">
        <v>-152956.46666666665</v>
      </c>
      <c r="AJ45" s="907">
        <v>-150115.54000000004</v>
      </c>
      <c r="AK45" s="907">
        <v>-171462.57666666666</v>
      </c>
      <c r="AL45" s="907">
        <v>-180491.59999999977</v>
      </c>
      <c r="AM45" s="907">
        <v>-162527.83999999985</v>
      </c>
      <c r="AN45" s="907">
        <v>-132265.95000000004</v>
      </c>
      <c r="AO45" s="907">
        <v>-117398.47333333378</v>
      </c>
      <c r="AP45" s="907">
        <v>-109639.2633333335</v>
      </c>
      <c r="AQ45" s="907">
        <v>-98762.919999999925</v>
      </c>
      <c r="AR45" s="907">
        <v>-72867.020000000019</v>
      </c>
      <c r="AS45" s="907">
        <v>-54150.266666666757</v>
      </c>
      <c r="AT45" s="855"/>
      <c r="AU45" s="856"/>
      <c r="AV45" s="857"/>
      <c r="AW45" s="857"/>
      <c r="AX45" s="857"/>
      <c r="AY45" s="857"/>
      <c r="AZ45" s="857"/>
      <c r="BA45" s="857"/>
      <c r="BB45" s="857"/>
      <c r="BC45" s="857"/>
      <c r="BD45" s="857"/>
      <c r="BE45" s="857"/>
      <c r="BF45" s="857"/>
      <c r="BG45" s="857"/>
    </row>
    <row r="46" spans="1:59" ht="14.25" customHeight="1">
      <c r="A46" s="908" t="s">
        <v>2881</v>
      </c>
      <c r="B46" s="857"/>
      <c r="C46" s="857"/>
      <c r="D46" s="857"/>
      <c r="E46" s="857"/>
      <c r="F46" s="857"/>
      <c r="G46" s="857"/>
      <c r="H46" s="857"/>
      <c r="I46" s="857"/>
      <c r="J46" s="857"/>
      <c r="K46" s="857"/>
      <c r="L46" s="857"/>
      <c r="M46" s="857"/>
      <c r="N46" s="907"/>
      <c r="O46" s="907"/>
      <c r="P46" s="907"/>
      <c r="Q46" s="907"/>
      <c r="R46" s="907"/>
      <c r="S46" s="907"/>
      <c r="T46" s="907"/>
      <c r="U46" s="907"/>
      <c r="V46" s="907"/>
      <c r="W46" s="907"/>
      <c r="X46" s="907"/>
      <c r="Y46" s="907">
        <v>20.825729114493466</v>
      </c>
      <c r="Z46" s="907">
        <v>22.402883064135075</v>
      </c>
      <c r="AA46" s="907">
        <v>22.085926689083333</v>
      </c>
      <c r="AB46" s="907">
        <v>22.197216457976303</v>
      </c>
      <c r="AC46" s="907">
        <v>28.426542119109229</v>
      </c>
      <c r="AD46" s="907">
        <v>-25.629825102677891</v>
      </c>
      <c r="AE46" s="907">
        <v>-24.291065730380037</v>
      </c>
      <c r="AF46" s="907">
        <v>-14.056595685794699</v>
      </c>
      <c r="AG46" s="907">
        <v>-278.42140783380034</v>
      </c>
      <c r="AH46" s="907">
        <v>-408.07340813233839</v>
      </c>
      <c r="AI46" s="907">
        <v>22.222387284922469</v>
      </c>
      <c r="AJ46" s="907">
        <v>21.537725274811649</v>
      </c>
      <c r="AK46" s="907">
        <v>17.590499738397728</v>
      </c>
      <c r="AL46" s="907">
        <v>15.832221776525914</v>
      </c>
      <c r="AM46" s="907">
        <v>16.892882720892633</v>
      </c>
      <c r="AN46" s="907">
        <v>19.80339278552038</v>
      </c>
      <c r="AO46" s="907">
        <v>21.340887567475949</v>
      </c>
      <c r="AP46" s="907">
        <v>22.041793026762061</v>
      </c>
      <c r="AQ46" s="907">
        <v>23.521234487599212</v>
      </c>
      <c r="AR46" s="907">
        <v>31.383011957947492</v>
      </c>
      <c r="AS46" s="907">
        <v>41.628514294789483</v>
      </c>
      <c r="AT46" s="855"/>
      <c r="AU46" s="856"/>
      <c r="AV46" s="857"/>
      <c r="AW46" s="857"/>
      <c r="AX46" s="857"/>
      <c r="AY46" s="857"/>
      <c r="AZ46" s="857"/>
      <c r="BA46" s="857"/>
      <c r="BB46" s="857"/>
      <c r="BC46" s="857"/>
      <c r="BD46" s="857"/>
      <c r="BE46" s="857"/>
      <c r="BF46" s="857"/>
      <c r="BG46" s="857"/>
    </row>
    <row r="47" spans="1:59" ht="7.35" customHeight="1">
      <c r="A47" s="900"/>
      <c r="B47" s="857"/>
      <c r="C47" s="857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907"/>
      <c r="O47" s="907"/>
      <c r="P47" s="907"/>
      <c r="Q47" s="907"/>
      <c r="R47" s="907"/>
      <c r="S47" s="907"/>
      <c r="T47" s="907"/>
      <c r="U47" s="907"/>
      <c r="V47" s="907"/>
      <c r="W47" s="907"/>
      <c r="X47" s="907"/>
      <c r="Y47" s="907"/>
      <c r="Z47" s="907"/>
      <c r="AA47" s="907"/>
      <c r="AB47" s="907"/>
      <c r="AC47" s="907"/>
      <c r="AD47" s="907"/>
      <c r="AE47" s="907"/>
      <c r="AF47" s="907"/>
      <c r="AG47" s="907"/>
      <c r="AH47" s="907"/>
      <c r="AI47" s="907"/>
      <c r="AJ47" s="907"/>
      <c r="AK47" s="907"/>
      <c r="AL47" s="907"/>
      <c r="AM47" s="907"/>
      <c r="AN47" s="907"/>
      <c r="AO47" s="907"/>
      <c r="AP47" s="907"/>
      <c r="AQ47" s="907"/>
      <c r="AR47" s="907"/>
      <c r="AS47" s="907"/>
      <c r="AT47" s="855"/>
      <c r="AU47" s="856"/>
      <c r="AV47" s="857"/>
      <c r="AW47" s="857"/>
      <c r="AX47" s="857"/>
      <c r="AY47" s="857"/>
      <c r="AZ47" s="857"/>
      <c r="BA47" s="857"/>
      <c r="BB47" s="857"/>
      <c r="BC47" s="857"/>
      <c r="BD47" s="857"/>
      <c r="BE47" s="857"/>
      <c r="BF47" s="857"/>
      <c r="BG47" s="857"/>
    </row>
    <row r="48" spans="1:59" ht="14.25" customHeight="1">
      <c r="A48" s="900" t="s">
        <v>2882</v>
      </c>
      <c r="B48" s="857"/>
      <c r="C48" s="857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907">
        <v>4</v>
      </c>
      <c r="O48" s="907">
        <v>4</v>
      </c>
      <c r="P48" s="907">
        <v>4</v>
      </c>
      <c r="Q48" s="907">
        <v>4</v>
      </c>
      <c r="R48" s="907">
        <v>4</v>
      </c>
      <c r="S48" s="907">
        <v>5</v>
      </c>
      <c r="T48" s="907">
        <v>4</v>
      </c>
      <c r="U48" s="907">
        <v>5</v>
      </c>
      <c r="V48" s="907">
        <v>5</v>
      </c>
      <c r="W48" s="907">
        <v>5</v>
      </c>
      <c r="X48" s="907">
        <v>5</v>
      </c>
      <c r="Y48" s="907">
        <v>12</v>
      </c>
      <c r="Z48" s="907">
        <v>14</v>
      </c>
      <c r="AA48" s="907">
        <v>14</v>
      </c>
      <c r="AB48" s="907">
        <v>14</v>
      </c>
      <c r="AC48" s="907">
        <v>15</v>
      </c>
      <c r="AD48" s="907">
        <v>15</v>
      </c>
      <c r="AE48" s="907">
        <v>15</v>
      </c>
      <c r="AF48" s="907">
        <v>17</v>
      </c>
      <c r="AG48" s="907">
        <v>17</v>
      </c>
      <c r="AH48" s="907">
        <v>15</v>
      </c>
      <c r="AI48" s="907">
        <v>16</v>
      </c>
      <c r="AJ48" s="907">
        <v>17</v>
      </c>
      <c r="AK48" s="907">
        <v>17</v>
      </c>
      <c r="AL48" s="907">
        <v>16</v>
      </c>
      <c r="AM48" s="907">
        <v>16</v>
      </c>
      <c r="AN48" s="907">
        <v>17</v>
      </c>
      <c r="AO48" s="907">
        <v>17</v>
      </c>
      <c r="AP48" s="907">
        <v>17</v>
      </c>
      <c r="AQ48" s="907">
        <v>16</v>
      </c>
      <c r="AR48" s="907">
        <v>16</v>
      </c>
      <c r="AS48" s="907">
        <v>17</v>
      </c>
      <c r="AT48" s="855"/>
      <c r="AU48" s="856"/>
      <c r="AV48" s="857"/>
      <c r="AW48" s="857"/>
      <c r="AX48" s="857"/>
      <c r="AY48" s="857"/>
      <c r="AZ48" s="857"/>
      <c r="BA48" s="857"/>
      <c r="BB48" s="857"/>
      <c r="BC48" s="857"/>
      <c r="BD48" s="857"/>
      <c r="BE48" s="857"/>
      <c r="BF48" s="857"/>
      <c r="BG48" s="857"/>
    </row>
    <row r="49" spans="1:59" ht="14.25" customHeight="1">
      <c r="A49" s="900"/>
      <c r="B49" s="857"/>
      <c r="C49" s="857"/>
      <c r="D49" s="857"/>
      <c r="E49" s="857"/>
      <c r="F49" s="857"/>
      <c r="G49" s="857"/>
      <c r="H49" s="857"/>
      <c r="I49" s="857"/>
      <c r="J49" s="857"/>
      <c r="K49" s="857"/>
      <c r="L49" s="857"/>
      <c r="M49" s="857"/>
      <c r="N49" s="907"/>
      <c r="O49" s="907"/>
      <c r="P49" s="907"/>
      <c r="Q49" s="907"/>
      <c r="R49" s="907"/>
      <c r="S49" s="907"/>
      <c r="T49" s="907"/>
      <c r="U49" s="907"/>
      <c r="V49" s="907"/>
      <c r="W49" s="907"/>
      <c r="X49" s="907"/>
      <c r="Y49" s="907"/>
      <c r="Z49" s="907"/>
      <c r="AA49" s="907"/>
      <c r="AB49" s="907"/>
      <c r="AC49" s="907"/>
      <c r="AD49" s="907"/>
      <c r="AE49" s="907"/>
      <c r="AF49" s="907"/>
      <c r="AG49" s="907"/>
      <c r="AH49" s="907"/>
      <c r="AI49" s="907"/>
      <c r="AJ49" s="907"/>
      <c r="AK49" s="907"/>
      <c r="AL49" s="907"/>
      <c r="AM49" s="907"/>
      <c r="AN49" s="907"/>
      <c r="AO49" s="907"/>
      <c r="AP49" s="907"/>
      <c r="AQ49" s="907"/>
      <c r="AR49" s="907"/>
      <c r="AS49" s="907"/>
      <c r="AT49" s="855"/>
      <c r="AU49" s="856"/>
      <c r="AV49" s="857"/>
      <c r="AW49" s="857"/>
      <c r="AX49" s="857"/>
      <c r="AY49" s="857"/>
      <c r="AZ49" s="857"/>
      <c r="BA49" s="857"/>
      <c r="BB49" s="857"/>
      <c r="BC49" s="857"/>
      <c r="BD49" s="857"/>
      <c r="BE49" s="857"/>
      <c r="BF49" s="857"/>
      <c r="BG49" s="857"/>
    </row>
    <row r="50" spans="1:59" ht="14.25" customHeight="1">
      <c r="A50" s="909" t="s">
        <v>2883</v>
      </c>
      <c r="B50" s="910"/>
      <c r="C50" s="910"/>
      <c r="D50" s="910"/>
      <c r="E50" s="910"/>
      <c r="F50" s="910"/>
      <c r="G50" s="910"/>
      <c r="H50" s="910"/>
      <c r="I50" s="910"/>
      <c r="J50" s="910"/>
      <c r="K50" s="910"/>
      <c r="L50" s="910"/>
      <c r="M50" s="910"/>
      <c r="N50" s="910"/>
      <c r="O50" s="910"/>
      <c r="P50" s="910"/>
      <c r="Q50" s="910"/>
      <c r="R50" s="910"/>
      <c r="S50" s="910"/>
      <c r="T50" s="910"/>
      <c r="U50" s="910"/>
      <c r="V50" s="910"/>
      <c r="W50" s="910"/>
      <c r="X50" s="910"/>
      <c r="Y50" s="910"/>
      <c r="Z50" s="910"/>
      <c r="AA50" s="910"/>
      <c r="AB50" s="910"/>
      <c r="AC50" s="910"/>
      <c r="AD50" s="910"/>
      <c r="AE50" s="910"/>
      <c r="AF50" s="910"/>
      <c r="AG50" s="910"/>
      <c r="AH50" s="910"/>
      <c r="AI50" s="910"/>
      <c r="AJ50" s="910"/>
      <c r="AK50" s="910"/>
      <c r="AL50" s="910"/>
      <c r="AM50" s="910"/>
      <c r="AN50" s="910"/>
      <c r="AO50" s="910"/>
      <c r="AP50" s="910"/>
      <c r="AQ50" s="910"/>
      <c r="AR50" s="910"/>
      <c r="AS50" s="910"/>
      <c r="AT50" s="910"/>
      <c r="AU50" s="910"/>
      <c r="AV50" s="910"/>
      <c r="AW50" s="910"/>
      <c r="AX50" s="911"/>
      <c r="AY50" s="857"/>
      <c r="AZ50" s="857"/>
      <c r="BA50" s="857"/>
      <c r="BB50" s="857"/>
      <c r="BC50" s="857"/>
      <c r="BD50" s="857"/>
      <c r="BE50" s="857"/>
      <c r="BF50" s="857"/>
      <c r="BG50" s="857"/>
    </row>
    <row r="51" spans="1:59" ht="14.25" customHeight="1">
      <c r="A51" s="912" t="s">
        <v>2884</v>
      </c>
      <c r="B51" s="913"/>
      <c r="C51" s="913"/>
      <c r="D51" s="913"/>
      <c r="E51" s="913"/>
      <c r="F51" s="913"/>
      <c r="G51" s="913"/>
      <c r="H51" s="913"/>
      <c r="I51" s="913"/>
      <c r="J51" s="913"/>
      <c r="K51" s="913"/>
      <c r="L51" s="913"/>
      <c r="M51" s="913"/>
      <c r="N51" s="913"/>
      <c r="O51" s="913"/>
      <c r="P51" s="913"/>
      <c r="Q51" s="913"/>
      <c r="R51" s="913"/>
      <c r="S51" s="913"/>
      <c r="T51" s="913"/>
      <c r="U51" s="913"/>
      <c r="V51" s="913"/>
      <c r="W51" s="913"/>
      <c r="X51" s="913"/>
      <c r="Y51" s="913"/>
      <c r="Z51" s="913"/>
      <c r="AA51" s="913"/>
      <c r="AB51" s="913"/>
      <c r="AC51" s="913"/>
      <c r="AD51" s="913"/>
      <c r="AE51" s="913"/>
      <c r="AF51" s="913"/>
      <c r="AG51" s="913"/>
      <c r="AH51" s="913"/>
      <c r="AI51" s="913"/>
      <c r="AJ51" s="913"/>
      <c r="AK51" s="913"/>
      <c r="AL51" s="913"/>
      <c r="AM51" s="913"/>
      <c r="AN51" s="913"/>
      <c r="AO51" s="913"/>
      <c r="AP51" s="913"/>
      <c r="AQ51" s="913"/>
      <c r="AR51" s="913"/>
      <c r="AS51" s="913"/>
      <c r="AT51" s="913"/>
      <c r="AU51" s="913"/>
      <c r="AV51" s="913"/>
      <c r="AW51" s="913"/>
      <c r="AX51" s="914"/>
      <c r="AY51" s="857"/>
      <c r="AZ51" s="857"/>
      <c r="BA51" s="857"/>
      <c r="BB51" s="857"/>
      <c r="BC51" s="857"/>
      <c r="BD51" s="857"/>
      <c r="BE51" s="857"/>
      <c r="BF51" s="857"/>
      <c r="BG51" s="857"/>
    </row>
    <row r="52" spans="1:59" ht="14.25" customHeight="1">
      <c r="A52" s="912"/>
      <c r="B52" s="913"/>
      <c r="C52" s="913"/>
      <c r="D52" s="913"/>
      <c r="E52" s="913"/>
      <c r="F52" s="913"/>
      <c r="G52" s="913"/>
      <c r="H52" s="913"/>
      <c r="I52" s="913"/>
      <c r="J52" s="913"/>
      <c r="K52" s="913"/>
      <c r="L52" s="913"/>
      <c r="M52" s="913"/>
      <c r="N52" s="913"/>
      <c r="O52" s="913"/>
      <c r="P52" s="913"/>
      <c r="Q52" s="913"/>
      <c r="R52" s="913"/>
      <c r="S52" s="913"/>
      <c r="T52" s="913"/>
      <c r="U52" s="913"/>
      <c r="V52" s="913"/>
      <c r="W52" s="913"/>
      <c r="X52" s="913"/>
      <c r="Y52" s="913"/>
      <c r="Z52" s="913"/>
      <c r="AA52" s="913"/>
      <c r="AB52" s="913"/>
      <c r="AC52" s="913"/>
      <c r="AD52" s="913"/>
      <c r="AE52" s="913"/>
      <c r="AF52" s="913"/>
      <c r="AG52" s="913"/>
      <c r="AH52" s="913"/>
      <c r="AI52" s="913"/>
      <c r="AJ52" s="913"/>
      <c r="AK52" s="913"/>
      <c r="AL52" s="913"/>
      <c r="AM52" s="913"/>
      <c r="AN52" s="913"/>
      <c r="AO52" s="913"/>
      <c r="AP52" s="913"/>
      <c r="AQ52" s="913"/>
      <c r="AR52" s="913"/>
      <c r="AS52" s="913"/>
      <c r="AT52" s="913"/>
      <c r="AU52" s="913"/>
      <c r="AV52" s="913"/>
      <c r="AW52" s="913"/>
      <c r="AX52" s="914"/>
      <c r="AY52" s="857"/>
      <c r="AZ52" s="857"/>
      <c r="BA52" s="857"/>
      <c r="BB52" s="857"/>
      <c r="BC52" s="857"/>
      <c r="BD52" s="857"/>
      <c r="BE52" s="857"/>
      <c r="BF52" s="857"/>
      <c r="BG52" s="857"/>
    </row>
    <row r="53" spans="1:59" ht="14.25" customHeight="1">
      <c r="A53" s="915" t="s">
        <v>2885</v>
      </c>
      <c r="B53" s="916"/>
      <c r="C53" s="916"/>
      <c r="D53" s="916"/>
      <c r="E53" s="916"/>
      <c r="F53" s="916"/>
      <c r="G53" s="916"/>
      <c r="H53" s="916"/>
      <c r="I53" s="916"/>
      <c r="J53" s="916"/>
      <c r="K53" s="916"/>
      <c r="L53" s="916"/>
      <c r="M53" s="916"/>
      <c r="N53" s="916"/>
      <c r="O53" s="916"/>
      <c r="P53" s="916"/>
      <c r="Q53" s="916"/>
      <c r="R53" s="916"/>
      <c r="S53" s="916"/>
      <c r="T53" s="916"/>
      <c r="U53" s="916"/>
      <c r="V53" s="916"/>
      <c r="W53" s="916"/>
      <c r="X53" s="916"/>
      <c r="Y53" s="916"/>
      <c r="Z53" s="916"/>
      <c r="AA53" s="916"/>
      <c r="AB53" s="916"/>
      <c r="AC53" s="916"/>
      <c r="AD53" s="916"/>
      <c r="AE53" s="916"/>
      <c r="AF53" s="916"/>
      <c r="AG53" s="916"/>
      <c r="AH53" s="916"/>
      <c r="AI53" s="916"/>
      <c r="AJ53" s="916"/>
      <c r="AK53" s="916"/>
      <c r="AL53" s="916"/>
      <c r="AM53" s="916"/>
      <c r="AN53" s="916"/>
      <c r="AO53" s="916"/>
      <c r="AP53" s="916"/>
      <c r="AQ53" s="916"/>
      <c r="AR53" s="916"/>
      <c r="AS53" s="916"/>
      <c r="AT53" s="916"/>
      <c r="AU53" s="916"/>
      <c r="AV53" s="916"/>
      <c r="AW53" s="857"/>
      <c r="AX53" s="917"/>
      <c r="AY53" s="857"/>
      <c r="AZ53" s="857"/>
      <c r="BA53" s="857"/>
      <c r="BB53" s="857"/>
      <c r="BC53" s="857"/>
      <c r="BD53" s="857"/>
      <c r="BE53" s="857"/>
      <c r="BF53" s="857"/>
      <c r="BG53" s="857"/>
    </row>
    <row r="54" spans="1:59" ht="14.25" customHeight="1">
      <c r="A54" s="918" t="s">
        <v>2886</v>
      </c>
      <c r="B54" s="857"/>
      <c r="C54" s="857"/>
      <c r="D54" s="857"/>
      <c r="E54" s="857"/>
      <c r="F54" s="857"/>
      <c r="G54" s="857"/>
      <c r="H54" s="857"/>
      <c r="I54" s="857"/>
      <c r="J54" s="857"/>
      <c r="K54" s="857"/>
      <c r="L54" s="857"/>
      <c r="M54" s="857"/>
      <c r="N54" s="857"/>
      <c r="O54" s="857"/>
      <c r="P54" s="857"/>
      <c r="Q54" s="857"/>
      <c r="R54" s="857"/>
      <c r="S54" s="857"/>
      <c r="T54" s="857"/>
      <c r="U54" s="857"/>
      <c r="V54" s="857"/>
      <c r="W54" s="857"/>
      <c r="X54" s="857"/>
      <c r="Y54" s="857"/>
      <c r="Z54" s="857"/>
      <c r="AA54" s="857"/>
      <c r="AB54" s="857"/>
      <c r="AC54" s="857"/>
      <c r="AD54" s="857"/>
      <c r="AE54" s="857"/>
      <c r="AF54" s="857"/>
      <c r="AG54" s="857"/>
      <c r="AH54" s="857"/>
      <c r="AI54" s="857"/>
      <c r="AJ54" s="857"/>
      <c r="AK54" s="857"/>
      <c r="AL54" s="857"/>
      <c r="AM54" s="857"/>
      <c r="AN54" s="857"/>
      <c r="AO54" s="857"/>
      <c r="AP54" s="857"/>
      <c r="AQ54" s="857"/>
      <c r="AR54" s="857"/>
      <c r="AS54" s="857"/>
      <c r="AT54" s="855"/>
      <c r="AU54" s="857"/>
      <c r="AV54" s="857"/>
      <c r="AW54" s="857"/>
      <c r="AX54" s="917"/>
      <c r="AY54" s="857"/>
      <c r="AZ54" s="857"/>
      <c r="BA54" s="857"/>
      <c r="BB54" s="857"/>
      <c r="BC54" s="857"/>
      <c r="BD54" s="857"/>
      <c r="BE54" s="857"/>
      <c r="BF54" s="857"/>
      <c r="BG54" s="857"/>
    </row>
    <row r="55" spans="1:59" ht="14.25" customHeight="1">
      <c r="A55" s="918" t="s">
        <v>2887</v>
      </c>
      <c r="B55" s="857"/>
      <c r="C55" s="857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O55" s="857"/>
      <c r="P55" s="857"/>
      <c r="Q55" s="857"/>
      <c r="R55" s="857"/>
      <c r="S55" s="857"/>
      <c r="T55" s="857"/>
      <c r="U55" s="857"/>
      <c r="V55" s="857"/>
      <c r="W55" s="857"/>
      <c r="X55" s="857"/>
      <c r="Y55" s="857"/>
      <c r="Z55" s="857"/>
      <c r="AA55" s="857"/>
      <c r="AB55" s="857"/>
      <c r="AC55" s="857"/>
      <c r="AD55" s="857"/>
      <c r="AE55" s="857"/>
      <c r="AF55" s="857"/>
      <c r="AG55" s="857"/>
      <c r="AH55" s="857"/>
      <c r="AI55" s="857"/>
      <c r="AJ55" s="857"/>
      <c r="AK55" s="857"/>
      <c r="AL55" s="857"/>
      <c r="AM55" s="857"/>
      <c r="AN55" s="857"/>
      <c r="AO55" s="857"/>
      <c r="AP55" s="857"/>
      <c r="AQ55" s="857"/>
      <c r="AR55" s="857"/>
      <c r="AS55" s="857"/>
      <c r="AT55" s="855"/>
      <c r="AU55" s="857"/>
      <c r="AV55" s="857"/>
      <c r="AW55" s="857"/>
      <c r="AX55" s="917"/>
      <c r="AY55" s="857"/>
      <c r="AZ55" s="857"/>
      <c r="BA55" s="857"/>
      <c r="BB55" s="857"/>
      <c r="BC55" s="857"/>
      <c r="BD55" s="857"/>
      <c r="BE55" s="857"/>
      <c r="BF55" s="857"/>
      <c r="BG55" s="857"/>
    </row>
    <row r="56" spans="1:59" ht="14.25" customHeight="1">
      <c r="A56" s="919" t="s">
        <v>2888</v>
      </c>
      <c r="B56" s="920"/>
      <c r="C56" s="920"/>
      <c r="D56" s="920"/>
      <c r="E56" s="920"/>
      <c r="F56" s="920"/>
      <c r="G56" s="920"/>
      <c r="H56" s="920"/>
      <c r="I56" s="920"/>
      <c r="J56" s="920"/>
      <c r="K56" s="920"/>
      <c r="L56" s="920"/>
      <c r="M56" s="920"/>
      <c r="N56" s="920"/>
      <c r="O56" s="920"/>
      <c r="P56" s="920"/>
      <c r="Q56" s="920"/>
      <c r="R56" s="920"/>
      <c r="S56" s="920"/>
      <c r="T56" s="920"/>
      <c r="U56" s="920"/>
      <c r="V56" s="920"/>
      <c r="W56" s="920"/>
      <c r="X56" s="920"/>
      <c r="Y56" s="920"/>
      <c r="Z56" s="920"/>
      <c r="AA56" s="920"/>
      <c r="AB56" s="920"/>
      <c r="AC56" s="920"/>
      <c r="AD56" s="920"/>
      <c r="AE56" s="920"/>
      <c r="AF56" s="920"/>
      <c r="AG56" s="920"/>
      <c r="AH56" s="920"/>
      <c r="AI56" s="920"/>
      <c r="AJ56" s="920"/>
      <c r="AK56" s="920"/>
      <c r="AL56" s="920"/>
      <c r="AM56" s="920"/>
      <c r="AN56" s="920"/>
      <c r="AO56" s="920"/>
      <c r="AP56" s="920"/>
      <c r="AQ56" s="920"/>
      <c r="AR56" s="920"/>
      <c r="AS56" s="920"/>
      <c r="AT56" s="855"/>
      <c r="AU56" s="920"/>
      <c r="AV56" s="920"/>
      <c r="AW56" s="920"/>
      <c r="AX56" s="921"/>
      <c r="AY56" s="857"/>
      <c r="AZ56" s="857"/>
      <c r="BA56" s="857"/>
      <c r="BB56" s="857"/>
      <c r="BC56" s="857"/>
      <c r="BD56" s="857"/>
      <c r="BE56" s="857"/>
      <c r="BF56" s="857"/>
      <c r="BG56" s="857"/>
    </row>
    <row r="57" spans="1:59" ht="14.25" customHeight="1">
      <c r="A57" s="922"/>
      <c r="B57" s="857"/>
      <c r="C57" s="857"/>
      <c r="D57" s="857"/>
      <c r="E57" s="857"/>
      <c r="F57" s="857"/>
      <c r="G57" s="857"/>
      <c r="H57" s="857"/>
      <c r="I57" s="857"/>
      <c r="J57" s="857"/>
      <c r="K57" s="857"/>
      <c r="L57" s="857"/>
      <c r="M57" s="857"/>
      <c r="N57" s="857"/>
      <c r="O57" s="857"/>
      <c r="P57" s="857"/>
      <c r="Q57" s="857"/>
      <c r="R57" s="857"/>
      <c r="S57" s="857"/>
      <c r="T57" s="857"/>
      <c r="U57" s="857"/>
      <c r="V57" s="857"/>
      <c r="W57" s="857"/>
      <c r="X57" s="857"/>
      <c r="Y57" s="857"/>
      <c r="Z57" s="857"/>
      <c r="AA57" s="857"/>
      <c r="AB57" s="857"/>
      <c r="AC57" s="857"/>
      <c r="AD57" s="857"/>
      <c r="AE57" s="857"/>
      <c r="AF57" s="857"/>
      <c r="AG57" s="857"/>
      <c r="AH57" s="857"/>
      <c r="AI57" s="857"/>
      <c r="AJ57" s="857"/>
      <c r="AK57" s="857"/>
      <c r="AL57" s="857"/>
      <c r="AM57" s="857"/>
      <c r="AN57" s="857"/>
      <c r="AO57" s="857"/>
      <c r="AP57" s="857"/>
      <c r="AQ57" s="857"/>
      <c r="AR57" s="857"/>
      <c r="AS57" s="857"/>
      <c r="AT57" s="855"/>
      <c r="AU57" s="856"/>
      <c r="AV57" s="857"/>
      <c r="AW57" s="857"/>
      <c r="AX57" s="857"/>
      <c r="AY57" s="857"/>
      <c r="AZ57" s="857"/>
      <c r="BA57" s="857"/>
      <c r="BB57" s="857"/>
      <c r="BC57" s="857"/>
      <c r="BD57" s="857"/>
      <c r="BE57" s="857"/>
      <c r="BF57" s="857"/>
      <c r="BG57" s="857"/>
    </row>
    <row r="58" spans="1:59" ht="14.25" customHeight="1">
      <c r="A58" s="922"/>
      <c r="B58" s="857"/>
      <c r="C58" s="857"/>
      <c r="D58" s="857"/>
      <c r="E58" s="857"/>
      <c r="F58" s="857"/>
      <c r="G58" s="857"/>
      <c r="H58" s="857"/>
      <c r="I58" s="857"/>
      <c r="J58" s="857"/>
      <c r="K58" s="857"/>
      <c r="L58" s="857"/>
      <c r="M58" s="857"/>
      <c r="N58" s="857"/>
      <c r="O58" s="857"/>
      <c r="P58" s="857"/>
      <c r="Q58" s="857"/>
      <c r="R58" s="857"/>
      <c r="S58" s="857"/>
      <c r="T58" s="857"/>
      <c r="U58" s="857"/>
      <c r="V58" s="857"/>
      <c r="W58" s="857"/>
      <c r="X58" s="857"/>
      <c r="Y58" s="857"/>
      <c r="Z58" s="857"/>
      <c r="AA58" s="857"/>
      <c r="AB58" s="857"/>
      <c r="AC58" s="857"/>
      <c r="AD58" s="857"/>
      <c r="AE58" s="857"/>
      <c r="AF58" s="857"/>
      <c r="AG58" s="857"/>
      <c r="AH58" s="857"/>
      <c r="AI58" s="857"/>
      <c r="AJ58" s="857"/>
      <c r="AK58" s="857"/>
      <c r="AL58" s="857"/>
      <c r="AM58" s="857"/>
      <c r="AN58" s="857"/>
      <c r="AO58" s="857"/>
      <c r="AP58" s="857"/>
      <c r="AQ58" s="857"/>
      <c r="AR58" s="857"/>
      <c r="AS58" s="857"/>
      <c r="AT58" s="855"/>
      <c r="AU58" s="856"/>
      <c r="AV58" s="857"/>
      <c r="AW58" s="857"/>
      <c r="AX58" s="857"/>
      <c r="AY58" s="857"/>
      <c r="AZ58" s="857"/>
      <c r="BA58" s="857"/>
      <c r="BB58" s="857"/>
      <c r="BC58" s="857"/>
      <c r="BD58" s="857"/>
      <c r="BE58" s="857"/>
      <c r="BF58" s="857"/>
      <c r="BG58" s="857"/>
    </row>
    <row r="59" spans="1:59" ht="14.25" customHeight="1">
      <c r="A59" s="923" t="s">
        <v>2889</v>
      </c>
      <c r="B59" s="857"/>
      <c r="C59" s="857"/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924">
        <v>217072.44</v>
      </c>
      <c r="O59" s="924">
        <v>254210.27999999997</v>
      </c>
      <c r="P59" s="924">
        <v>306646.80000000005</v>
      </c>
      <c r="Q59" s="924">
        <v>299860.80000000005</v>
      </c>
      <c r="R59" s="924">
        <v>299272.80000000005</v>
      </c>
      <c r="S59" s="924">
        <v>356181.96</v>
      </c>
      <c r="T59" s="924">
        <v>366704.76</v>
      </c>
      <c r="U59" s="924">
        <v>381266.52</v>
      </c>
      <c r="V59" s="924">
        <v>419245.55999999994</v>
      </c>
      <c r="W59" s="924">
        <v>418332.36</v>
      </c>
      <c r="X59" s="924">
        <v>439239.36</v>
      </c>
      <c r="Y59" s="924">
        <v>482713.07999999996</v>
      </c>
      <c r="Z59" s="924">
        <v>571609.07999999996</v>
      </c>
      <c r="AA59" s="924">
        <v>605837.28</v>
      </c>
      <c r="AB59" s="925">
        <v>765583.2</v>
      </c>
      <c r="AC59" s="925">
        <v>840573.60000000009</v>
      </c>
      <c r="AD59" s="925">
        <v>860338.67999999993</v>
      </c>
      <c r="AE59" s="925">
        <v>958800.60000000009</v>
      </c>
      <c r="AF59" s="925">
        <v>1032927</v>
      </c>
      <c r="AG59" s="925">
        <v>1035566.2799999998</v>
      </c>
      <c r="AH59" s="925">
        <v>1219400.76</v>
      </c>
      <c r="AI59" s="925">
        <v>1305926.6400000001</v>
      </c>
      <c r="AJ59" s="925">
        <v>1345561.92</v>
      </c>
      <c r="AK59" s="925">
        <v>1530665.6400000001</v>
      </c>
      <c r="AL59" s="925">
        <v>1619805.2400000002</v>
      </c>
      <c r="AM59" s="925">
        <v>1669713.12</v>
      </c>
      <c r="AN59" s="925">
        <v>1823442</v>
      </c>
      <c r="AO59" s="925">
        <v>1883752.9199999997</v>
      </c>
      <c r="AP59" s="925">
        <v>1955166</v>
      </c>
      <c r="AQ59" s="925">
        <v>2179587.36</v>
      </c>
      <c r="AR59" s="925">
        <v>2469104.6400000001</v>
      </c>
      <c r="AS59" s="925">
        <v>2577236.64</v>
      </c>
      <c r="AT59" s="855"/>
      <c r="AU59" s="856"/>
      <c r="AV59" s="857"/>
      <c r="AW59" s="857"/>
      <c r="AX59" s="857"/>
      <c r="AY59" s="857"/>
      <c r="AZ59" s="857"/>
      <c r="BA59" s="857"/>
      <c r="BB59" s="857"/>
      <c r="BC59" s="857"/>
      <c r="BD59" s="857"/>
      <c r="BE59" s="857"/>
      <c r="BF59" s="857"/>
      <c r="BG59" s="857"/>
    </row>
    <row r="60" spans="1:59" ht="14.25" customHeight="1">
      <c r="A60" s="923" t="s">
        <v>2890</v>
      </c>
      <c r="B60" s="857"/>
      <c r="C60" s="857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924">
        <v>3.360000000007858</v>
      </c>
      <c r="O60" s="924">
        <v>22774.800000000017</v>
      </c>
      <c r="P60" s="924">
        <v>18702.240000000005</v>
      </c>
      <c r="Q60" s="924">
        <v>14632.439999999988</v>
      </c>
      <c r="R60" s="924">
        <v>24059.400000000009</v>
      </c>
      <c r="S60" s="924">
        <v>21677.640000000014</v>
      </c>
      <c r="T60" s="924">
        <v>17667.599999999991</v>
      </c>
      <c r="U60" s="924">
        <v>25333.560000000012</v>
      </c>
      <c r="V60" s="924">
        <v>25221.839999999997</v>
      </c>
      <c r="W60" s="924">
        <v>24271.199999999983</v>
      </c>
      <c r="X60" s="924">
        <v>25538.520000000033</v>
      </c>
      <c r="Y60" s="924">
        <v>-172018.92000000004</v>
      </c>
      <c r="Z60" s="924">
        <v>59502.36000000003</v>
      </c>
      <c r="AA60" s="924">
        <v>99488.880000000019</v>
      </c>
      <c r="AB60" s="924">
        <v>40633.919999999998</v>
      </c>
      <c r="AC60" s="924">
        <v>35546.879999999976</v>
      </c>
      <c r="AD60" s="924">
        <v>120528.83999999995</v>
      </c>
      <c r="AE60" s="924">
        <v>18544.800000000017</v>
      </c>
      <c r="AF60" s="924">
        <v>19605.120000000024</v>
      </c>
      <c r="AG60" s="924">
        <v>49856.760000000038</v>
      </c>
      <c r="AH60" s="924">
        <v>108641.75999999995</v>
      </c>
      <c r="AI60" s="924">
        <v>37921.919999999955</v>
      </c>
      <c r="AJ60" s="924">
        <v>15925.920000000042</v>
      </c>
      <c r="AK60" s="924">
        <v>84389.51999999999</v>
      </c>
      <c r="AL60" s="924">
        <v>90053.760000000038</v>
      </c>
      <c r="AM60" s="924">
        <v>142447.67999999999</v>
      </c>
      <c r="AN60" s="924">
        <v>164802.96000000002</v>
      </c>
      <c r="AO60" s="924">
        <v>174734.88000000006</v>
      </c>
      <c r="AP60" s="924">
        <v>157142.40000000005</v>
      </c>
      <c r="AQ60" s="924">
        <v>195329.76000000013</v>
      </c>
      <c r="AR60" s="924">
        <v>169172.6400000001</v>
      </c>
      <c r="AS60" s="924">
        <v>177126.12000000002</v>
      </c>
      <c r="AT60" s="855"/>
      <c r="AU60" s="856"/>
      <c r="AV60" s="857"/>
      <c r="AW60" s="857"/>
      <c r="AX60" s="857"/>
      <c r="AY60" s="857"/>
      <c r="AZ60" s="857"/>
      <c r="BA60" s="857"/>
      <c r="BB60" s="857"/>
      <c r="BC60" s="857"/>
      <c r="BD60" s="857"/>
      <c r="BE60" s="857"/>
      <c r="BF60" s="857"/>
      <c r="BG60" s="857"/>
    </row>
    <row r="61" spans="1:59" ht="14.25" customHeight="1">
      <c r="A61" s="926" t="s">
        <v>2891</v>
      </c>
      <c r="B61" s="857"/>
      <c r="C61" s="857"/>
      <c r="D61" s="857"/>
      <c r="E61" s="857"/>
      <c r="F61" s="857"/>
      <c r="G61" s="857"/>
      <c r="H61" s="857"/>
      <c r="I61" s="857"/>
      <c r="J61" s="857"/>
      <c r="K61" s="857"/>
      <c r="L61" s="857"/>
      <c r="M61" s="857"/>
      <c r="N61" s="927">
        <v>0</v>
      </c>
      <c r="O61" s="927">
        <v>0</v>
      </c>
      <c r="P61" s="927">
        <v>0</v>
      </c>
      <c r="Q61" s="927">
        <v>0</v>
      </c>
      <c r="R61" s="927">
        <v>0</v>
      </c>
      <c r="S61" s="927">
        <v>0</v>
      </c>
      <c r="T61" s="927">
        <v>0</v>
      </c>
      <c r="U61" s="927">
        <v>0</v>
      </c>
      <c r="V61" s="927">
        <v>0</v>
      </c>
      <c r="W61" s="927">
        <v>0</v>
      </c>
      <c r="X61" s="927">
        <v>0</v>
      </c>
      <c r="Y61" s="927">
        <v>0</v>
      </c>
      <c r="Z61" s="927">
        <v>108542.63999999998</v>
      </c>
      <c r="AA61" s="927">
        <v>106541.51999999999</v>
      </c>
      <c r="AB61" s="927">
        <v>104139.24</v>
      </c>
      <c r="AC61" s="927">
        <v>130567.08</v>
      </c>
      <c r="AD61" s="927">
        <v>154343.40000000002</v>
      </c>
      <c r="AE61" s="927">
        <v>186640.68</v>
      </c>
      <c r="AF61" s="927">
        <v>209070.48</v>
      </c>
      <c r="AG61" s="927">
        <v>275533.80000000005</v>
      </c>
      <c r="AH61" s="927">
        <v>296417.27999999997</v>
      </c>
      <c r="AI61" s="927">
        <v>216676.08000000002</v>
      </c>
      <c r="AJ61" s="927">
        <v>206086.08000000002</v>
      </c>
      <c r="AK61" s="927">
        <v>187814.16</v>
      </c>
      <c r="AL61" s="927">
        <v>164893.68</v>
      </c>
      <c r="AM61" s="927">
        <v>196465.68</v>
      </c>
      <c r="AN61" s="927">
        <v>185587.56</v>
      </c>
      <c r="AO61" s="927">
        <v>228662.88</v>
      </c>
      <c r="AP61" s="927">
        <v>235976.16</v>
      </c>
      <c r="AQ61" s="927">
        <v>262176.24</v>
      </c>
      <c r="AR61" s="927">
        <v>299941.19999999995</v>
      </c>
      <c r="AS61" s="927">
        <v>383833.80000000005</v>
      </c>
      <c r="AT61" s="855"/>
      <c r="AU61" s="856"/>
      <c r="AV61" s="857"/>
      <c r="AW61" s="857"/>
      <c r="AX61" s="857"/>
      <c r="AY61" s="857"/>
      <c r="AZ61" s="857"/>
      <c r="BA61" s="857"/>
      <c r="BB61" s="857"/>
      <c r="BC61" s="857"/>
      <c r="BD61" s="857"/>
      <c r="BE61" s="857"/>
      <c r="BF61" s="857"/>
      <c r="BG61" s="857"/>
    </row>
    <row r="62" spans="1:59" ht="14.25" customHeight="1">
      <c r="A62" s="928" t="s">
        <v>2892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929">
        <v>217075.80000000002</v>
      </c>
      <c r="O62" s="929">
        <v>276985.08</v>
      </c>
      <c r="P62" s="929">
        <v>325349.04000000004</v>
      </c>
      <c r="Q62" s="929">
        <v>314493.24</v>
      </c>
      <c r="R62" s="929">
        <v>323332.2</v>
      </c>
      <c r="S62" s="929">
        <v>377859.60000000003</v>
      </c>
      <c r="T62" s="929">
        <v>384372.36</v>
      </c>
      <c r="U62" s="929">
        <v>406600.07999999996</v>
      </c>
      <c r="V62" s="929">
        <v>444467.39999999997</v>
      </c>
      <c r="W62" s="929">
        <v>442603.55999999994</v>
      </c>
      <c r="X62" s="929">
        <v>464777.88000000006</v>
      </c>
      <c r="Y62" s="929">
        <v>310694.15999999992</v>
      </c>
      <c r="Z62" s="929">
        <v>741177.11999999988</v>
      </c>
      <c r="AA62" s="929">
        <v>815052.23999999987</v>
      </c>
      <c r="AB62" s="929">
        <v>914971.8</v>
      </c>
      <c r="AC62" s="929">
        <v>1006687.56</v>
      </c>
      <c r="AD62" s="929">
        <v>1135210.92</v>
      </c>
      <c r="AE62" s="929">
        <v>1163986.08</v>
      </c>
      <c r="AF62" s="929">
        <v>1261602.6000000001</v>
      </c>
      <c r="AG62" s="929">
        <v>1360956.8399999999</v>
      </c>
      <c r="AH62" s="929">
        <v>1624459.7999999998</v>
      </c>
      <c r="AI62" s="929">
        <v>1560524.6400000001</v>
      </c>
      <c r="AJ62" s="929">
        <v>1567573.92</v>
      </c>
      <c r="AK62" s="929">
        <v>1802869.3199999998</v>
      </c>
      <c r="AL62" s="929">
        <v>1874752.6800000002</v>
      </c>
      <c r="AM62" s="929">
        <v>2008626.4800000004</v>
      </c>
      <c r="AN62" s="929">
        <v>2173832.5200000005</v>
      </c>
      <c r="AO62" s="929">
        <v>2287150.6799999997</v>
      </c>
      <c r="AP62" s="929">
        <v>2348284.56</v>
      </c>
      <c r="AQ62" s="929">
        <v>2637093.36</v>
      </c>
      <c r="AR62" s="929">
        <v>3035833.44</v>
      </c>
      <c r="AS62" s="929">
        <v>3138196.56</v>
      </c>
      <c r="AT62" s="855"/>
      <c r="AU62" s="856"/>
      <c r="AV62" s="857"/>
      <c r="AW62" s="857"/>
      <c r="AX62" s="857"/>
      <c r="AY62" s="857"/>
      <c r="AZ62" s="857"/>
      <c r="BA62" s="857"/>
      <c r="BB62" s="857"/>
      <c r="BC62" s="857"/>
      <c r="BD62" s="857"/>
      <c r="BE62" s="857"/>
      <c r="BF62" s="857"/>
      <c r="BG62" s="857"/>
    </row>
    <row r="63" spans="1:59" ht="14.25" customHeight="1">
      <c r="A63" s="857"/>
      <c r="B63" s="857"/>
      <c r="C63" s="857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O63" s="857"/>
      <c r="P63" s="857"/>
      <c r="Q63" s="857"/>
      <c r="R63" s="857"/>
      <c r="S63" s="857"/>
      <c r="T63" s="857"/>
      <c r="U63" s="857"/>
      <c r="V63" s="857"/>
      <c r="W63" s="857"/>
      <c r="X63" s="857"/>
      <c r="Y63" s="857"/>
      <c r="Z63" s="857"/>
      <c r="AA63" s="857"/>
      <c r="AB63" s="857"/>
      <c r="AC63" s="857"/>
      <c r="AD63" s="857"/>
      <c r="AE63" s="857"/>
      <c r="AF63" s="857"/>
      <c r="AG63" s="857"/>
      <c r="AH63" s="857"/>
      <c r="AI63" s="857"/>
      <c r="AJ63" s="857"/>
      <c r="AK63" s="857"/>
      <c r="AL63" s="857"/>
      <c r="AM63" s="857"/>
      <c r="AN63" s="857"/>
      <c r="AO63" s="857"/>
      <c r="AP63" s="857"/>
      <c r="AQ63" s="857"/>
      <c r="AR63" s="857"/>
      <c r="AS63" s="930">
        <f>AS62/12</f>
        <v>261516.38</v>
      </c>
      <c r="AT63" s="855"/>
      <c r="AU63" s="856"/>
      <c r="AV63" s="857"/>
      <c r="AW63" s="857"/>
      <c r="AX63" s="857"/>
      <c r="AY63" s="857"/>
      <c r="AZ63" s="857"/>
      <c r="BA63" s="857"/>
      <c r="BB63" s="857"/>
      <c r="BC63" s="857"/>
      <c r="BD63" s="857"/>
      <c r="BE63" s="857"/>
      <c r="BF63" s="857"/>
      <c r="BG63" s="857"/>
    </row>
    <row r="64" spans="1:59" ht="14.25" customHeight="1">
      <c r="A64" s="857"/>
      <c r="B64" s="857"/>
      <c r="C64" s="857"/>
      <c r="D64" s="857"/>
      <c r="E64" s="857"/>
      <c r="F64" s="857"/>
      <c r="G64" s="857"/>
      <c r="H64" s="857"/>
      <c r="I64" s="857"/>
      <c r="J64" s="857"/>
      <c r="K64" s="857"/>
      <c r="L64" s="857"/>
      <c r="M64" s="857"/>
      <c r="N64" s="857"/>
      <c r="O64" s="857"/>
      <c r="P64" s="857"/>
      <c r="Q64" s="857"/>
      <c r="R64" s="857"/>
      <c r="S64" s="857"/>
      <c r="T64" s="857"/>
      <c r="U64" s="857"/>
      <c r="V64" s="857"/>
      <c r="W64" s="857"/>
      <c r="X64" s="857"/>
      <c r="Y64" s="857"/>
      <c r="Z64" s="857"/>
      <c r="AA64" s="857"/>
      <c r="AB64" s="857"/>
      <c r="AC64" s="857"/>
      <c r="AD64" s="857"/>
      <c r="AE64" s="857"/>
      <c r="AF64" s="857"/>
      <c r="AG64" s="857"/>
      <c r="AH64" s="857"/>
      <c r="AI64" s="857"/>
      <c r="AJ64" s="857"/>
      <c r="AK64" s="857"/>
      <c r="AL64" s="857"/>
      <c r="AM64" s="857"/>
      <c r="AN64" s="857"/>
      <c r="AO64" s="857"/>
      <c r="AP64" s="857"/>
      <c r="AQ64" s="857"/>
      <c r="AR64" s="857"/>
      <c r="AS64" s="857">
        <v>325</v>
      </c>
      <c r="AT64" s="855"/>
      <c r="AU64" s="856"/>
      <c r="AV64" s="857"/>
      <c r="AW64" s="857"/>
      <c r="AX64" s="857"/>
      <c r="AY64" s="857"/>
      <c r="AZ64" s="857"/>
      <c r="BA64" s="857"/>
      <c r="BB64" s="857"/>
      <c r="BC64" s="857"/>
      <c r="BD64" s="857"/>
      <c r="BE64" s="857"/>
      <c r="BF64" s="857"/>
      <c r="BG64" s="857"/>
    </row>
    <row r="65" spans="1:59" ht="14.25" customHeight="1">
      <c r="A65" s="857"/>
      <c r="B65" s="857"/>
      <c r="C65" s="857"/>
      <c r="D65" s="857"/>
      <c r="E65" s="857"/>
      <c r="F65" s="857"/>
      <c r="G65" s="857"/>
      <c r="H65" s="857"/>
      <c r="I65" s="857"/>
      <c r="J65" s="857"/>
      <c r="K65" s="857"/>
      <c r="L65" s="857"/>
      <c r="M65" s="857"/>
      <c r="N65" s="857"/>
      <c r="O65" s="857"/>
      <c r="P65" s="857"/>
      <c r="Q65" s="857"/>
      <c r="R65" s="857"/>
      <c r="S65" s="857"/>
      <c r="T65" s="857"/>
      <c r="U65" s="857"/>
      <c r="V65" s="857"/>
      <c r="W65" s="857"/>
      <c r="X65" s="857"/>
      <c r="Y65" s="857"/>
      <c r="Z65" s="857"/>
      <c r="AA65" s="857"/>
      <c r="AB65" s="857"/>
      <c r="AC65" s="857"/>
      <c r="AD65" s="857"/>
      <c r="AE65" s="857"/>
      <c r="AF65" s="857"/>
      <c r="AG65" s="857"/>
      <c r="AH65" s="857"/>
      <c r="AI65" s="857"/>
      <c r="AJ65" s="857"/>
      <c r="AK65" s="857"/>
      <c r="AL65" s="857"/>
      <c r="AM65" s="857"/>
      <c r="AN65" s="857"/>
      <c r="AO65" s="857"/>
      <c r="AP65" s="857"/>
      <c r="AQ65" s="857"/>
      <c r="AR65" s="857"/>
      <c r="AS65" s="930">
        <f>AS63/AS64</f>
        <v>804.66578461538461</v>
      </c>
      <c r="AT65" s="855"/>
      <c r="AU65" s="856"/>
      <c r="AV65" s="857"/>
      <c r="AW65" s="857"/>
      <c r="AX65" s="857"/>
      <c r="AY65" s="857"/>
      <c r="AZ65" s="857"/>
      <c r="BA65" s="857"/>
      <c r="BB65" s="857"/>
      <c r="BC65" s="857"/>
      <c r="BD65" s="857"/>
      <c r="BE65" s="857"/>
      <c r="BF65" s="857"/>
      <c r="BG65" s="857"/>
    </row>
    <row r="66" spans="1:59" ht="14.25" customHeight="1">
      <c r="A66" s="857"/>
      <c r="B66" s="857"/>
      <c r="C66" s="857"/>
      <c r="D66" s="857"/>
      <c r="E66" s="857"/>
      <c r="F66" s="857"/>
      <c r="G66" s="857"/>
      <c r="H66" s="857"/>
      <c r="I66" s="857"/>
      <c r="J66" s="857"/>
      <c r="K66" s="857"/>
      <c r="L66" s="857"/>
      <c r="M66" s="857"/>
      <c r="N66" s="857"/>
      <c r="O66" s="857"/>
      <c r="P66" s="857"/>
      <c r="Q66" s="857"/>
      <c r="R66" s="857"/>
      <c r="S66" s="857"/>
      <c r="T66" s="857"/>
      <c r="U66" s="857"/>
      <c r="V66" s="857"/>
      <c r="W66" s="857"/>
      <c r="X66" s="857"/>
      <c r="Y66" s="857"/>
      <c r="Z66" s="857"/>
      <c r="AA66" s="857"/>
      <c r="AB66" s="857"/>
      <c r="AC66" s="857"/>
      <c r="AD66" s="857"/>
      <c r="AE66" s="857"/>
      <c r="AF66" s="857"/>
      <c r="AG66" s="857"/>
      <c r="AH66" s="857"/>
      <c r="AI66" s="857"/>
      <c r="AJ66" s="857"/>
      <c r="AK66" s="857"/>
      <c r="AL66" s="857"/>
      <c r="AM66" s="857"/>
      <c r="AN66" s="857"/>
      <c r="AO66" s="857"/>
      <c r="AP66" s="857"/>
      <c r="AQ66" s="857"/>
      <c r="AR66" s="857"/>
      <c r="AS66" s="857"/>
      <c r="AT66" s="855"/>
      <c r="AU66" s="856"/>
      <c r="AV66" s="857"/>
      <c r="AW66" s="857"/>
      <c r="AX66" s="857"/>
      <c r="AY66" s="857"/>
      <c r="AZ66" s="857"/>
      <c r="BA66" s="857"/>
      <c r="BB66" s="857"/>
      <c r="BC66" s="857"/>
      <c r="BD66" s="857"/>
      <c r="BE66" s="857"/>
      <c r="BF66" s="857"/>
      <c r="BG66" s="857"/>
    </row>
    <row r="67" spans="1:59" ht="14.25" customHeight="1">
      <c r="A67" s="857"/>
      <c r="B67" s="857"/>
      <c r="C67" s="857"/>
      <c r="D67" s="857"/>
      <c r="E67" s="857"/>
      <c r="F67" s="857"/>
      <c r="G67" s="857"/>
      <c r="H67" s="857"/>
      <c r="I67" s="857"/>
      <c r="J67" s="857"/>
      <c r="K67" s="857"/>
      <c r="L67" s="857"/>
      <c r="M67" s="857"/>
      <c r="N67" s="857"/>
      <c r="O67" s="857"/>
      <c r="P67" s="857"/>
      <c r="Q67" s="857"/>
      <c r="R67" s="857"/>
      <c r="S67" s="857"/>
      <c r="T67" s="857"/>
      <c r="U67" s="857"/>
      <c r="V67" s="857"/>
      <c r="W67" s="857"/>
      <c r="X67" s="857"/>
      <c r="Y67" s="857"/>
      <c r="Z67" s="857"/>
      <c r="AA67" s="857"/>
      <c r="AB67" s="857"/>
      <c r="AC67" s="857"/>
      <c r="AD67" s="857"/>
      <c r="AE67" s="857"/>
      <c r="AF67" s="857"/>
      <c r="AG67" s="857"/>
      <c r="AH67" s="857"/>
      <c r="AI67" s="857"/>
      <c r="AJ67" s="857"/>
      <c r="AK67" s="857"/>
      <c r="AL67" s="857"/>
      <c r="AM67" s="857"/>
      <c r="AN67" s="857"/>
      <c r="AO67" s="857"/>
      <c r="AP67" s="857"/>
      <c r="AQ67" s="857"/>
      <c r="AR67" s="857"/>
      <c r="AS67" s="857"/>
      <c r="AT67" s="855"/>
      <c r="AU67" s="856"/>
      <c r="AV67" s="857"/>
      <c r="AW67" s="857"/>
      <c r="AX67" s="857"/>
      <c r="AY67" s="857"/>
      <c r="AZ67" s="857"/>
      <c r="BA67" s="857"/>
      <c r="BB67" s="857"/>
      <c r="BC67" s="857"/>
      <c r="BD67" s="857"/>
      <c r="BE67" s="857"/>
      <c r="BF67" s="857"/>
      <c r="BG67" s="857"/>
    </row>
    <row r="68" spans="1:59" ht="14.25" customHeight="1">
      <c r="A68" s="857"/>
      <c r="B68" s="857"/>
      <c r="C68" s="857"/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 s="857"/>
      <c r="U68" s="857"/>
      <c r="V68" s="857"/>
      <c r="W68" s="857"/>
      <c r="X68" s="857"/>
      <c r="Y68" s="857"/>
      <c r="Z68" s="857"/>
      <c r="AA68" s="857"/>
      <c r="AB68" s="857"/>
      <c r="AC68" s="857"/>
      <c r="AD68" s="857"/>
      <c r="AE68" s="857"/>
      <c r="AF68" s="857"/>
      <c r="AG68" s="857"/>
      <c r="AH68" s="857"/>
      <c r="AI68" s="857"/>
      <c r="AJ68" s="857"/>
      <c r="AK68" s="857"/>
      <c r="AL68" s="857"/>
      <c r="AM68" s="857"/>
      <c r="AN68" s="857"/>
      <c r="AO68" s="857"/>
      <c r="AP68" s="857"/>
      <c r="AQ68" s="857"/>
      <c r="AR68" s="857"/>
      <c r="AS68" s="857"/>
      <c r="AT68" s="855"/>
      <c r="AU68" s="856"/>
      <c r="AV68" s="857"/>
      <c r="AW68" s="857"/>
      <c r="AX68" s="857"/>
      <c r="AY68" s="857"/>
      <c r="AZ68" s="857"/>
      <c r="BA68" s="857"/>
      <c r="BB68" s="857"/>
      <c r="BC68" s="857"/>
      <c r="BD68" s="857"/>
      <c r="BE68" s="857"/>
      <c r="BF68" s="857"/>
      <c r="BG68" s="857"/>
    </row>
    <row r="69" spans="1:59" ht="14.25" customHeight="1">
      <c r="A69" s="857"/>
      <c r="B69" s="857"/>
      <c r="C69" s="857"/>
      <c r="D69" s="857"/>
      <c r="E69" s="857"/>
      <c r="F69" s="857"/>
      <c r="G69" s="857"/>
      <c r="H69" s="857"/>
      <c r="I69" s="857"/>
      <c r="J69" s="857"/>
      <c r="K69" s="857"/>
      <c r="L69" s="857"/>
      <c r="M69" s="857"/>
      <c r="N69" s="857"/>
      <c r="O69" s="857"/>
      <c r="P69" s="857"/>
      <c r="Q69" s="857"/>
      <c r="R69" s="857"/>
      <c r="S69" s="857"/>
      <c r="T69" s="857"/>
      <c r="U69" s="857"/>
      <c r="V69" s="857"/>
      <c r="W69" s="857"/>
      <c r="X69" s="857"/>
      <c r="Y69" s="857"/>
      <c r="Z69" s="857"/>
      <c r="AA69" s="857"/>
      <c r="AB69" s="857"/>
      <c r="AC69" s="857"/>
      <c r="AD69" s="857"/>
      <c r="AE69" s="857"/>
      <c r="AF69" s="857"/>
      <c r="AG69" s="857"/>
      <c r="AH69" s="857"/>
      <c r="AI69" s="857"/>
      <c r="AJ69" s="857"/>
      <c r="AK69" s="857"/>
      <c r="AL69" s="857"/>
      <c r="AM69" s="857"/>
      <c r="AN69" s="857"/>
      <c r="AO69" s="857"/>
      <c r="AP69" s="857"/>
      <c r="AQ69" s="857"/>
      <c r="AR69" s="857"/>
      <c r="AS69" s="857"/>
      <c r="AT69" s="855"/>
      <c r="AU69" s="856"/>
      <c r="AV69" s="857"/>
      <c r="AW69" s="857"/>
      <c r="AX69" s="857"/>
      <c r="AY69" s="857"/>
      <c r="AZ69" s="857"/>
      <c r="BA69" s="857"/>
      <c r="BB69" s="857"/>
      <c r="BC69" s="857"/>
      <c r="BD69" s="857"/>
      <c r="BE69" s="857"/>
      <c r="BF69" s="857"/>
      <c r="BG69" s="857"/>
    </row>
    <row r="70" spans="1:59" ht="14.25" customHeight="1">
      <c r="A70" s="857"/>
      <c r="B70" s="857"/>
      <c r="C70" s="857"/>
      <c r="D70" s="857"/>
      <c r="E70" s="857"/>
      <c r="F70" s="857"/>
      <c r="G70" s="857"/>
      <c r="H70" s="857"/>
      <c r="I70" s="857"/>
      <c r="J70" s="857"/>
      <c r="K70" s="857"/>
      <c r="L70" s="857"/>
      <c r="M70" s="857"/>
      <c r="N70" s="857"/>
      <c r="O70" s="857"/>
      <c r="P70" s="857"/>
      <c r="Q70" s="857"/>
      <c r="R70" s="857"/>
      <c r="S70" s="857"/>
      <c r="T70" s="857"/>
      <c r="U70" s="857"/>
      <c r="V70" s="857"/>
      <c r="W70" s="857"/>
      <c r="X70" s="857"/>
      <c r="Y70" s="857"/>
      <c r="Z70" s="857"/>
      <c r="AA70" s="857"/>
      <c r="AB70" s="857"/>
      <c r="AC70" s="857"/>
      <c r="AD70" s="857"/>
      <c r="AE70" s="857"/>
      <c r="AF70" s="857"/>
      <c r="AG70" s="857"/>
      <c r="AH70" s="857"/>
      <c r="AI70" s="857"/>
      <c r="AJ70" s="857"/>
      <c r="AK70" s="857"/>
      <c r="AL70" s="857"/>
      <c r="AM70" s="857"/>
      <c r="AN70" s="857"/>
      <c r="AO70" s="857"/>
      <c r="AP70" s="857"/>
      <c r="AQ70" s="857"/>
      <c r="AR70" s="857"/>
      <c r="AS70" s="857"/>
      <c r="AT70" s="855"/>
      <c r="AU70" s="856"/>
      <c r="AV70" s="857"/>
      <c r="AW70" s="857"/>
      <c r="AX70" s="857"/>
      <c r="AY70" s="857"/>
      <c r="AZ70" s="857"/>
      <c r="BA70" s="857"/>
      <c r="BB70" s="857"/>
      <c r="BC70" s="857"/>
      <c r="BD70" s="857"/>
      <c r="BE70" s="857"/>
      <c r="BF70" s="857"/>
      <c r="BG70" s="857"/>
    </row>
    <row r="71" spans="1:59" ht="14.25" customHeight="1">
      <c r="A71" s="857"/>
      <c r="B71" s="857"/>
      <c r="C71" s="857"/>
      <c r="D71" s="857"/>
      <c r="E71" s="857"/>
      <c r="F71" s="857"/>
      <c r="G71" s="857"/>
      <c r="H71" s="857"/>
      <c r="I71" s="857"/>
      <c r="J71" s="857"/>
      <c r="K71" s="857"/>
      <c r="L71" s="857"/>
      <c r="M71" s="857"/>
      <c r="N71" s="857"/>
      <c r="O71" s="857"/>
      <c r="P71" s="857"/>
      <c r="Q71" s="857"/>
      <c r="R71" s="857"/>
      <c r="S71" s="857"/>
      <c r="T71" s="857"/>
      <c r="U71" s="857"/>
      <c r="V71" s="857"/>
      <c r="W71" s="857"/>
      <c r="X71" s="857"/>
      <c r="Y71" s="857"/>
      <c r="Z71" s="857"/>
      <c r="AA71" s="857"/>
      <c r="AB71" s="857"/>
      <c r="AC71" s="857"/>
      <c r="AD71" s="857"/>
      <c r="AE71" s="857"/>
      <c r="AF71" s="857"/>
      <c r="AG71" s="857"/>
      <c r="AH71" s="857"/>
      <c r="AI71" s="857"/>
      <c r="AJ71" s="857"/>
      <c r="AK71" s="857"/>
      <c r="AL71" s="857"/>
      <c r="AM71" s="857"/>
      <c r="AN71" s="857"/>
      <c r="AO71" s="857"/>
      <c r="AP71" s="857"/>
      <c r="AQ71" s="857"/>
      <c r="AR71" s="857"/>
      <c r="AS71" s="857"/>
      <c r="AT71" s="855"/>
      <c r="AU71" s="856"/>
      <c r="AV71" s="857"/>
      <c r="AW71" s="857"/>
      <c r="AX71" s="857"/>
      <c r="AY71" s="857"/>
      <c r="AZ71" s="857"/>
      <c r="BA71" s="857"/>
      <c r="BB71" s="857"/>
      <c r="BC71" s="857"/>
      <c r="BD71" s="857"/>
      <c r="BE71" s="857"/>
      <c r="BF71" s="857"/>
      <c r="BG71" s="857"/>
    </row>
    <row r="72" spans="1:59" ht="14.25" customHeight="1">
      <c r="A72" s="857"/>
      <c r="B72" s="857"/>
      <c r="C72" s="857"/>
      <c r="D72" s="857"/>
      <c r="E72" s="857"/>
      <c r="F72" s="857"/>
      <c r="G72" s="857"/>
      <c r="H72" s="857"/>
      <c r="I72" s="857"/>
      <c r="J72" s="857"/>
      <c r="K72" s="857"/>
      <c r="L72" s="857"/>
      <c r="M72" s="857"/>
      <c r="N72" s="857"/>
      <c r="O72" s="857"/>
      <c r="P72" s="857"/>
      <c r="Q72" s="857"/>
      <c r="R72" s="857"/>
      <c r="S72" s="857"/>
      <c r="T72" s="857"/>
      <c r="U72" s="857"/>
      <c r="V72" s="857"/>
      <c r="W72" s="857"/>
      <c r="X72" s="857"/>
      <c r="Y72" s="857"/>
      <c r="Z72" s="857"/>
      <c r="AA72" s="857"/>
      <c r="AB72" s="857"/>
      <c r="AC72" s="857"/>
      <c r="AD72" s="857"/>
      <c r="AE72" s="857"/>
      <c r="AF72" s="857"/>
      <c r="AG72" s="857"/>
      <c r="AH72" s="857"/>
      <c r="AI72" s="857"/>
      <c r="AJ72" s="857"/>
      <c r="AK72" s="857"/>
      <c r="AL72" s="857"/>
      <c r="AM72" s="857"/>
      <c r="AN72" s="857"/>
      <c r="AO72" s="857"/>
      <c r="AP72" s="857"/>
      <c r="AQ72" s="857"/>
      <c r="AR72" s="857"/>
      <c r="AS72" s="857"/>
      <c r="AT72" s="855"/>
      <c r="AU72" s="856"/>
      <c r="AV72" s="857"/>
      <c r="AW72" s="857"/>
      <c r="AX72" s="857"/>
      <c r="AY72" s="857"/>
      <c r="AZ72" s="857"/>
      <c r="BA72" s="857"/>
      <c r="BB72" s="857"/>
      <c r="BC72" s="857"/>
      <c r="BD72" s="857"/>
      <c r="BE72" s="857"/>
      <c r="BF72" s="857"/>
      <c r="BG72" s="857"/>
    </row>
    <row r="73" spans="1:59" ht="14.25" customHeight="1">
      <c r="A73" s="857"/>
      <c r="B73" s="857"/>
      <c r="C73" s="857"/>
      <c r="D73" s="857"/>
      <c r="E73" s="857"/>
      <c r="F73" s="857"/>
      <c r="G73" s="857"/>
      <c r="H73" s="857"/>
      <c r="I73" s="857"/>
      <c r="J73" s="857"/>
      <c r="K73" s="857"/>
      <c r="L73" s="857"/>
      <c r="M73" s="857"/>
      <c r="N73" s="857"/>
      <c r="O73" s="857"/>
      <c r="P73" s="857"/>
      <c r="Q73" s="857"/>
      <c r="R73" s="857"/>
      <c r="S73" s="857"/>
      <c r="T73" s="857"/>
      <c r="U73" s="857"/>
      <c r="V73" s="857"/>
      <c r="W73" s="857"/>
      <c r="X73" s="857"/>
      <c r="Y73" s="857"/>
      <c r="Z73" s="857"/>
      <c r="AA73" s="857"/>
      <c r="AB73" s="857"/>
      <c r="AC73" s="857"/>
      <c r="AD73" s="857"/>
      <c r="AE73" s="857"/>
      <c r="AF73" s="857"/>
      <c r="AG73" s="857"/>
      <c r="AH73" s="857"/>
      <c r="AI73" s="857"/>
      <c r="AJ73" s="857"/>
      <c r="AK73" s="857"/>
      <c r="AL73" s="857"/>
      <c r="AM73" s="857"/>
      <c r="AN73" s="857"/>
      <c r="AO73" s="857"/>
      <c r="AP73" s="857"/>
      <c r="AQ73" s="857"/>
      <c r="AR73" s="857"/>
      <c r="AS73" s="857"/>
      <c r="AT73" s="855"/>
      <c r="AU73" s="856"/>
      <c r="AV73" s="857"/>
      <c r="AW73" s="857"/>
      <c r="AX73" s="857"/>
      <c r="AY73" s="857"/>
      <c r="AZ73" s="857"/>
      <c r="BA73" s="857"/>
      <c r="BB73" s="857"/>
      <c r="BC73" s="857"/>
      <c r="BD73" s="857"/>
      <c r="BE73" s="857"/>
      <c r="BF73" s="857"/>
      <c r="BG73" s="857"/>
    </row>
    <row r="74" spans="1:59" ht="14.25" customHeight="1">
      <c r="A74" s="857"/>
      <c r="B74" s="857"/>
      <c r="C74" s="857"/>
      <c r="D74" s="857"/>
      <c r="E74" s="857"/>
      <c r="F74" s="857"/>
      <c r="G74" s="857"/>
      <c r="H74" s="857"/>
      <c r="I74" s="857"/>
      <c r="J74" s="857"/>
      <c r="K74" s="857"/>
      <c r="L74" s="857"/>
      <c r="M74" s="857"/>
      <c r="N74" s="857"/>
      <c r="O74" s="857"/>
      <c r="P74" s="857"/>
      <c r="Q74" s="857"/>
      <c r="R74" s="857"/>
      <c r="S74" s="857"/>
      <c r="T74" s="857"/>
      <c r="U74" s="857"/>
      <c r="V74" s="857"/>
      <c r="W74" s="857"/>
      <c r="X74" s="857"/>
      <c r="Y74" s="857"/>
      <c r="Z74" s="857"/>
      <c r="AA74" s="857"/>
      <c r="AB74" s="857"/>
      <c r="AC74" s="857"/>
      <c r="AD74" s="857"/>
      <c r="AE74" s="857"/>
      <c r="AF74" s="857"/>
      <c r="AG74" s="857"/>
      <c r="AH74" s="857"/>
      <c r="AI74" s="857"/>
      <c r="AJ74" s="857"/>
      <c r="AK74" s="857"/>
      <c r="AL74" s="857"/>
      <c r="AM74" s="857"/>
      <c r="AN74" s="857"/>
      <c r="AO74" s="857"/>
      <c r="AP74" s="857"/>
      <c r="AQ74" s="857"/>
      <c r="AR74" s="857"/>
      <c r="AS74" s="857"/>
      <c r="AT74" s="855"/>
      <c r="AU74" s="856"/>
      <c r="AV74" s="857"/>
      <c r="AW74" s="857"/>
      <c r="AX74" s="857"/>
      <c r="AY74" s="857"/>
      <c r="AZ74" s="857"/>
      <c r="BA74" s="857"/>
      <c r="BB74" s="857"/>
      <c r="BC74" s="857"/>
      <c r="BD74" s="857"/>
      <c r="BE74" s="857"/>
      <c r="BF74" s="857"/>
      <c r="BG74" s="857"/>
    </row>
    <row r="75" spans="1:59" ht="14.25" customHeight="1">
      <c r="A75" s="857"/>
      <c r="B75" s="857"/>
      <c r="C75" s="857"/>
      <c r="D75" s="857"/>
      <c r="E75" s="857"/>
      <c r="F75" s="857"/>
      <c r="G75" s="857"/>
      <c r="H75" s="857"/>
      <c r="I75" s="857"/>
      <c r="J75" s="857"/>
      <c r="K75" s="857"/>
      <c r="L75" s="857"/>
      <c r="M75" s="857"/>
      <c r="N75" s="857"/>
      <c r="O75" s="857"/>
      <c r="P75" s="857"/>
      <c r="Q75" s="857"/>
      <c r="R75" s="857"/>
      <c r="S75" s="857"/>
      <c r="T75" s="857"/>
      <c r="U75" s="857"/>
      <c r="V75" s="857"/>
      <c r="W75" s="857"/>
      <c r="X75" s="857"/>
      <c r="Y75" s="857"/>
      <c r="Z75" s="857"/>
      <c r="AA75" s="857"/>
      <c r="AB75" s="857"/>
      <c r="AC75" s="857"/>
      <c r="AD75" s="857"/>
      <c r="AE75" s="857"/>
      <c r="AF75" s="857"/>
      <c r="AG75" s="857"/>
      <c r="AH75" s="857"/>
      <c r="AI75" s="857"/>
      <c r="AJ75" s="857"/>
      <c r="AK75" s="857"/>
      <c r="AL75" s="857"/>
      <c r="AM75" s="857"/>
      <c r="AN75" s="857"/>
      <c r="AO75" s="857"/>
      <c r="AP75" s="857"/>
      <c r="AQ75" s="857"/>
      <c r="AR75" s="857"/>
      <c r="AS75" s="857"/>
      <c r="AT75" s="855"/>
      <c r="AU75" s="856"/>
      <c r="AV75" s="857"/>
      <c r="AW75" s="857"/>
      <c r="AX75" s="857"/>
      <c r="AY75" s="857"/>
      <c r="AZ75" s="857"/>
      <c r="BA75" s="857"/>
      <c r="BB75" s="857"/>
      <c r="BC75" s="857"/>
      <c r="BD75" s="857"/>
      <c r="BE75" s="857"/>
      <c r="BF75" s="857"/>
      <c r="BG75" s="857"/>
    </row>
    <row r="76" spans="1:59" ht="14.25" customHeight="1">
      <c r="A76" s="857"/>
      <c r="B76" s="857"/>
      <c r="C76" s="857"/>
      <c r="D76" s="857"/>
      <c r="E76" s="857"/>
      <c r="F76" s="857"/>
      <c r="G76" s="857"/>
      <c r="H76" s="857"/>
      <c r="I76" s="857"/>
      <c r="J76" s="857"/>
      <c r="K76" s="857"/>
      <c r="L76" s="857"/>
      <c r="M76" s="857"/>
      <c r="N76" s="857"/>
      <c r="O76" s="857"/>
      <c r="P76" s="857"/>
      <c r="Q76" s="857"/>
      <c r="R76" s="857"/>
      <c r="S76" s="857"/>
      <c r="T76" s="857"/>
      <c r="U76" s="857"/>
      <c r="V76" s="857"/>
      <c r="W76" s="857"/>
      <c r="X76" s="857"/>
      <c r="Y76" s="857"/>
      <c r="Z76" s="857"/>
      <c r="AA76" s="857"/>
      <c r="AB76" s="857"/>
      <c r="AC76" s="857"/>
      <c r="AD76" s="857"/>
      <c r="AE76" s="857"/>
      <c r="AF76" s="857"/>
      <c r="AG76" s="857"/>
      <c r="AH76" s="857"/>
      <c r="AI76" s="857"/>
      <c r="AJ76" s="857"/>
      <c r="AK76" s="857"/>
      <c r="AL76" s="857"/>
      <c r="AM76" s="857"/>
      <c r="AN76" s="857"/>
      <c r="AO76" s="857"/>
      <c r="AP76" s="857"/>
      <c r="AQ76" s="857"/>
      <c r="AR76" s="857"/>
      <c r="AS76" s="857"/>
      <c r="AT76" s="855"/>
      <c r="AU76" s="856"/>
      <c r="AV76" s="857"/>
      <c r="AW76" s="857"/>
      <c r="AX76" s="857"/>
      <c r="AY76" s="857"/>
      <c r="AZ76" s="857"/>
      <c r="BA76" s="857"/>
      <c r="BB76" s="857"/>
      <c r="BC76" s="857"/>
      <c r="BD76" s="857"/>
      <c r="BE76" s="857"/>
      <c r="BF76" s="857"/>
      <c r="BG76" s="857"/>
    </row>
    <row r="77" spans="1:59" ht="14.25" customHeight="1">
      <c r="A77" s="857"/>
      <c r="B77" s="857"/>
      <c r="C77" s="857"/>
      <c r="D77" s="857"/>
      <c r="E77" s="857"/>
      <c r="F77" s="857"/>
      <c r="G77" s="857"/>
      <c r="H77" s="857"/>
      <c r="I77" s="857"/>
      <c r="J77" s="857"/>
      <c r="K77" s="857"/>
      <c r="L77" s="857"/>
      <c r="M77" s="857"/>
      <c r="N77" s="857"/>
      <c r="O77" s="857"/>
      <c r="P77" s="857"/>
      <c r="Q77" s="857"/>
      <c r="R77" s="857"/>
      <c r="S77" s="857"/>
      <c r="T77" s="857"/>
      <c r="U77" s="857"/>
      <c r="V77" s="857"/>
      <c r="W77" s="857"/>
      <c r="X77" s="857"/>
      <c r="Y77" s="857"/>
      <c r="Z77" s="857"/>
      <c r="AA77" s="857"/>
      <c r="AB77" s="857"/>
      <c r="AC77" s="857"/>
      <c r="AD77" s="857"/>
      <c r="AE77" s="857"/>
      <c r="AF77" s="857"/>
      <c r="AG77" s="857"/>
      <c r="AH77" s="857"/>
      <c r="AI77" s="857"/>
      <c r="AJ77" s="857"/>
      <c r="AK77" s="857"/>
      <c r="AL77" s="857"/>
      <c r="AM77" s="857"/>
      <c r="AN77" s="857"/>
      <c r="AO77" s="857"/>
      <c r="AP77" s="857"/>
      <c r="AQ77" s="857"/>
      <c r="AR77" s="857"/>
      <c r="AS77" s="857"/>
      <c r="AT77" s="855"/>
      <c r="AU77" s="856"/>
      <c r="AV77" s="857"/>
      <c r="AW77" s="857"/>
      <c r="AX77" s="857"/>
      <c r="AY77" s="857"/>
      <c r="AZ77" s="857"/>
      <c r="BA77" s="857"/>
      <c r="BB77" s="857"/>
      <c r="BC77" s="857"/>
      <c r="BD77" s="857"/>
      <c r="BE77" s="857"/>
      <c r="BF77" s="857"/>
      <c r="BG77" s="857"/>
    </row>
    <row r="78" spans="1:59" ht="14.25" customHeight="1">
      <c r="A78" s="857"/>
      <c r="B78" s="857"/>
      <c r="C78" s="857"/>
      <c r="D78" s="857"/>
      <c r="E78" s="857"/>
      <c r="F78" s="857"/>
      <c r="G78" s="857"/>
      <c r="H78" s="857"/>
      <c r="I78" s="857"/>
      <c r="J78" s="857"/>
      <c r="K78" s="857"/>
      <c r="L78" s="857"/>
      <c r="M78" s="857"/>
      <c r="N78" s="857"/>
      <c r="O78" s="857"/>
      <c r="P78" s="857"/>
      <c r="Q78" s="857"/>
      <c r="R78" s="857"/>
      <c r="S78" s="857"/>
      <c r="T78" s="857"/>
      <c r="U78" s="857"/>
      <c r="V78" s="857"/>
      <c r="W78" s="857"/>
      <c r="X78" s="857"/>
      <c r="Y78" s="857"/>
      <c r="Z78" s="857"/>
      <c r="AA78" s="857"/>
      <c r="AB78" s="857"/>
      <c r="AC78" s="857"/>
      <c r="AD78" s="857"/>
      <c r="AE78" s="857"/>
      <c r="AF78" s="857"/>
      <c r="AG78" s="857"/>
      <c r="AH78" s="857"/>
      <c r="AI78" s="857"/>
      <c r="AJ78" s="857"/>
      <c r="AK78" s="857"/>
      <c r="AL78" s="857"/>
      <c r="AM78" s="857"/>
      <c r="AN78" s="857"/>
      <c r="AO78" s="857"/>
      <c r="AP78" s="857"/>
      <c r="AQ78" s="857"/>
      <c r="AR78" s="857"/>
      <c r="AS78" s="857"/>
      <c r="AT78" s="855"/>
      <c r="AU78" s="856"/>
      <c r="AV78" s="857"/>
      <c r="AW78" s="857"/>
      <c r="AX78" s="857"/>
      <c r="AY78" s="857"/>
      <c r="AZ78" s="857"/>
      <c r="BA78" s="857"/>
      <c r="BB78" s="857"/>
      <c r="BC78" s="857"/>
      <c r="BD78" s="857"/>
      <c r="BE78" s="857"/>
      <c r="BF78" s="857"/>
      <c r="BG78" s="857"/>
    </row>
    <row r="79" spans="1:59" ht="14.25" customHeight="1">
      <c r="A79" s="857"/>
      <c r="B79" s="857"/>
      <c r="C79" s="857"/>
      <c r="D79" s="857"/>
      <c r="E79" s="857"/>
      <c r="F79" s="857"/>
      <c r="G79" s="857"/>
      <c r="H79" s="857"/>
      <c r="I79" s="857"/>
      <c r="J79" s="857"/>
      <c r="K79" s="857"/>
      <c r="L79" s="857"/>
      <c r="M79" s="857"/>
      <c r="N79" s="857"/>
      <c r="O79" s="857"/>
      <c r="P79" s="857"/>
      <c r="Q79" s="857"/>
      <c r="R79" s="857"/>
      <c r="S79" s="857"/>
      <c r="T79" s="857"/>
      <c r="U79" s="857"/>
      <c r="V79" s="857"/>
      <c r="W79" s="857"/>
      <c r="X79" s="857"/>
      <c r="Y79" s="857"/>
      <c r="Z79" s="857"/>
      <c r="AA79" s="857"/>
      <c r="AB79" s="857"/>
      <c r="AC79" s="857"/>
      <c r="AD79" s="857"/>
      <c r="AE79" s="857"/>
      <c r="AF79" s="857"/>
      <c r="AG79" s="857"/>
      <c r="AH79" s="857"/>
      <c r="AI79" s="857"/>
      <c r="AJ79" s="857"/>
      <c r="AK79" s="857"/>
      <c r="AL79" s="857"/>
      <c r="AM79" s="857"/>
      <c r="AN79" s="857"/>
      <c r="AO79" s="857"/>
      <c r="AP79" s="857"/>
      <c r="AQ79" s="857"/>
      <c r="AR79" s="857"/>
      <c r="AS79" s="857"/>
      <c r="AT79" s="855"/>
      <c r="AU79" s="856"/>
      <c r="AV79" s="857"/>
      <c r="AW79" s="857"/>
      <c r="AX79" s="857"/>
      <c r="AY79" s="857"/>
      <c r="AZ79" s="857"/>
      <c r="BA79" s="857"/>
      <c r="BB79" s="857"/>
      <c r="BC79" s="857"/>
      <c r="BD79" s="857"/>
      <c r="BE79" s="857"/>
      <c r="BF79" s="857"/>
      <c r="BG79" s="857"/>
    </row>
    <row r="80" spans="1:59" ht="14.25" customHeight="1">
      <c r="A80" s="857"/>
      <c r="B80" s="857"/>
      <c r="C80" s="857"/>
      <c r="D80" s="857"/>
      <c r="E80" s="857"/>
      <c r="F80" s="857"/>
      <c r="G80" s="857"/>
      <c r="H80" s="857"/>
      <c r="I80" s="857"/>
      <c r="J80" s="857"/>
      <c r="K80" s="857"/>
      <c r="L80" s="857"/>
      <c r="M80" s="857"/>
      <c r="N80" s="857"/>
      <c r="O80" s="857"/>
      <c r="P80" s="857"/>
      <c r="Q80" s="857"/>
      <c r="R80" s="857"/>
      <c r="S80" s="857"/>
      <c r="T80" s="857"/>
      <c r="U80" s="857"/>
      <c r="V80" s="857"/>
      <c r="W80" s="857"/>
      <c r="X80" s="857"/>
      <c r="Y80" s="857"/>
      <c r="Z80" s="857"/>
      <c r="AA80" s="857"/>
      <c r="AB80" s="857"/>
      <c r="AC80" s="857"/>
      <c r="AD80" s="857"/>
      <c r="AE80" s="857"/>
      <c r="AF80" s="857"/>
      <c r="AG80" s="857"/>
      <c r="AH80" s="857"/>
      <c r="AI80" s="857"/>
      <c r="AJ80" s="857"/>
      <c r="AK80" s="857"/>
      <c r="AL80" s="857"/>
      <c r="AM80" s="857"/>
      <c r="AN80" s="857"/>
      <c r="AO80" s="857"/>
      <c r="AP80" s="857"/>
      <c r="AQ80" s="857"/>
      <c r="AR80" s="857"/>
      <c r="AS80" s="857"/>
      <c r="AT80" s="855"/>
      <c r="AU80" s="856"/>
      <c r="AV80" s="857"/>
      <c r="AW80" s="857"/>
      <c r="AX80" s="857"/>
      <c r="AY80" s="857"/>
      <c r="AZ80" s="857"/>
      <c r="BA80" s="857"/>
      <c r="BB80" s="857"/>
      <c r="BC80" s="857"/>
      <c r="BD80" s="857"/>
      <c r="BE80" s="857"/>
      <c r="BF80" s="857"/>
      <c r="BG80" s="857"/>
    </row>
    <row r="81" spans="1:59" ht="14.25" customHeight="1">
      <c r="A81" s="857"/>
      <c r="B81" s="857"/>
      <c r="C81" s="857"/>
      <c r="D81" s="857"/>
      <c r="E81" s="857"/>
      <c r="F81" s="857"/>
      <c r="G81" s="857"/>
      <c r="H81" s="857"/>
      <c r="I81" s="857"/>
      <c r="J81" s="857"/>
      <c r="K81" s="857"/>
      <c r="L81" s="857"/>
      <c r="M81" s="857"/>
      <c r="N81" s="857"/>
      <c r="O81" s="857"/>
      <c r="P81" s="857"/>
      <c r="Q81" s="857"/>
      <c r="R81" s="857"/>
      <c r="S81" s="857"/>
      <c r="T81" s="857"/>
      <c r="U81" s="857"/>
      <c r="V81" s="857"/>
      <c r="W81" s="857"/>
      <c r="X81" s="857"/>
      <c r="Y81" s="857"/>
      <c r="Z81" s="857"/>
      <c r="AA81" s="857"/>
      <c r="AB81" s="857"/>
      <c r="AC81" s="857"/>
      <c r="AD81" s="857"/>
      <c r="AE81" s="857"/>
      <c r="AF81" s="857"/>
      <c r="AG81" s="857"/>
      <c r="AH81" s="857"/>
      <c r="AI81" s="857"/>
      <c r="AJ81" s="857"/>
      <c r="AK81" s="857"/>
      <c r="AL81" s="857"/>
      <c r="AM81" s="857"/>
      <c r="AN81" s="857"/>
      <c r="AO81" s="857"/>
      <c r="AP81" s="857"/>
      <c r="AQ81" s="857"/>
      <c r="AR81" s="857"/>
      <c r="AS81" s="857"/>
      <c r="AT81" s="855"/>
      <c r="AU81" s="856"/>
      <c r="AV81" s="857"/>
      <c r="AW81" s="857"/>
      <c r="AX81" s="857"/>
      <c r="AY81" s="857"/>
      <c r="AZ81" s="857"/>
      <c r="BA81" s="857"/>
      <c r="BB81" s="857"/>
      <c r="BC81" s="857"/>
      <c r="BD81" s="857"/>
      <c r="BE81" s="857"/>
      <c r="BF81" s="857"/>
      <c r="BG81" s="857"/>
    </row>
    <row r="82" spans="1:59" ht="14.25" customHeight="1">
      <c r="A82" s="857"/>
      <c r="B82" s="857"/>
      <c r="C82" s="857"/>
      <c r="D82" s="857"/>
      <c r="E82" s="857"/>
      <c r="F82" s="857"/>
      <c r="G82" s="857"/>
      <c r="H82" s="857"/>
      <c r="I82" s="857"/>
      <c r="J82" s="857"/>
      <c r="K82" s="857"/>
      <c r="L82" s="857"/>
      <c r="M82" s="857"/>
      <c r="N82" s="857"/>
      <c r="O82" s="857"/>
      <c r="P82" s="857"/>
      <c r="Q82" s="857"/>
      <c r="R82" s="857"/>
      <c r="S82" s="857"/>
      <c r="T82" s="857"/>
      <c r="U82" s="857"/>
      <c r="V82" s="857"/>
      <c r="W82" s="857"/>
      <c r="X82" s="857"/>
      <c r="Y82" s="857"/>
      <c r="Z82" s="857"/>
      <c r="AA82" s="857"/>
      <c r="AB82" s="857"/>
      <c r="AC82" s="857"/>
      <c r="AD82" s="857"/>
      <c r="AE82" s="857"/>
      <c r="AF82" s="857"/>
      <c r="AG82" s="857"/>
      <c r="AH82" s="857"/>
      <c r="AI82" s="857"/>
      <c r="AJ82" s="857"/>
      <c r="AK82" s="857"/>
      <c r="AL82" s="857"/>
      <c r="AM82" s="857"/>
      <c r="AN82" s="857"/>
      <c r="AO82" s="857"/>
      <c r="AP82" s="857"/>
      <c r="AQ82" s="857"/>
      <c r="AR82" s="857"/>
      <c r="AS82" s="857"/>
      <c r="AT82" s="855"/>
      <c r="AU82" s="856"/>
      <c r="AV82" s="857"/>
      <c r="AW82" s="857"/>
      <c r="AX82" s="857"/>
      <c r="AY82" s="857"/>
      <c r="AZ82" s="857"/>
      <c r="BA82" s="857"/>
      <c r="BB82" s="857"/>
      <c r="BC82" s="857"/>
      <c r="BD82" s="857"/>
      <c r="BE82" s="857"/>
      <c r="BF82" s="857"/>
      <c r="BG82" s="857"/>
    </row>
    <row r="83" spans="1:59" ht="14.25" customHeight="1">
      <c r="A83" s="857"/>
      <c r="B83" s="857"/>
      <c r="C83" s="857"/>
      <c r="D83" s="857"/>
      <c r="E83" s="857"/>
      <c r="F83" s="857"/>
      <c r="G83" s="857"/>
      <c r="H83" s="857"/>
      <c r="I83" s="857"/>
      <c r="J83" s="857"/>
      <c r="K83" s="857"/>
      <c r="L83" s="857"/>
      <c r="M83" s="857"/>
      <c r="N83" s="857"/>
      <c r="O83" s="857"/>
      <c r="P83" s="857"/>
      <c r="Q83" s="857"/>
      <c r="R83" s="857"/>
      <c r="S83" s="857"/>
      <c r="T83" s="857"/>
      <c r="U83" s="857"/>
      <c r="V83" s="857"/>
      <c r="W83" s="857"/>
      <c r="X83" s="857"/>
      <c r="Y83" s="857"/>
      <c r="Z83" s="857"/>
      <c r="AA83" s="857"/>
      <c r="AB83" s="857"/>
      <c r="AC83" s="857"/>
      <c r="AD83" s="857"/>
      <c r="AE83" s="857"/>
      <c r="AF83" s="857"/>
      <c r="AG83" s="857"/>
      <c r="AH83" s="857"/>
      <c r="AI83" s="857"/>
      <c r="AJ83" s="857"/>
      <c r="AK83" s="857"/>
      <c r="AL83" s="857"/>
      <c r="AM83" s="857"/>
      <c r="AN83" s="857"/>
      <c r="AO83" s="857"/>
      <c r="AP83" s="857"/>
      <c r="AQ83" s="857"/>
      <c r="AR83" s="857"/>
      <c r="AS83" s="857"/>
      <c r="AT83" s="855"/>
      <c r="AU83" s="856"/>
      <c r="AV83" s="857"/>
      <c r="AW83" s="857"/>
      <c r="AX83" s="857"/>
      <c r="AY83" s="857"/>
      <c r="AZ83" s="857"/>
      <c r="BA83" s="857"/>
      <c r="BB83" s="857"/>
      <c r="BC83" s="857"/>
      <c r="BD83" s="857"/>
      <c r="BE83" s="857"/>
      <c r="BF83" s="857"/>
      <c r="BG83" s="857"/>
    </row>
    <row r="84" spans="1:59" ht="14.25" customHeight="1">
      <c r="A84" s="857"/>
      <c r="B84" s="857"/>
      <c r="C84" s="857"/>
      <c r="D84" s="857"/>
      <c r="E84" s="857"/>
      <c r="F84" s="857"/>
      <c r="G84" s="857"/>
      <c r="H84" s="857"/>
      <c r="I84" s="857"/>
      <c r="J84" s="857"/>
      <c r="K84" s="857"/>
      <c r="L84" s="857"/>
      <c r="M84" s="857"/>
      <c r="N84" s="857"/>
      <c r="O84" s="857"/>
      <c r="P84" s="857"/>
      <c r="Q84" s="857"/>
      <c r="R84" s="857"/>
      <c r="S84" s="857"/>
      <c r="T84" s="857"/>
      <c r="U84" s="857"/>
      <c r="V84" s="857"/>
      <c r="W84" s="857"/>
      <c r="X84" s="857"/>
      <c r="Y84" s="857"/>
      <c r="Z84" s="857"/>
      <c r="AA84" s="857"/>
      <c r="AB84" s="857"/>
      <c r="AC84" s="857"/>
      <c r="AD84" s="857"/>
      <c r="AE84" s="857"/>
      <c r="AF84" s="857"/>
      <c r="AG84" s="857"/>
      <c r="AH84" s="857"/>
      <c r="AI84" s="857"/>
      <c r="AJ84" s="857"/>
      <c r="AK84" s="857"/>
      <c r="AL84" s="857"/>
      <c r="AM84" s="857"/>
      <c r="AN84" s="857"/>
      <c r="AO84" s="857"/>
      <c r="AP84" s="857"/>
      <c r="AQ84" s="857"/>
      <c r="AR84" s="857"/>
      <c r="AS84" s="857"/>
      <c r="AT84" s="855"/>
      <c r="AU84" s="856"/>
      <c r="AV84" s="857"/>
      <c r="AW84" s="857"/>
      <c r="AX84" s="857"/>
      <c r="AY84" s="857"/>
      <c r="AZ84" s="857"/>
      <c r="BA84" s="857"/>
      <c r="BB84" s="857"/>
      <c r="BC84" s="857"/>
      <c r="BD84" s="857"/>
      <c r="BE84" s="857"/>
      <c r="BF84" s="857"/>
      <c r="BG84" s="857"/>
    </row>
    <row r="85" spans="1:59" ht="14.25" customHeight="1">
      <c r="A85" s="857"/>
      <c r="B85" s="857"/>
      <c r="C85" s="857"/>
      <c r="D85" s="857"/>
      <c r="E85" s="857"/>
      <c r="F85" s="857"/>
      <c r="G85" s="857"/>
      <c r="H85" s="857"/>
      <c r="I85" s="857"/>
      <c r="J85" s="857"/>
      <c r="K85" s="857"/>
      <c r="L85" s="857"/>
      <c r="M85" s="857"/>
      <c r="N85" s="857"/>
      <c r="O85" s="857"/>
      <c r="P85" s="857"/>
      <c r="Q85" s="857"/>
      <c r="R85" s="857"/>
      <c r="S85" s="857"/>
      <c r="T85" s="857"/>
      <c r="U85" s="857"/>
      <c r="V85" s="857"/>
      <c r="W85" s="857"/>
      <c r="X85" s="857"/>
      <c r="Y85" s="857"/>
      <c r="Z85" s="857"/>
      <c r="AA85" s="857"/>
      <c r="AB85" s="857"/>
      <c r="AC85" s="857"/>
      <c r="AD85" s="857"/>
      <c r="AE85" s="857"/>
      <c r="AF85" s="857"/>
      <c r="AG85" s="857"/>
      <c r="AH85" s="857"/>
      <c r="AI85" s="857"/>
      <c r="AJ85" s="857"/>
      <c r="AK85" s="857"/>
      <c r="AL85" s="857"/>
      <c r="AM85" s="857"/>
      <c r="AN85" s="857"/>
      <c r="AO85" s="857"/>
      <c r="AP85" s="857"/>
      <c r="AQ85" s="857"/>
      <c r="AR85" s="857"/>
      <c r="AS85" s="857"/>
      <c r="AT85" s="855"/>
      <c r="AU85" s="856"/>
      <c r="AV85" s="857"/>
      <c r="AW85" s="857"/>
      <c r="AX85" s="857"/>
      <c r="AY85" s="857"/>
      <c r="AZ85" s="857"/>
      <c r="BA85" s="857"/>
      <c r="BB85" s="857"/>
      <c r="BC85" s="857"/>
      <c r="BD85" s="857"/>
      <c r="BE85" s="857"/>
      <c r="BF85" s="857"/>
      <c r="BG85" s="857"/>
    </row>
    <row r="86" spans="1:59" ht="14.25" customHeight="1">
      <c r="A86" s="857"/>
      <c r="B86" s="857"/>
      <c r="C86" s="857"/>
      <c r="D86" s="857"/>
      <c r="E86" s="857"/>
      <c r="F86" s="857"/>
      <c r="G86" s="857"/>
      <c r="H86" s="857"/>
      <c r="I86" s="857"/>
      <c r="J86" s="857"/>
      <c r="K86" s="857"/>
      <c r="L86" s="857"/>
      <c r="M86" s="857"/>
      <c r="N86" s="857"/>
      <c r="O86" s="857"/>
      <c r="P86" s="857"/>
      <c r="Q86" s="857"/>
      <c r="R86" s="857"/>
      <c r="S86" s="857"/>
      <c r="T86" s="857"/>
      <c r="U86" s="857"/>
      <c r="V86" s="857"/>
      <c r="W86" s="857"/>
      <c r="X86" s="857"/>
      <c r="Y86" s="857"/>
      <c r="Z86" s="857"/>
      <c r="AA86" s="857"/>
      <c r="AB86" s="857"/>
      <c r="AC86" s="857"/>
      <c r="AD86" s="857"/>
      <c r="AE86" s="857"/>
      <c r="AF86" s="857"/>
      <c r="AG86" s="857"/>
      <c r="AH86" s="857"/>
      <c r="AI86" s="857"/>
      <c r="AJ86" s="857"/>
      <c r="AK86" s="857"/>
      <c r="AL86" s="857"/>
      <c r="AM86" s="857"/>
      <c r="AN86" s="857"/>
      <c r="AO86" s="857"/>
      <c r="AP86" s="857"/>
      <c r="AQ86" s="857"/>
      <c r="AR86" s="857"/>
      <c r="AS86" s="857"/>
      <c r="AT86" s="855"/>
      <c r="AU86" s="856"/>
      <c r="AV86" s="857"/>
      <c r="AW86" s="857"/>
      <c r="AX86" s="857"/>
      <c r="AY86" s="857"/>
      <c r="AZ86" s="857"/>
      <c r="BA86" s="857"/>
      <c r="BB86" s="857"/>
      <c r="BC86" s="857"/>
      <c r="BD86" s="857"/>
      <c r="BE86" s="857"/>
      <c r="BF86" s="857"/>
      <c r="BG86" s="857"/>
    </row>
    <row r="87" spans="1:59" ht="14.25" customHeight="1">
      <c r="A87" s="857"/>
      <c r="B87" s="857"/>
      <c r="C87" s="857"/>
      <c r="D87" s="857"/>
      <c r="E87" s="857"/>
      <c r="F87" s="857"/>
      <c r="G87" s="857"/>
      <c r="H87" s="857"/>
      <c r="I87" s="857"/>
      <c r="J87" s="857"/>
      <c r="K87" s="857"/>
      <c r="L87" s="857"/>
      <c r="M87" s="857"/>
      <c r="N87" s="857"/>
      <c r="O87" s="857"/>
      <c r="P87" s="857"/>
      <c r="Q87" s="857"/>
      <c r="R87" s="857"/>
      <c r="S87" s="857"/>
      <c r="T87" s="857"/>
      <c r="U87" s="857"/>
      <c r="V87" s="857"/>
      <c r="W87" s="857"/>
      <c r="X87" s="857"/>
      <c r="Y87" s="857"/>
      <c r="Z87" s="857"/>
      <c r="AA87" s="857"/>
      <c r="AB87" s="857"/>
      <c r="AC87" s="857"/>
      <c r="AD87" s="857"/>
      <c r="AE87" s="857"/>
      <c r="AF87" s="857"/>
      <c r="AG87" s="857"/>
      <c r="AH87" s="857"/>
      <c r="AI87" s="857"/>
      <c r="AJ87" s="857"/>
      <c r="AK87" s="857"/>
      <c r="AL87" s="857"/>
      <c r="AM87" s="857"/>
      <c r="AN87" s="857"/>
      <c r="AO87" s="857"/>
      <c r="AP87" s="857"/>
      <c r="AQ87" s="857"/>
      <c r="AR87" s="857"/>
      <c r="AS87" s="857"/>
      <c r="AT87" s="855"/>
      <c r="AU87" s="856"/>
      <c r="AV87" s="857"/>
      <c r="AW87" s="857"/>
      <c r="AX87" s="857"/>
      <c r="AY87" s="857"/>
      <c r="AZ87" s="857"/>
      <c r="BA87" s="857"/>
      <c r="BB87" s="857"/>
      <c r="BC87" s="857"/>
      <c r="BD87" s="857"/>
      <c r="BE87" s="857"/>
      <c r="BF87" s="857"/>
      <c r="BG87" s="857"/>
    </row>
    <row r="88" spans="1:59" ht="14.25" customHeight="1">
      <c r="A88" s="857"/>
      <c r="B88" s="857"/>
      <c r="C88" s="857"/>
      <c r="D88" s="857"/>
      <c r="E88" s="857"/>
      <c r="F88" s="857"/>
      <c r="G88" s="857"/>
      <c r="H88" s="857"/>
      <c r="I88" s="857"/>
      <c r="J88" s="857"/>
      <c r="K88" s="857"/>
      <c r="L88" s="857"/>
      <c r="M88" s="857"/>
      <c r="N88" s="857"/>
      <c r="O88" s="857"/>
      <c r="P88" s="857"/>
      <c r="Q88" s="857"/>
      <c r="R88" s="857"/>
      <c r="S88" s="857"/>
      <c r="T88" s="857"/>
      <c r="U88" s="857"/>
      <c r="V88" s="857"/>
      <c r="W88" s="857"/>
      <c r="X88" s="857"/>
      <c r="Y88" s="857"/>
      <c r="Z88" s="857"/>
      <c r="AA88" s="857"/>
      <c r="AB88" s="857"/>
      <c r="AC88" s="857"/>
      <c r="AD88" s="857"/>
      <c r="AE88" s="857"/>
      <c r="AF88" s="857"/>
      <c r="AG88" s="857"/>
      <c r="AH88" s="857"/>
      <c r="AI88" s="857"/>
      <c r="AJ88" s="857"/>
      <c r="AK88" s="857"/>
      <c r="AL88" s="857"/>
      <c r="AM88" s="857"/>
      <c r="AN88" s="857"/>
      <c r="AO88" s="857"/>
      <c r="AP88" s="857"/>
      <c r="AQ88" s="857"/>
      <c r="AR88" s="857"/>
      <c r="AS88" s="857"/>
      <c r="AT88" s="855"/>
      <c r="AU88" s="856"/>
      <c r="AV88" s="857"/>
      <c r="AW88" s="857"/>
      <c r="AX88" s="857"/>
      <c r="AY88" s="857"/>
      <c r="AZ88" s="857"/>
      <c r="BA88" s="857"/>
      <c r="BB88" s="857"/>
      <c r="BC88" s="857"/>
      <c r="BD88" s="857"/>
      <c r="BE88" s="857"/>
      <c r="BF88" s="857"/>
      <c r="BG88" s="857"/>
    </row>
    <row r="89" spans="1:59" ht="14.25" customHeight="1">
      <c r="A89" s="857"/>
      <c r="B89" s="857"/>
      <c r="C89" s="857"/>
      <c r="D89" s="857"/>
      <c r="E89" s="857"/>
      <c r="F89" s="857"/>
      <c r="G89" s="857"/>
      <c r="H89" s="857"/>
      <c r="I89" s="857"/>
      <c r="J89" s="857"/>
      <c r="K89" s="857"/>
      <c r="L89" s="857"/>
      <c r="M89" s="857"/>
      <c r="N89" s="857"/>
      <c r="O89" s="857"/>
      <c r="P89" s="857"/>
      <c r="Q89" s="857"/>
      <c r="R89" s="857"/>
      <c r="S89" s="857"/>
      <c r="T89" s="857"/>
      <c r="U89" s="857"/>
      <c r="V89" s="857"/>
      <c r="W89" s="857"/>
      <c r="X89" s="857"/>
      <c r="Y89" s="857"/>
      <c r="Z89" s="857"/>
      <c r="AA89" s="857"/>
      <c r="AB89" s="857"/>
      <c r="AC89" s="857"/>
      <c r="AD89" s="857"/>
      <c r="AE89" s="857"/>
      <c r="AF89" s="857"/>
      <c r="AG89" s="857"/>
      <c r="AH89" s="857"/>
      <c r="AI89" s="857"/>
      <c r="AJ89" s="857"/>
      <c r="AK89" s="857"/>
      <c r="AL89" s="857"/>
      <c r="AM89" s="857"/>
      <c r="AN89" s="857"/>
      <c r="AO89" s="857"/>
      <c r="AP89" s="857"/>
      <c r="AQ89" s="857"/>
      <c r="AR89" s="857"/>
      <c r="AS89" s="857"/>
      <c r="AT89" s="855"/>
      <c r="AU89" s="856"/>
      <c r="AV89" s="857"/>
      <c r="AW89" s="857"/>
      <c r="AX89" s="857"/>
      <c r="AY89" s="857"/>
      <c r="AZ89" s="857"/>
      <c r="BA89" s="857"/>
      <c r="BB89" s="857"/>
      <c r="BC89" s="857"/>
      <c r="BD89" s="857"/>
      <c r="BE89" s="857"/>
      <c r="BF89" s="857"/>
      <c r="BG89" s="857"/>
    </row>
    <row r="90" spans="1:59" ht="14.25" customHeight="1">
      <c r="A90" s="857"/>
      <c r="B90" s="857"/>
      <c r="C90" s="857"/>
      <c r="D90" s="857"/>
      <c r="E90" s="857"/>
      <c r="F90" s="857"/>
      <c r="G90" s="857"/>
      <c r="H90" s="857"/>
      <c r="I90" s="857"/>
      <c r="J90" s="857"/>
      <c r="K90" s="857"/>
      <c r="L90" s="857"/>
      <c r="M90" s="857"/>
      <c r="N90" s="857"/>
      <c r="O90" s="857"/>
      <c r="P90" s="857"/>
      <c r="Q90" s="857"/>
      <c r="R90" s="857"/>
      <c r="S90" s="857"/>
      <c r="T90" s="857"/>
      <c r="U90" s="857"/>
      <c r="V90" s="857"/>
      <c r="W90" s="857"/>
      <c r="X90" s="857"/>
      <c r="Y90" s="857"/>
      <c r="Z90" s="857"/>
      <c r="AA90" s="857"/>
      <c r="AB90" s="857"/>
      <c r="AC90" s="857"/>
      <c r="AD90" s="857"/>
      <c r="AE90" s="857"/>
      <c r="AF90" s="857"/>
      <c r="AG90" s="857"/>
      <c r="AH90" s="857"/>
      <c r="AI90" s="857"/>
      <c r="AJ90" s="857"/>
      <c r="AK90" s="857"/>
      <c r="AL90" s="857"/>
      <c r="AM90" s="857"/>
      <c r="AN90" s="857"/>
      <c r="AO90" s="857"/>
      <c r="AP90" s="857"/>
      <c r="AQ90" s="857"/>
      <c r="AR90" s="857"/>
      <c r="AS90" s="857"/>
      <c r="AT90" s="855"/>
      <c r="AU90" s="856"/>
      <c r="AV90" s="857"/>
      <c r="AW90" s="857"/>
      <c r="AX90" s="857"/>
      <c r="AY90" s="857"/>
      <c r="AZ90" s="857"/>
      <c r="BA90" s="857"/>
      <c r="BB90" s="857"/>
      <c r="BC90" s="857"/>
      <c r="BD90" s="857"/>
      <c r="BE90" s="857"/>
      <c r="BF90" s="857"/>
      <c r="BG90" s="857"/>
    </row>
    <row r="91" spans="1:59" ht="14.25" customHeight="1">
      <c r="A91" s="857"/>
      <c r="B91" s="857"/>
      <c r="C91" s="857"/>
      <c r="D91" s="857"/>
      <c r="E91" s="857"/>
      <c r="F91" s="857"/>
      <c r="G91" s="857"/>
      <c r="H91" s="857"/>
      <c r="I91" s="857"/>
      <c r="J91" s="857"/>
      <c r="K91" s="857"/>
      <c r="L91" s="857"/>
      <c r="M91" s="857"/>
      <c r="N91" s="857"/>
      <c r="O91" s="857"/>
      <c r="P91" s="857"/>
      <c r="Q91" s="857"/>
      <c r="R91" s="857"/>
      <c r="S91" s="857"/>
      <c r="T91" s="857"/>
      <c r="U91" s="857"/>
      <c r="V91" s="857"/>
      <c r="W91" s="857"/>
      <c r="X91" s="857"/>
      <c r="Y91" s="857"/>
      <c r="Z91" s="857"/>
      <c r="AA91" s="857"/>
      <c r="AB91" s="857"/>
      <c r="AC91" s="857"/>
      <c r="AD91" s="857"/>
      <c r="AE91" s="857"/>
      <c r="AF91" s="857"/>
      <c r="AG91" s="857"/>
      <c r="AH91" s="857"/>
      <c r="AI91" s="857"/>
      <c r="AJ91" s="857"/>
      <c r="AK91" s="857"/>
      <c r="AL91" s="857"/>
      <c r="AM91" s="857"/>
      <c r="AN91" s="857"/>
      <c r="AO91" s="857"/>
      <c r="AP91" s="857"/>
      <c r="AQ91" s="857"/>
      <c r="AR91" s="857"/>
      <c r="AS91" s="857"/>
      <c r="AT91" s="855"/>
      <c r="AU91" s="856"/>
      <c r="AV91" s="857"/>
      <c r="AW91" s="857"/>
      <c r="AX91" s="857"/>
      <c r="AY91" s="857"/>
      <c r="AZ91" s="857"/>
      <c r="BA91" s="857"/>
      <c r="BB91" s="857"/>
      <c r="BC91" s="857"/>
      <c r="BD91" s="857"/>
      <c r="BE91" s="857"/>
      <c r="BF91" s="857"/>
      <c r="BG91" s="857"/>
    </row>
    <row r="92" spans="1:59" ht="14.25" customHeight="1">
      <c r="A92" s="857"/>
      <c r="B92" s="857"/>
      <c r="C92" s="857"/>
      <c r="D92" s="857"/>
      <c r="E92" s="857"/>
      <c r="F92" s="857"/>
      <c r="G92" s="857"/>
      <c r="H92" s="857"/>
      <c r="I92" s="857"/>
      <c r="J92" s="857"/>
      <c r="K92" s="857"/>
      <c r="L92" s="857"/>
      <c r="M92" s="857"/>
      <c r="N92" s="857"/>
      <c r="O92" s="857"/>
      <c r="P92" s="857"/>
      <c r="Q92" s="857"/>
      <c r="R92" s="857"/>
      <c r="S92" s="857"/>
      <c r="T92" s="857"/>
      <c r="U92" s="857"/>
      <c r="V92" s="857"/>
      <c r="W92" s="857"/>
      <c r="X92" s="857"/>
      <c r="Y92" s="857"/>
      <c r="Z92" s="857"/>
      <c r="AA92" s="857"/>
      <c r="AB92" s="857"/>
      <c r="AC92" s="857"/>
      <c r="AD92" s="857"/>
      <c r="AE92" s="857"/>
      <c r="AF92" s="857"/>
      <c r="AG92" s="857"/>
      <c r="AH92" s="857"/>
      <c r="AI92" s="857"/>
      <c r="AJ92" s="857"/>
      <c r="AK92" s="857"/>
      <c r="AL92" s="857"/>
      <c r="AM92" s="857"/>
      <c r="AN92" s="857"/>
      <c r="AO92" s="857"/>
      <c r="AP92" s="857"/>
      <c r="AQ92" s="857"/>
      <c r="AR92" s="857"/>
      <c r="AS92" s="857"/>
      <c r="AT92" s="855"/>
      <c r="AU92" s="856"/>
      <c r="AV92" s="857"/>
      <c r="AW92" s="857"/>
      <c r="AX92" s="857"/>
      <c r="AY92" s="857"/>
      <c r="AZ92" s="857"/>
      <c r="BA92" s="857"/>
      <c r="BB92" s="857"/>
      <c r="BC92" s="857"/>
      <c r="BD92" s="857"/>
      <c r="BE92" s="857"/>
      <c r="BF92" s="857"/>
      <c r="BG92" s="857"/>
    </row>
    <row r="93" spans="1:59" ht="14.25" customHeight="1">
      <c r="A93" s="857"/>
      <c r="B93" s="857"/>
      <c r="C93" s="857"/>
      <c r="D93" s="857"/>
      <c r="E93" s="857"/>
      <c r="F93" s="857"/>
      <c r="G93" s="857"/>
      <c r="H93" s="857"/>
      <c r="I93" s="857"/>
      <c r="J93" s="857"/>
      <c r="K93" s="857"/>
      <c r="L93" s="857"/>
      <c r="M93" s="857"/>
      <c r="N93" s="857"/>
      <c r="O93" s="857"/>
      <c r="P93" s="857"/>
      <c r="Q93" s="857"/>
      <c r="R93" s="857"/>
      <c r="S93" s="857"/>
      <c r="T93" s="857"/>
      <c r="U93" s="857"/>
      <c r="V93" s="857"/>
      <c r="W93" s="857"/>
      <c r="X93" s="857"/>
      <c r="Y93" s="857"/>
      <c r="Z93" s="857"/>
      <c r="AA93" s="857"/>
      <c r="AB93" s="857"/>
      <c r="AC93" s="857"/>
      <c r="AD93" s="857"/>
      <c r="AE93" s="857"/>
      <c r="AF93" s="857"/>
      <c r="AG93" s="857"/>
      <c r="AH93" s="857"/>
      <c r="AI93" s="857"/>
      <c r="AJ93" s="857"/>
      <c r="AK93" s="857"/>
      <c r="AL93" s="857"/>
      <c r="AM93" s="857"/>
      <c r="AN93" s="857"/>
      <c r="AO93" s="857"/>
      <c r="AP93" s="857"/>
      <c r="AQ93" s="857"/>
      <c r="AR93" s="857"/>
      <c r="AS93" s="857"/>
      <c r="AT93" s="855"/>
      <c r="AU93" s="856"/>
      <c r="AV93" s="857"/>
      <c r="AW93" s="857"/>
      <c r="AX93" s="857"/>
      <c r="AY93" s="857"/>
      <c r="AZ93" s="857"/>
      <c r="BA93" s="857"/>
      <c r="BB93" s="857"/>
      <c r="BC93" s="857"/>
      <c r="BD93" s="857"/>
      <c r="BE93" s="857"/>
      <c r="BF93" s="857"/>
      <c r="BG93" s="857"/>
    </row>
    <row r="94" spans="1:59" ht="14.25" customHeight="1">
      <c r="A94" s="857"/>
      <c r="B94" s="857"/>
      <c r="C94" s="857"/>
      <c r="D94" s="857"/>
      <c r="E94" s="857"/>
      <c r="F94" s="857"/>
      <c r="G94" s="857"/>
      <c r="H94" s="857"/>
      <c r="I94" s="857"/>
      <c r="J94" s="857"/>
      <c r="K94" s="857"/>
      <c r="L94" s="857"/>
      <c r="M94" s="857"/>
      <c r="N94" s="857"/>
      <c r="O94" s="857"/>
      <c r="P94" s="857"/>
      <c r="Q94" s="857"/>
      <c r="R94" s="857"/>
      <c r="S94" s="857"/>
      <c r="T94" s="857"/>
      <c r="U94" s="857"/>
      <c r="V94" s="857"/>
      <c r="W94" s="857"/>
      <c r="X94" s="857"/>
      <c r="Y94" s="857"/>
      <c r="Z94" s="857"/>
      <c r="AA94" s="857"/>
      <c r="AB94" s="857"/>
      <c r="AC94" s="857"/>
      <c r="AD94" s="857"/>
      <c r="AE94" s="857"/>
      <c r="AF94" s="857"/>
      <c r="AG94" s="857"/>
      <c r="AH94" s="857"/>
      <c r="AI94" s="857"/>
      <c r="AJ94" s="857"/>
      <c r="AK94" s="857"/>
      <c r="AL94" s="857"/>
      <c r="AM94" s="857"/>
      <c r="AN94" s="857"/>
      <c r="AO94" s="857"/>
      <c r="AP94" s="857"/>
      <c r="AQ94" s="857"/>
      <c r="AR94" s="857"/>
      <c r="AS94" s="857"/>
      <c r="AT94" s="855"/>
      <c r="AU94" s="856"/>
      <c r="AV94" s="857"/>
      <c r="AW94" s="857"/>
      <c r="AX94" s="857"/>
      <c r="AY94" s="857"/>
      <c r="AZ94" s="857"/>
      <c r="BA94" s="857"/>
      <c r="BB94" s="857"/>
      <c r="BC94" s="857"/>
      <c r="BD94" s="857"/>
      <c r="BE94" s="857"/>
      <c r="BF94" s="857"/>
      <c r="BG94" s="857"/>
    </row>
    <row r="95" spans="1:59" ht="14.25" customHeight="1">
      <c r="A95" s="857"/>
      <c r="B95" s="857"/>
      <c r="C95" s="857"/>
      <c r="D95" s="857"/>
      <c r="E95" s="857"/>
      <c r="F95" s="857"/>
      <c r="G95" s="857"/>
      <c r="H95" s="857"/>
      <c r="I95" s="857"/>
      <c r="J95" s="857"/>
      <c r="K95" s="857"/>
      <c r="L95" s="857"/>
      <c r="M95" s="857"/>
      <c r="N95" s="857"/>
      <c r="O95" s="857"/>
      <c r="P95" s="857"/>
      <c r="Q95" s="857"/>
      <c r="R95" s="857"/>
      <c r="S95" s="857"/>
      <c r="T95" s="857"/>
      <c r="U95" s="857"/>
      <c r="V95" s="857"/>
      <c r="W95" s="857"/>
      <c r="X95" s="857"/>
      <c r="Y95" s="857"/>
      <c r="Z95" s="857"/>
      <c r="AA95" s="857"/>
      <c r="AB95" s="857"/>
      <c r="AC95" s="857"/>
      <c r="AD95" s="857"/>
      <c r="AE95" s="857"/>
      <c r="AF95" s="857"/>
      <c r="AG95" s="857"/>
      <c r="AH95" s="857"/>
      <c r="AI95" s="857"/>
      <c r="AJ95" s="857"/>
      <c r="AK95" s="857"/>
      <c r="AL95" s="857"/>
      <c r="AM95" s="857"/>
      <c r="AN95" s="857"/>
      <c r="AO95" s="857"/>
      <c r="AP95" s="857"/>
      <c r="AQ95" s="857"/>
      <c r="AR95" s="857"/>
      <c r="AS95" s="857"/>
      <c r="AT95" s="855"/>
      <c r="AU95" s="856"/>
      <c r="AV95" s="857"/>
      <c r="AW95" s="857"/>
      <c r="AX95" s="857"/>
      <c r="AY95" s="857"/>
      <c r="AZ95" s="857"/>
      <c r="BA95" s="857"/>
      <c r="BB95" s="857"/>
      <c r="BC95" s="857"/>
      <c r="BD95" s="857"/>
      <c r="BE95" s="857"/>
      <c r="BF95" s="857"/>
      <c r="BG95" s="857"/>
    </row>
    <row r="96" spans="1:59" ht="14.25" customHeight="1">
      <c r="A96" s="857"/>
      <c r="B96" s="857"/>
      <c r="C96" s="857"/>
      <c r="D96" s="857"/>
      <c r="E96" s="857"/>
      <c r="F96" s="857"/>
      <c r="G96" s="857"/>
      <c r="H96" s="857"/>
      <c r="I96" s="857"/>
      <c r="J96" s="857"/>
      <c r="K96" s="857"/>
      <c r="L96" s="857"/>
      <c r="M96" s="857"/>
      <c r="N96" s="857"/>
      <c r="O96" s="857"/>
      <c r="P96" s="857"/>
      <c r="Q96" s="857"/>
      <c r="R96" s="857"/>
      <c r="S96" s="857"/>
      <c r="T96" s="857"/>
      <c r="U96" s="857"/>
      <c r="V96" s="857"/>
      <c r="W96" s="857"/>
      <c r="X96" s="857"/>
      <c r="Y96" s="857"/>
      <c r="Z96" s="857"/>
      <c r="AA96" s="857"/>
      <c r="AB96" s="857"/>
      <c r="AC96" s="857"/>
      <c r="AD96" s="857"/>
      <c r="AE96" s="857"/>
      <c r="AF96" s="857"/>
      <c r="AG96" s="857"/>
      <c r="AH96" s="857"/>
      <c r="AI96" s="857"/>
      <c r="AJ96" s="857"/>
      <c r="AK96" s="857"/>
      <c r="AL96" s="857"/>
      <c r="AM96" s="857"/>
      <c r="AN96" s="857"/>
      <c r="AO96" s="857"/>
      <c r="AP96" s="857"/>
      <c r="AQ96" s="857"/>
      <c r="AR96" s="857"/>
      <c r="AS96" s="857"/>
      <c r="AT96" s="855"/>
      <c r="AU96" s="856"/>
      <c r="AV96" s="857"/>
      <c r="AW96" s="857"/>
      <c r="AX96" s="857"/>
      <c r="AY96" s="857"/>
      <c r="AZ96" s="857"/>
      <c r="BA96" s="857"/>
      <c r="BB96" s="857"/>
      <c r="BC96" s="857"/>
      <c r="BD96" s="857"/>
      <c r="BE96" s="857"/>
      <c r="BF96" s="857"/>
      <c r="BG96" s="857"/>
    </row>
    <row r="97" spans="1:59" ht="14.25" customHeight="1">
      <c r="A97" s="857"/>
      <c r="B97" s="857"/>
      <c r="C97" s="857"/>
      <c r="D97" s="857"/>
      <c r="E97" s="857"/>
      <c r="F97" s="857"/>
      <c r="G97" s="857"/>
      <c r="H97" s="857"/>
      <c r="I97" s="857"/>
      <c r="J97" s="857"/>
      <c r="K97" s="857"/>
      <c r="L97" s="857"/>
      <c r="M97" s="857"/>
      <c r="N97" s="857"/>
      <c r="O97" s="857"/>
      <c r="P97" s="857"/>
      <c r="Q97" s="857"/>
      <c r="R97" s="857"/>
      <c r="S97" s="857"/>
      <c r="T97" s="857"/>
      <c r="U97" s="857"/>
      <c r="V97" s="857"/>
      <c r="W97" s="857"/>
      <c r="X97" s="857"/>
      <c r="Y97" s="857"/>
      <c r="Z97" s="857"/>
      <c r="AA97" s="857"/>
      <c r="AB97" s="857"/>
      <c r="AC97" s="857"/>
      <c r="AD97" s="857"/>
      <c r="AE97" s="857"/>
      <c r="AF97" s="857"/>
      <c r="AG97" s="857"/>
      <c r="AH97" s="857"/>
      <c r="AI97" s="857"/>
      <c r="AJ97" s="857"/>
      <c r="AK97" s="857"/>
      <c r="AL97" s="857"/>
      <c r="AM97" s="857"/>
      <c r="AN97" s="857"/>
      <c r="AO97" s="857"/>
      <c r="AP97" s="857"/>
      <c r="AQ97" s="857"/>
      <c r="AR97" s="857"/>
      <c r="AS97" s="857"/>
      <c r="AT97" s="855"/>
      <c r="AU97" s="856"/>
      <c r="AV97" s="857"/>
      <c r="AW97" s="857"/>
      <c r="AX97" s="857"/>
      <c r="AY97" s="857"/>
      <c r="AZ97" s="857"/>
      <c r="BA97" s="857"/>
      <c r="BB97" s="857"/>
      <c r="BC97" s="857"/>
      <c r="BD97" s="857"/>
      <c r="BE97" s="857"/>
      <c r="BF97" s="857"/>
      <c r="BG97" s="857"/>
    </row>
    <row r="98" spans="1:59" ht="14.25" customHeight="1">
      <c r="A98" s="857"/>
      <c r="B98" s="857"/>
      <c r="C98" s="857"/>
      <c r="D98" s="857"/>
      <c r="E98" s="857"/>
      <c r="F98" s="857"/>
      <c r="G98" s="857"/>
      <c r="H98" s="857"/>
      <c r="I98" s="857"/>
      <c r="J98" s="857"/>
      <c r="K98" s="857"/>
      <c r="L98" s="857"/>
      <c r="M98" s="857"/>
      <c r="N98" s="857"/>
      <c r="O98" s="857"/>
      <c r="P98" s="857"/>
      <c r="Q98" s="857"/>
      <c r="R98" s="857"/>
      <c r="S98" s="857"/>
      <c r="T98" s="857"/>
      <c r="U98" s="857"/>
      <c r="V98" s="857"/>
      <c r="W98" s="857"/>
      <c r="X98" s="857"/>
      <c r="Y98" s="857"/>
      <c r="Z98" s="857"/>
      <c r="AA98" s="857"/>
      <c r="AB98" s="857"/>
      <c r="AC98" s="857"/>
      <c r="AD98" s="857"/>
      <c r="AE98" s="857"/>
      <c r="AF98" s="857"/>
      <c r="AG98" s="857"/>
      <c r="AH98" s="857"/>
      <c r="AI98" s="857"/>
      <c r="AJ98" s="857"/>
      <c r="AK98" s="857"/>
      <c r="AL98" s="857"/>
      <c r="AM98" s="857"/>
      <c r="AN98" s="857"/>
      <c r="AO98" s="857"/>
      <c r="AP98" s="857"/>
      <c r="AQ98" s="857"/>
      <c r="AR98" s="857"/>
      <c r="AS98" s="857"/>
      <c r="AT98" s="855"/>
      <c r="AU98" s="856"/>
      <c r="AV98" s="857"/>
      <c r="AW98" s="857"/>
      <c r="AX98" s="857"/>
      <c r="AY98" s="857"/>
      <c r="AZ98" s="857"/>
      <c r="BA98" s="857"/>
      <c r="BB98" s="857"/>
      <c r="BC98" s="857"/>
      <c r="BD98" s="857"/>
      <c r="BE98" s="857"/>
      <c r="BF98" s="857"/>
      <c r="BG98" s="857"/>
    </row>
    <row r="99" spans="1:59" ht="14.25" customHeight="1">
      <c r="A99" s="857"/>
      <c r="B99" s="857"/>
      <c r="C99" s="857"/>
      <c r="D99" s="857"/>
      <c r="E99" s="857"/>
      <c r="F99" s="857"/>
      <c r="G99" s="857"/>
      <c r="H99" s="857"/>
      <c r="I99" s="857"/>
      <c r="J99" s="857"/>
      <c r="K99" s="857"/>
      <c r="L99" s="857"/>
      <c r="M99" s="857"/>
      <c r="N99" s="857"/>
      <c r="O99" s="857"/>
      <c r="P99" s="857"/>
      <c r="Q99" s="857"/>
      <c r="R99" s="857"/>
      <c r="S99" s="857"/>
      <c r="T99" s="857"/>
      <c r="U99" s="857"/>
      <c r="V99" s="857"/>
      <c r="W99" s="857"/>
      <c r="X99" s="857"/>
      <c r="Y99" s="857"/>
      <c r="Z99" s="857"/>
      <c r="AA99" s="857"/>
      <c r="AB99" s="857"/>
      <c r="AC99" s="857"/>
      <c r="AD99" s="857"/>
      <c r="AE99" s="857"/>
      <c r="AF99" s="857"/>
      <c r="AG99" s="857"/>
      <c r="AH99" s="857"/>
      <c r="AI99" s="857"/>
      <c r="AJ99" s="857"/>
      <c r="AK99" s="857"/>
      <c r="AL99" s="857"/>
      <c r="AM99" s="857"/>
      <c r="AN99" s="857"/>
      <c r="AO99" s="857"/>
      <c r="AP99" s="857"/>
      <c r="AQ99" s="857"/>
      <c r="AR99" s="857"/>
      <c r="AS99" s="857"/>
      <c r="AT99" s="855"/>
      <c r="AU99" s="856"/>
      <c r="AV99" s="857"/>
      <c r="AW99" s="857"/>
      <c r="AX99" s="857"/>
      <c r="AY99" s="857"/>
      <c r="AZ99" s="857"/>
      <c r="BA99" s="857"/>
      <c r="BB99" s="857"/>
      <c r="BC99" s="857"/>
      <c r="BD99" s="857"/>
      <c r="BE99" s="857"/>
      <c r="BF99" s="857"/>
      <c r="BG99" s="857"/>
    </row>
    <row r="100" spans="1:59" ht="14.25" customHeight="1">
      <c r="A100" s="857"/>
      <c r="B100" s="857"/>
      <c r="C100" s="857"/>
      <c r="D100" s="857"/>
      <c r="E100" s="857"/>
      <c r="F100" s="857"/>
      <c r="G100" s="857"/>
      <c r="H100" s="857"/>
      <c r="I100" s="857"/>
      <c r="J100" s="857"/>
      <c r="K100" s="857"/>
      <c r="L100" s="857"/>
      <c r="M100" s="857"/>
      <c r="N100" s="857"/>
      <c r="O100" s="857"/>
      <c r="P100" s="857"/>
      <c r="Q100" s="857"/>
      <c r="R100" s="857"/>
      <c r="S100" s="857"/>
      <c r="T100" s="857"/>
      <c r="U100" s="857"/>
      <c r="V100" s="857"/>
      <c r="W100" s="857"/>
      <c r="X100" s="857"/>
      <c r="Y100" s="857"/>
      <c r="Z100" s="857"/>
      <c r="AA100" s="857"/>
      <c r="AB100" s="857"/>
      <c r="AC100" s="857"/>
      <c r="AD100" s="857"/>
      <c r="AE100" s="857"/>
      <c r="AF100" s="857"/>
      <c r="AG100" s="857"/>
      <c r="AH100" s="857"/>
      <c r="AI100" s="857"/>
      <c r="AJ100" s="857"/>
      <c r="AK100" s="857"/>
      <c r="AL100" s="857"/>
      <c r="AM100" s="857"/>
      <c r="AN100" s="857"/>
      <c r="AO100" s="857"/>
      <c r="AP100" s="857"/>
      <c r="AQ100" s="857"/>
      <c r="AR100" s="857"/>
      <c r="AS100" s="857"/>
      <c r="AT100" s="855"/>
      <c r="AU100" s="856"/>
      <c r="AV100" s="857"/>
      <c r="AW100" s="857"/>
      <c r="AX100" s="857"/>
      <c r="AY100" s="857"/>
      <c r="AZ100" s="857"/>
      <c r="BA100" s="857"/>
      <c r="BB100" s="857"/>
      <c r="BC100" s="857"/>
      <c r="BD100" s="857"/>
      <c r="BE100" s="857"/>
      <c r="BF100" s="857"/>
      <c r="BG100" s="857"/>
    </row>
    <row r="101" spans="1:59" ht="14.25" customHeight="1">
      <c r="A101" s="857"/>
      <c r="B101" s="857"/>
      <c r="C101" s="857"/>
      <c r="D101" s="857"/>
      <c r="E101" s="857"/>
      <c r="F101" s="857"/>
      <c r="G101" s="857"/>
      <c r="H101" s="857"/>
      <c r="I101" s="857"/>
      <c r="J101" s="857"/>
      <c r="K101" s="857"/>
      <c r="L101" s="857"/>
      <c r="M101" s="857"/>
      <c r="N101" s="857"/>
      <c r="O101" s="857"/>
      <c r="P101" s="857"/>
      <c r="Q101" s="857"/>
      <c r="R101" s="857"/>
      <c r="S101" s="857"/>
      <c r="T101" s="857"/>
      <c r="U101" s="857"/>
      <c r="V101" s="857"/>
      <c r="W101" s="857"/>
      <c r="X101" s="857"/>
      <c r="Y101" s="857"/>
      <c r="Z101" s="857"/>
      <c r="AA101" s="857"/>
      <c r="AB101" s="857"/>
      <c r="AC101" s="857"/>
      <c r="AD101" s="857"/>
      <c r="AE101" s="857"/>
      <c r="AF101" s="857"/>
      <c r="AG101" s="857"/>
      <c r="AH101" s="857"/>
      <c r="AI101" s="857"/>
      <c r="AJ101" s="857"/>
      <c r="AK101" s="857"/>
      <c r="AL101" s="857"/>
      <c r="AM101" s="857"/>
      <c r="AN101" s="857"/>
      <c r="AO101" s="857"/>
      <c r="AP101" s="857"/>
      <c r="AQ101" s="857"/>
      <c r="AR101" s="857"/>
      <c r="AS101" s="857"/>
      <c r="AT101" s="855"/>
      <c r="AU101" s="856"/>
      <c r="AV101" s="857"/>
      <c r="AW101" s="857"/>
      <c r="AX101" s="857"/>
      <c r="AY101" s="857"/>
      <c r="AZ101" s="857"/>
      <c r="BA101" s="857"/>
      <c r="BB101" s="857"/>
      <c r="BC101" s="857"/>
      <c r="BD101" s="857"/>
      <c r="BE101" s="857"/>
      <c r="BF101" s="857"/>
      <c r="BG101" s="857"/>
    </row>
    <row r="102" spans="1:59" ht="14.25" customHeight="1">
      <c r="A102" s="857"/>
      <c r="B102" s="857"/>
      <c r="C102" s="857"/>
      <c r="D102" s="857"/>
      <c r="E102" s="857"/>
      <c r="F102" s="857"/>
      <c r="G102" s="857"/>
      <c r="H102" s="857"/>
      <c r="I102" s="857"/>
      <c r="J102" s="857"/>
      <c r="K102" s="857"/>
      <c r="L102" s="857"/>
      <c r="M102" s="857"/>
      <c r="N102" s="857"/>
      <c r="O102" s="857"/>
      <c r="P102" s="857"/>
      <c r="Q102" s="857"/>
      <c r="R102" s="857"/>
      <c r="S102" s="857"/>
      <c r="T102" s="857"/>
      <c r="U102" s="857"/>
      <c r="V102" s="857"/>
      <c r="W102" s="857"/>
      <c r="X102" s="857"/>
      <c r="Y102" s="857"/>
      <c r="Z102" s="857"/>
      <c r="AA102" s="857"/>
      <c r="AB102" s="857"/>
      <c r="AC102" s="857"/>
      <c r="AD102" s="857"/>
      <c r="AE102" s="857"/>
      <c r="AF102" s="857"/>
      <c r="AG102" s="857"/>
      <c r="AH102" s="857"/>
      <c r="AI102" s="857"/>
      <c r="AJ102" s="857"/>
      <c r="AK102" s="857"/>
      <c r="AL102" s="857"/>
      <c r="AM102" s="857"/>
      <c r="AN102" s="857"/>
      <c r="AO102" s="857"/>
      <c r="AP102" s="857"/>
      <c r="AQ102" s="857"/>
      <c r="AR102" s="857"/>
      <c r="AS102" s="857"/>
      <c r="AT102" s="855"/>
      <c r="AU102" s="856"/>
      <c r="AV102" s="857"/>
      <c r="AW102" s="857"/>
      <c r="AX102" s="857"/>
      <c r="AY102" s="857"/>
      <c r="AZ102" s="857"/>
      <c r="BA102" s="857"/>
      <c r="BB102" s="857"/>
      <c r="BC102" s="857"/>
      <c r="BD102" s="857"/>
      <c r="BE102" s="857"/>
      <c r="BF102" s="857"/>
      <c r="BG102" s="857"/>
    </row>
    <row r="103" spans="1:59" ht="14.25" customHeight="1">
      <c r="A103" s="857"/>
      <c r="B103" s="857"/>
      <c r="C103" s="857"/>
      <c r="D103" s="857"/>
      <c r="E103" s="857"/>
      <c r="F103" s="857"/>
      <c r="G103" s="857"/>
      <c r="H103" s="857"/>
      <c r="I103" s="857"/>
      <c r="J103" s="857"/>
      <c r="K103" s="857"/>
      <c r="L103" s="857"/>
      <c r="M103" s="857"/>
      <c r="N103" s="857"/>
      <c r="O103" s="857"/>
      <c r="P103" s="857"/>
      <c r="Q103" s="857"/>
      <c r="R103" s="857"/>
      <c r="S103" s="857"/>
      <c r="T103" s="857"/>
      <c r="U103" s="857"/>
      <c r="V103" s="857"/>
      <c r="W103" s="857"/>
      <c r="X103" s="857"/>
      <c r="Y103" s="857"/>
      <c r="Z103" s="857"/>
      <c r="AA103" s="857"/>
      <c r="AB103" s="857"/>
      <c r="AC103" s="857"/>
      <c r="AD103" s="857"/>
      <c r="AE103" s="857"/>
      <c r="AF103" s="857"/>
      <c r="AG103" s="857"/>
      <c r="AH103" s="857"/>
      <c r="AI103" s="857"/>
      <c r="AJ103" s="857"/>
      <c r="AK103" s="857"/>
      <c r="AL103" s="857"/>
      <c r="AM103" s="857"/>
      <c r="AN103" s="857"/>
      <c r="AO103" s="857"/>
      <c r="AP103" s="857"/>
      <c r="AQ103" s="857"/>
      <c r="AR103" s="857"/>
      <c r="AS103" s="857"/>
      <c r="AT103" s="855"/>
      <c r="AU103" s="856"/>
      <c r="AV103" s="857"/>
      <c r="AW103" s="857"/>
      <c r="AX103" s="857"/>
      <c r="AY103" s="857"/>
      <c r="AZ103" s="857"/>
      <c r="BA103" s="857"/>
      <c r="BB103" s="857"/>
      <c r="BC103" s="857"/>
      <c r="BD103" s="857"/>
      <c r="BE103" s="857"/>
      <c r="BF103" s="857"/>
      <c r="BG103" s="857"/>
    </row>
    <row r="104" spans="1:59" ht="14.25" customHeight="1">
      <c r="A104" s="857"/>
      <c r="B104" s="857"/>
      <c r="C104" s="857"/>
      <c r="D104" s="857"/>
      <c r="E104" s="857"/>
      <c r="F104" s="857"/>
      <c r="G104" s="857"/>
      <c r="H104" s="857"/>
      <c r="I104" s="857"/>
      <c r="J104" s="857"/>
      <c r="K104" s="857"/>
      <c r="L104" s="857"/>
      <c r="M104" s="857"/>
      <c r="N104" s="857"/>
      <c r="O104" s="857"/>
      <c r="P104" s="857"/>
      <c r="Q104" s="857"/>
      <c r="R104" s="857"/>
      <c r="S104" s="857"/>
      <c r="T104" s="857"/>
      <c r="U104" s="857"/>
      <c r="V104" s="857"/>
      <c r="W104" s="857"/>
      <c r="X104" s="857"/>
      <c r="Y104" s="857"/>
      <c r="Z104" s="857"/>
      <c r="AA104" s="857"/>
      <c r="AB104" s="857"/>
      <c r="AC104" s="857"/>
      <c r="AD104" s="857"/>
      <c r="AE104" s="857"/>
      <c r="AF104" s="857"/>
      <c r="AG104" s="857"/>
      <c r="AH104" s="857"/>
      <c r="AI104" s="857"/>
      <c r="AJ104" s="857"/>
      <c r="AK104" s="857"/>
      <c r="AL104" s="857"/>
      <c r="AM104" s="857"/>
      <c r="AN104" s="857"/>
      <c r="AO104" s="857"/>
      <c r="AP104" s="857"/>
      <c r="AQ104" s="857"/>
      <c r="AR104" s="857"/>
      <c r="AS104" s="857"/>
      <c r="AT104" s="855"/>
      <c r="AU104" s="856"/>
      <c r="AV104" s="857"/>
      <c r="AW104" s="857"/>
      <c r="AX104" s="857"/>
      <c r="AY104" s="857"/>
      <c r="AZ104" s="857"/>
      <c r="BA104" s="857"/>
      <c r="BB104" s="857"/>
      <c r="BC104" s="857"/>
      <c r="BD104" s="857"/>
      <c r="BE104" s="857"/>
      <c r="BF104" s="857"/>
      <c r="BG104" s="857"/>
    </row>
    <row r="105" spans="1:59" ht="14.25" customHeight="1">
      <c r="A105" s="857"/>
      <c r="B105" s="857"/>
      <c r="C105" s="857"/>
      <c r="D105" s="857"/>
      <c r="E105" s="857"/>
      <c r="F105" s="857"/>
      <c r="G105" s="857"/>
      <c r="H105" s="857"/>
      <c r="I105" s="857"/>
      <c r="J105" s="857"/>
      <c r="K105" s="857"/>
      <c r="L105" s="857"/>
      <c r="M105" s="857"/>
      <c r="N105" s="857"/>
      <c r="O105" s="857"/>
      <c r="P105" s="857"/>
      <c r="Q105" s="857"/>
      <c r="R105" s="857"/>
      <c r="S105" s="857"/>
      <c r="T105" s="857"/>
      <c r="U105" s="857"/>
      <c r="V105" s="857"/>
      <c r="W105" s="857"/>
      <c r="X105" s="857"/>
      <c r="Y105" s="857"/>
      <c r="Z105" s="857"/>
      <c r="AA105" s="857"/>
      <c r="AB105" s="857"/>
      <c r="AC105" s="857"/>
      <c r="AD105" s="857"/>
      <c r="AE105" s="857"/>
      <c r="AF105" s="857"/>
      <c r="AG105" s="857"/>
      <c r="AH105" s="857"/>
      <c r="AI105" s="857"/>
      <c r="AJ105" s="857"/>
      <c r="AK105" s="857"/>
      <c r="AL105" s="857"/>
      <c r="AM105" s="857"/>
      <c r="AN105" s="857"/>
      <c r="AO105" s="857"/>
      <c r="AP105" s="857"/>
      <c r="AQ105" s="857"/>
      <c r="AR105" s="857"/>
      <c r="AS105" s="857"/>
      <c r="AT105" s="855"/>
      <c r="AU105" s="856"/>
      <c r="AV105" s="857"/>
      <c r="AW105" s="857"/>
      <c r="AX105" s="857"/>
      <c r="AY105" s="857"/>
      <c r="AZ105" s="857"/>
      <c r="BA105" s="857"/>
      <c r="BB105" s="857"/>
      <c r="BC105" s="857"/>
      <c r="BD105" s="857"/>
      <c r="BE105" s="857"/>
      <c r="BF105" s="857"/>
      <c r="BG105" s="857"/>
    </row>
    <row r="106" spans="1:59" ht="14.25" customHeight="1">
      <c r="A106" s="857"/>
      <c r="B106" s="857"/>
      <c r="C106" s="857"/>
      <c r="D106" s="857"/>
      <c r="E106" s="857"/>
      <c r="F106" s="857"/>
      <c r="G106" s="857"/>
      <c r="H106" s="857"/>
      <c r="I106" s="857"/>
      <c r="J106" s="857"/>
      <c r="K106" s="857"/>
      <c r="L106" s="857"/>
      <c r="M106" s="857"/>
      <c r="N106" s="857"/>
      <c r="O106" s="857"/>
      <c r="P106" s="857"/>
      <c r="Q106" s="857"/>
      <c r="R106" s="857"/>
      <c r="S106" s="857"/>
      <c r="T106" s="857"/>
      <c r="U106" s="857"/>
      <c r="V106" s="857"/>
      <c r="W106" s="857"/>
      <c r="X106" s="857"/>
      <c r="Y106" s="857"/>
      <c r="Z106" s="857"/>
      <c r="AA106" s="857"/>
      <c r="AB106" s="857"/>
      <c r="AC106" s="857"/>
      <c r="AD106" s="857"/>
      <c r="AE106" s="857"/>
      <c r="AF106" s="857"/>
      <c r="AG106" s="857"/>
      <c r="AH106" s="857"/>
      <c r="AI106" s="857"/>
      <c r="AJ106" s="857"/>
      <c r="AK106" s="857"/>
      <c r="AL106" s="857"/>
      <c r="AM106" s="857"/>
      <c r="AN106" s="857"/>
      <c r="AO106" s="857"/>
      <c r="AP106" s="857"/>
      <c r="AQ106" s="857"/>
      <c r="AR106" s="857"/>
      <c r="AS106" s="857"/>
      <c r="AT106" s="855"/>
      <c r="AU106" s="856"/>
      <c r="AV106" s="857"/>
      <c r="AW106" s="857"/>
      <c r="AX106" s="857"/>
      <c r="AY106" s="857"/>
      <c r="AZ106" s="857"/>
      <c r="BA106" s="857"/>
      <c r="BB106" s="857"/>
      <c r="BC106" s="857"/>
      <c r="BD106" s="857"/>
      <c r="BE106" s="857"/>
      <c r="BF106" s="857"/>
      <c r="BG106" s="857"/>
    </row>
    <row r="107" spans="1:59" ht="14.25" customHeight="1">
      <c r="A107" s="857"/>
      <c r="B107" s="857"/>
      <c r="C107" s="857"/>
      <c r="D107" s="857"/>
      <c r="E107" s="857"/>
      <c r="F107" s="857"/>
      <c r="G107" s="857"/>
      <c r="H107" s="857"/>
      <c r="I107" s="857"/>
      <c r="J107" s="857"/>
      <c r="K107" s="857"/>
      <c r="L107" s="857"/>
      <c r="M107" s="857"/>
      <c r="N107" s="857"/>
      <c r="O107" s="857"/>
      <c r="P107" s="857"/>
      <c r="Q107" s="857"/>
      <c r="R107" s="857"/>
      <c r="S107" s="857"/>
      <c r="T107" s="857"/>
      <c r="U107" s="857"/>
      <c r="V107" s="857"/>
      <c r="W107" s="857"/>
      <c r="X107" s="857"/>
      <c r="Y107" s="857"/>
      <c r="Z107" s="857"/>
      <c r="AA107" s="857"/>
      <c r="AB107" s="857"/>
      <c r="AC107" s="857"/>
      <c r="AD107" s="857"/>
      <c r="AE107" s="857"/>
      <c r="AF107" s="857"/>
      <c r="AG107" s="857"/>
      <c r="AH107" s="857"/>
      <c r="AI107" s="857"/>
      <c r="AJ107" s="857"/>
      <c r="AK107" s="857"/>
      <c r="AL107" s="857"/>
      <c r="AM107" s="857"/>
      <c r="AN107" s="857"/>
      <c r="AO107" s="857"/>
      <c r="AP107" s="857"/>
      <c r="AQ107" s="857"/>
      <c r="AR107" s="857"/>
      <c r="AS107" s="857"/>
      <c r="AT107" s="855"/>
      <c r="AU107" s="856"/>
      <c r="AV107" s="857"/>
      <c r="AW107" s="857"/>
      <c r="AX107" s="857"/>
      <c r="AY107" s="857"/>
      <c r="AZ107" s="857"/>
      <c r="BA107" s="857"/>
      <c r="BB107" s="857"/>
      <c r="BC107" s="857"/>
      <c r="BD107" s="857"/>
      <c r="BE107" s="857"/>
      <c r="BF107" s="857"/>
      <c r="BG107" s="857"/>
    </row>
    <row r="108" spans="1:59" ht="14.25" customHeight="1">
      <c r="A108" s="857"/>
      <c r="B108" s="857"/>
      <c r="C108" s="857"/>
      <c r="D108" s="857"/>
      <c r="E108" s="857"/>
      <c r="F108" s="857"/>
      <c r="G108" s="857"/>
      <c r="H108" s="857"/>
      <c r="I108" s="857"/>
      <c r="J108" s="857"/>
      <c r="K108" s="857"/>
      <c r="L108" s="857"/>
      <c r="M108" s="857"/>
      <c r="N108" s="857"/>
      <c r="O108" s="857"/>
      <c r="P108" s="857"/>
      <c r="Q108" s="857"/>
      <c r="R108" s="857"/>
      <c r="S108" s="857"/>
      <c r="T108" s="857"/>
      <c r="U108" s="857"/>
      <c r="V108" s="857"/>
      <c r="W108" s="857"/>
      <c r="X108" s="857"/>
      <c r="Y108" s="857"/>
      <c r="Z108" s="857"/>
      <c r="AA108" s="857"/>
      <c r="AB108" s="857"/>
      <c r="AC108" s="857"/>
      <c r="AD108" s="857"/>
      <c r="AE108" s="857"/>
      <c r="AF108" s="857"/>
      <c r="AG108" s="857"/>
      <c r="AH108" s="857"/>
      <c r="AI108" s="857"/>
      <c r="AJ108" s="857"/>
      <c r="AK108" s="857"/>
      <c r="AL108" s="857"/>
      <c r="AM108" s="857"/>
      <c r="AN108" s="857"/>
      <c r="AO108" s="857"/>
      <c r="AP108" s="857"/>
      <c r="AQ108" s="857"/>
      <c r="AR108" s="857"/>
      <c r="AS108" s="857"/>
      <c r="AT108" s="855"/>
      <c r="AU108" s="856"/>
      <c r="AV108" s="857"/>
      <c r="AW108" s="857"/>
      <c r="AX108" s="857"/>
      <c r="AY108" s="857"/>
      <c r="AZ108" s="857"/>
      <c r="BA108" s="857"/>
      <c r="BB108" s="857"/>
      <c r="BC108" s="857"/>
      <c r="BD108" s="857"/>
      <c r="BE108" s="857"/>
      <c r="BF108" s="857"/>
      <c r="BG108" s="857"/>
    </row>
    <row r="109" spans="1:59" ht="14.25" customHeight="1">
      <c r="A109" s="857"/>
      <c r="B109" s="857"/>
      <c r="C109" s="857"/>
      <c r="D109" s="857"/>
      <c r="E109" s="857"/>
      <c r="F109" s="857"/>
      <c r="G109" s="857"/>
      <c r="H109" s="857"/>
      <c r="I109" s="857"/>
      <c r="J109" s="857"/>
      <c r="K109" s="857"/>
      <c r="L109" s="857"/>
      <c r="M109" s="857"/>
      <c r="N109" s="857"/>
      <c r="O109" s="857"/>
      <c r="P109" s="857"/>
      <c r="Q109" s="857"/>
      <c r="R109" s="857"/>
      <c r="S109" s="857"/>
      <c r="T109" s="857"/>
      <c r="U109" s="857"/>
      <c r="V109" s="857"/>
      <c r="W109" s="857"/>
      <c r="X109" s="857"/>
      <c r="Y109" s="857"/>
      <c r="Z109" s="857"/>
      <c r="AA109" s="857"/>
      <c r="AB109" s="857"/>
      <c r="AC109" s="857"/>
      <c r="AD109" s="857"/>
      <c r="AE109" s="857"/>
      <c r="AF109" s="857"/>
      <c r="AG109" s="857"/>
      <c r="AH109" s="857"/>
      <c r="AI109" s="857"/>
      <c r="AJ109" s="857"/>
      <c r="AK109" s="857"/>
      <c r="AL109" s="857"/>
      <c r="AM109" s="857"/>
      <c r="AN109" s="857"/>
      <c r="AO109" s="857"/>
      <c r="AP109" s="857"/>
      <c r="AQ109" s="857"/>
      <c r="AR109" s="857"/>
      <c r="AS109" s="857"/>
      <c r="AT109" s="855"/>
      <c r="AU109" s="856"/>
      <c r="AV109" s="857"/>
      <c r="AW109" s="857"/>
      <c r="AX109" s="857"/>
      <c r="AY109" s="857"/>
      <c r="AZ109" s="857"/>
      <c r="BA109" s="857"/>
      <c r="BB109" s="857"/>
      <c r="BC109" s="857"/>
      <c r="BD109" s="857"/>
      <c r="BE109" s="857"/>
      <c r="BF109" s="857"/>
      <c r="BG109" s="857"/>
    </row>
    <row r="110" spans="1:59" ht="14.25" customHeight="1">
      <c r="A110" s="857"/>
      <c r="B110" s="857"/>
      <c r="C110" s="857"/>
      <c r="D110" s="857"/>
      <c r="E110" s="857"/>
      <c r="F110" s="857"/>
      <c r="G110" s="857"/>
      <c r="H110" s="857"/>
      <c r="I110" s="857"/>
      <c r="J110" s="857"/>
      <c r="K110" s="857"/>
      <c r="L110" s="857"/>
      <c r="M110" s="857"/>
      <c r="N110" s="857"/>
      <c r="O110" s="857"/>
      <c r="P110" s="857"/>
      <c r="Q110" s="857"/>
      <c r="R110" s="857"/>
      <c r="S110" s="857"/>
      <c r="T110" s="857"/>
      <c r="U110" s="857"/>
      <c r="V110" s="857"/>
      <c r="W110" s="857"/>
      <c r="X110" s="857"/>
      <c r="Y110" s="857"/>
      <c r="Z110" s="857"/>
      <c r="AA110" s="857"/>
      <c r="AB110" s="857"/>
      <c r="AC110" s="857"/>
      <c r="AD110" s="857"/>
      <c r="AE110" s="857"/>
      <c r="AF110" s="857"/>
      <c r="AG110" s="857"/>
      <c r="AH110" s="857"/>
      <c r="AI110" s="857"/>
      <c r="AJ110" s="857"/>
      <c r="AK110" s="857"/>
      <c r="AL110" s="857"/>
      <c r="AM110" s="857"/>
      <c r="AN110" s="857"/>
      <c r="AO110" s="857"/>
      <c r="AP110" s="857"/>
      <c r="AQ110" s="857"/>
      <c r="AR110" s="857"/>
      <c r="AS110" s="857"/>
      <c r="AT110" s="855"/>
      <c r="AU110" s="856"/>
      <c r="AV110" s="857"/>
      <c r="AW110" s="857"/>
      <c r="AX110" s="857"/>
      <c r="AY110" s="857"/>
      <c r="AZ110" s="857"/>
      <c r="BA110" s="857"/>
      <c r="BB110" s="857"/>
      <c r="BC110" s="857"/>
      <c r="BD110" s="857"/>
      <c r="BE110" s="857"/>
      <c r="BF110" s="857"/>
      <c r="BG110" s="857"/>
    </row>
    <row r="111" spans="1:59" ht="14.25" customHeight="1">
      <c r="A111" s="857"/>
      <c r="B111" s="857"/>
      <c r="C111" s="857"/>
      <c r="D111" s="857"/>
      <c r="E111" s="857"/>
      <c r="F111" s="857"/>
      <c r="G111" s="857"/>
      <c r="H111" s="857"/>
      <c r="I111" s="857"/>
      <c r="J111" s="857"/>
      <c r="K111" s="857"/>
      <c r="L111" s="857"/>
      <c r="M111" s="857"/>
      <c r="N111" s="857"/>
      <c r="O111" s="857"/>
      <c r="P111" s="857"/>
      <c r="Q111" s="857"/>
      <c r="R111" s="857"/>
      <c r="S111" s="857"/>
      <c r="T111" s="857"/>
      <c r="U111" s="857"/>
      <c r="V111" s="857"/>
      <c r="W111" s="857"/>
      <c r="X111" s="857"/>
      <c r="Y111" s="857"/>
      <c r="Z111" s="857"/>
      <c r="AA111" s="857"/>
      <c r="AB111" s="857"/>
      <c r="AC111" s="857"/>
      <c r="AD111" s="857"/>
      <c r="AE111" s="857"/>
      <c r="AF111" s="857"/>
      <c r="AG111" s="857"/>
      <c r="AH111" s="857"/>
      <c r="AI111" s="857"/>
      <c r="AJ111" s="857"/>
      <c r="AK111" s="857"/>
      <c r="AL111" s="857"/>
      <c r="AM111" s="857"/>
      <c r="AN111" s="857"/>
      <c r="AO111" s="857"/>
      <c r="AP111" s="857"/>
      <c r="AQ111" s="857"/>
      <c r="AR111" s="857"/>
      <c r="AS111" s="857"/>
      <c r="AT111" s="855"/>
      <c r="AU111" s="856"/>
      <c r="AV111" s="857"/>
      <c r="AW111" s="857"/>
      <c r="AX111" s="857"/>
      <c r="AY111" s="857"/>
      <c r="AZ111" s="857"/>
      <c r="BA111" s="857"/>
      <c r="BB111" s="857"/>
      <c r="BC111" s="857"/>
      <c r="BD111" s="857"/>
      <c r="BE111" s="857"/>
      <c r="BF111" s="857"/>
      <c r="BG111" s="857"/>
    </row>
    <row r="112" spans="1:59" ht="14.25" customHeight="1">
      <c r="A112" s="857"/>
      <c r="B112" s="857"/>
      <c r="C112" s="857"/>
      <c r="D112" s="857"/>
      <c r="E112" s="857"/>
      <c r="F112" s="857"/>
      <c r="G112" s="857"/>
      <c r="H112" s="857"/>
      <c r="I112" s="857"/>
      <c r="J112" s="857"/>
      <c r="K112" s="857"/>
      <c r="L112" s="857"/>
      <c r="M112" s="857"/>
      <c r="N112" s="857"/>
      <c r="O112" s="857"/>
      <c r="P112" s="857"/>
      <c r="Q112" s="857"/>
      <c r="R112" s="857"/>
      <c r="S112" s="857"/>
      <c r="T112" s="857"/>
      <c r="U112" s="857"/>
      <c r="V112" s="857"/>
      <c r="W112" s="857"/>
      <c r="X112" s="857"/>
      <c r="Y112" s="857"/>
      <c r="Z112" s="857"/>
      <c r="AA112" s="857"/>
      <c r="AB112" s="857"/>
      <c r="AC112" s="857"/>
      <c r="AD112" s="857"/>
      <c r="AE112" s="857"/>
      <c r="AF112" s="857"/>
      <c r="AG112" s="857"/>
      <c r="AH112" s="857"/>
      <c r="AI112" s="857"/>
      <c r="AJ112" s="857"/>
      <c r="AK112" s="857"/>
      <c r="AL112" s="857"/>
      <c r="AM112" s="857"/>
      <c r="AN112" s="857"/>
      <c r="AO112" s="857"/>
      <c r="AP112" s="857"/>
      <c r="AQ112" s="857"/>
      <c r="AR112" s="857"/>
      <c r="AS112" s="857"/>
      <c r="AT112" s="855"/>
      <c r="AU112" s="856"/>
      <c r="AV112" s="857"/>
      <c r="AW112" s="857"/>
      <c r="AX112" s="857"/>
      <c r="AY112" s="857"/>
      <c r="AZ112" s="857"/>
      <c r="BA112" s="857"/>
      <c r="BB112" s="857"/>
      <c r="BC112" s="857"/>
      <c r="BD112" s="857"/>
      <c r="BE112" s="857"/>
      <c r="BF112" s="857"/>
      <c r="BG112" s="857"/>
    </row>
    <row r="113" spans="1:59" ht="14.25" customHeight="1">
      <c r="A113" s="857"/>
      <c r="B113" s="857"/>
      <c r="C113" s="857"/>
      <c r="D113" s="857"/>
      <c r="E113" s="857"/>
      <c r="F113" s="857"/>
      <c r="G113" s="857"/>
      <c r="H113" s="857"/>
      <c r="I113" s="857"/>
      <c r="J113" s="857"/>
      <c r="K113" s="857"/>
      <c r="L113" s="857"/>
      <c r="M113" s="857"/>
      <c r="N113" s="857"/>
      <c r="O113" s="857"/>
      <c r="P113" s="857"/>
      <c r="Q113" s="857"/>
      <c r="R113" s="857"/>
      <c r="S113" s="857"/>
      <c r="T113" s="857"/>
      <c r="U113" s="857"/>
      <c r="V113" s="857"/>
      <c r="W113" s="857"/>
      <c r="X113" s="857"/>
      <c r="Y113" s="857"/>
      <c r="Z113" s="857"/>
      <c r="AA113" s="857"/>
      <c r="AB113" s="857"/>
      <c r="AC113" s="857"/>
      <c r="AD113" s="857"/>
      <c r="AE113" s="857"/>
      <c r="AF113" s="857"/>
      <c r="AG113" s="857"/>
      <c r="AH113" s="857"/>
      <c r="AI113" s="857"/>
      <c r="AJ113" s="857"/>
      <c r="AK113" s="857"/>
      <c r="AL113" s="857"/>
      <c r="AM113" s="857"/>
      <c r="AN113" s="857"/>
      <c r="AO113" s="857"/>
      <c r="AP113" s="857"/>
      <c r="AQ113" s="857"/>
      <c r="AR113" s="857"/>
      <c r="AS113" s="857"/>
      <c r="AT113" s="855"/>
      <c r="AU113" s="856"/>
      <c r="AV113" s="857"/>
      <c r="AW113" s="857"/>
      <c r="AX113" s="857"/>
      <c r="AY113" s="857"/>
      <c r="AZ113" s="857"/>
      <c r="BA113" s="857"/>
      <c r="BB113" s="857"/>
      <c r="BC113" s="857"/>
      <c r="BD113" s="857"/>
      <c r="BE113" s="857"/>
      <c r="BF113" s="857"/>
      <c r="BG113" s="857"/>
    </row>
    <row r="114" spans="1:59" ht="14.25" customHeight="1">
      <c r="A114" s="857"/>
      <c r="B114" s="857"/>
      <c r="C114" s="857"/>
      <c r="D114" s="857"/>
      <c r="E114" s="857"/>
      <c r="F114" s="857"/>
      <c r="G114" s="857"/>
      <c r="H114" s="857"/>
      <c r="I114" s="857"/>
      <c r="J114" s="857"/>
      <c r="K114" s="857"/>
      <c r="L114" s="857"/>
      <c r="M114" s="857"/>
      <c r="N114" s="857"/>
      <c r="O114" s="857"/>
      <c r="P114" s="857"/>
      <c r="Q114" s="857"/>
      <c r="R114" s="857"/>
      <c r="S114" s="857"/>
      <c r="T114" s="857"/>
      <c r="U114" s="857"/>
      <c r="V114" s="857"/>
      <c r="W114" s="857"/>
      <c r="X114" s="857"/>
      <c r="Y114" s="857"/>
      <c r="Z114" s="857"/>
      <c r="AA114" s="857"/>
      <c r="AB114" s="857"/>
      <c r="AC114" s="857"/>
      <c r="AD114" s="857"/>
      <c r="AE114" s="857"/>
      <c r="AF114" s="857"/>
      <c r="AG114" s="857"/>
      <c r="AH114" s="857"/>
      <c r="AI114" s="857"/>
      <c r="AJ114" s="857"/>
      <c r="AK114" s="857"/>
      <c r="AL114" s="857"/>
      <c r="AM114" s="857"/>
      <c r="AN114" s="857"/>
      <c r="AO114" s="857"/>
      <c r="AP114" s="857"/>
      <c r="AQ114" s="857"/>
      <c r="AR114" s="857"/>
      <c r="AS114" s="857"/>
      <c r="AT114" s="855"/>
      <c r="AU114" s="856"/>
      <c r="AV114" s="857"/>
      <c r="AW114" s="857"/>
      <c r="AX114" s="857"/>
      <c r="AY114" s="857"/>
      <c r="AZ114" s="857"/>
      <c r="BA114" s="857"/>
      <c r="BB114" s="857"/>
      <c r="BC114" s="857"/>
      <c r="BD114" s="857"/>
      <c r="BE114" s="857"/>
      <c r="BF114" s="857"/>
      <c r="BG114" s="857"/>
    </row>
    <row r="115" spans="1:59" ht="14.25" customHeight="1">
      <c r="A115" s="857"/>
      <c r="B115" s="857"/>
      <c r="C115" s="857"/>
      <c r="D115" s="857"/>
      <c r="E115" s="857"/>
      <c r="F115" s="857"/>
      <c r="G115" s="857"/>
      <c r="H115" s="857"/>
      <c r="I115" s="857"/>
      <c r="J115" s="857"/>
      <c r="K115" s="857"/>
      <c r="L115" s="857"/>
      <c r="M115" s="857"/>
      <c r="N115" s="857"/>
      <c r="O115" s="857"/>
      <c r="P115" s="857"/>
      <c r="Q115" s="857"/>
      <c r="R115" s="857"/>
      <c r="S115" s="857"/>
      <c r="T115" s="857"/>
      <c r="U115" s="857"/>
      <c r="V115" s="857"/>
      <c r="W115" s="857"/>
      <c r="X115" s="857"/>
      <c r="Y115" s="857"/>
      <c r="Z115" s="857"/>
      <c r="AA115" s="857"/>
      <c r="AB115" s="857"/>
      <c r="AC115" s="857"/>
      <c r="AD115" s="857"/>
      <c r="AE115" s="857"/>
      <c r="AF115" s="857"/>
      <c r="AG115" s="857"/>
      <c r="AH115" s="857"/>
      <c r="AI115" s="857"/>
      <c r="AJ115" s="857"/>
      <c r="AK115" s="857"/>
      <c r="AL115" s="857"/>
      <c r="AM115" s="857"/>
      <c r="AN115" s="857"/>
      <c r="AO115" s="857"/>
      <c r="AP115" s="857"/>
      <c r="AQ115" s="857"/>
      <c r="AR115" s="857"/>
      <c r="AS115" s="857"/>
      <c r="AT115" s="855"/>
      <c r="AU115" s="856"/>
      <c r="AV115" s="857"/>
      <c r="AW115" s="857"/>
      <c r="AX115" s="857"/>
      <c r="AY115" s="857"/>
      <c r="AZ115" s="857"/>
      <c r="BA115" s="857"/>
      <c r="BB115" s="857"/>
      <c r="BC115" s="857"/>
      <c r="BD115" s="857"/>
      <c r="BE115" s="857"/>
      <c r="BF115" s="857"/>
      <c r="BG115" s="857"/>
    </row>
    <row r="116" spans="1:59" ht="14.25" customHeight="1">
      <c r="A116" s="857"/>
      <c r="B116" s="857"/>
      <c r="C116" s="857"/>
      <c r="D116" s="857"/>
      <c r="E116" s="857"/>
      <c r="F116" s="857"/>
      <c r="G116" s="857"/>
      <c r="H116" s="857"/>
      <c r="I116" s="857"/>
      <c r="J116" s="857"/>
      <c r="K116" s="857"/>
      <c r="L116" s="857"/>
      <c r="M116" s="857"/>
      <c r="N116" s="857"/>
      <c r="O116" s="857"/>
      <c r="P116" s="857"/>
      <c r="Q116" s="857"/>
      <c r="R116" s="857"/>
      <c r="S116" s="857"/>
      <c r="T116" s="857"/>
      <c r="U116" s="857"/>
      <c r="V116" s="857"/>
      <c r="W116" s="857"/>
      <c r="X116" s="857"/>
      <c r="Y116" s="857"/>
      <c r="Z116" s="857"/>
      <c r="AA116" s="857"/>
      <c r="AB116" s="857"/>
      <c r="AC116" s="857"/>
      <c r="AD116" s="857"/>
      <c r="AE116" s="857"/>
      <c r="AF116" s="857"/>
      <c r="AG116" s="857"/>
      <c r="AH116" s="857"/>
      <c r="AI116" s="857"/>
      <c r="AJ116" s="857"/>
      <c r="AK116" s="857"/>
      <c r="AL116" s="857"/>
      <c r="AM116" s="857"/>
      <c r="AN116" s="857"/>
      <c r="AO116" s="857"/>
      <c r="AP116" s="857"/>
      <c r="AQ116" s="857"/>
      <c r="AR116" s="857"/>
      <c r="AS116" s="857"/>
      <c r="AT116" s="855"/>
      <c r="AU116" s="856"/>
      <c r="AV116" s="857"/>
      <c r="AW116" s="857"/>
      <c r="AX116" s="857"/>
      <c r="AY116" s="857"/>
      <c r="AZ116" s="857"/>
      <c r="BA116" s="857"/>
      <c r="BB116" s="857"/>
      <c r="BC116" s="857"/>
      <c r="BD116" s="857"/>
      <c r="BE116" s="857"/>
      <c r="BF116" s="857"/>
      <c r="BG116" s="857"/>
    </row>
    <row r="117" spans="1:59" ht="14.25" customHeight="1">
      <c r="A117" s="857"/>
      <c r="B117" s="857"/>
      <c r="C117" s="857"/>
      <c r="D117" s="857"/>
      <c r="E117" s="857"/>
      <c r="F117" s="857"/>
      <c r="G117" s="857"/>
      <c r="H117" s="857"/>
      <c r="I117" s="857"/>
      <c r="J117" s="857"/>
      <c r="K117" s="857"/>
      <c r="L117" s="857"/>
      <c r="M117" s="857"/>
      <c r="N117" s="857"/>
      <c r="O117" s="857"/>
      <c r="P117" s="857"/>
      <c r="Q117" s="857"/>
      <c r="R117" s="857"/>
      <c r="S117" s="857"/>
      <c r="T117" s="857"/>
      <c r="U117" s="857"/>
      <c r="V117" s="857"/>
      <c r="W117" s="857"/>
      <c r="X117" s="857"/>
      <c r="Y117" s="857"/>
      <c r="Z117" s="857"/>
      <c r="AA117" s="857"/>
      <c r="AB117" s="857"/>
      <c r="AC117" s="857"/>
      <c r="AD117" s="857"/>
      <c r="AE117" s="857"/>
      <c r="AF117" s="857"/>
      <c r="AG117" s="857"/>
      <c r="AH117" s="857"/>
      <c r="AI117" s="857"/>
      <c r="AJ117" s="857"/>
      <c r="AK117" s="857"/>
      <c r="AL117" s="857"/>
      <c r="AM117" s="857"/>
      <c r="AN117" s="857"/>
      <c r="AO117" s="857"/>
      <c r="AP117" s="857"/>
      <c r="AQ117" s="857"/>
      <c r="AR117" s="857"/>
      <c r="AS117" s="857"/>
      <c r="AT117" s="855"/>
      <c r="AU117" s="856"/>
      <c r="AV117" s="857"/>
      <c r="AW117" s="857"/>
      <c r="AX117" s="857"/>
      <c r="AY117" s="857"/>
      <c r="AZ117" s="857"/>
      <c r="BA117" s="857"/>
      <c r="BB117" s="857"/>
      <c r="BC117" s="857"/>
      <c r="BD117" s="857"/>
      <c r="BE117" s="857"/>
      <c r="BF117" s="857"/>
      <c r="BG117" s="857"/>
    </row>
    <row r="118" spans="1:59" ht="14.25" customHeight="1">
      <c r="A118" s="857"/>
      <c r="B118" s="857"/>
      <c r="C118" s="857"/>
      <c r="D118" s="857"/>
      <c r="E118" s="857"/>
      <c r="F118" s="857"/>
      <c r="G118" s="857"/>
      <c r="H118" s="857"/>
      <c r="I118" s="857"/>
      <c r="J118" s="857"/>
      <c r="K118" s="857"/>
      <c r="L118" s="857"/>
      <c r="M118" s="857"/>
      <c r="N118" s="857"/>
      <c r="O118" s="857"/>
      <c r="P118" s="857"/>
      <c r="Q118" s="857"/>
      <c r="R118" s="857"/>
      <c r="S118" s="857"/>
      <c r="T118" s="857"/>
      <c r="U118" s="857"/>
      <c r="V118" s="857"/>
      <c r="W118" s="857"/>
      <c r="X118" s="857"/>
      <c r="Y118" s="857"/>
      <c r="Z118" s="857"/>
      <c r="AA118" s="857"/>
      <c r="AB118" s="857"/>
      <c r="AC118" s="857"/>
      <c r="AD118" s="857"/>
      <c r="AE118" s="857"/>
      <c r="AF118" s="857"/>
      <c r="AG118" s="857"/>
      <c r="AH118" s="857"/>
      <c r="AI118" s="857"/>
      <c r="AJ118" s="857"/>
      <c r="AK118" s="857"/>
      <c r="AL118" s="857"/>
      <c r="AM118" s="857"/>
      <c r="AN118" s="857"/>
      <c r="AO118" s="857"/>
      <c r="AP118" s="857"/>
      <c r="AQ118" s="857"/>
      <c r="AR118" s="857"/>
      <c r="AS118" s="857"/>
      <c r="AT118" s="855"/>
      <c r="AU118" s="856"/>
      <c r="AV118" s="857"/>
      <c r="AW118" s="857"/>
      <c r="AX118" s="857"/>
      <c r="AY118" s="857"/>
      <c r="AZ118" s="857"/>
      <c r="BA118" s="857"/>
      <c r="BB118" s="857"/>
      <c r="BC118" s="857"/>
      <c r="BD118" s="857"/>
      <c r="BE118" s="857"/>
      <c r="BF118" s="857"/>
      <c r="BG118" s="857"/>
    </row>
    <row r="119" spans="1:59" ht="14.25" customHeight="1">
      <c r="A119" s="857"/>
      <c r="B119" s="857"/>
      <c r="C119" s="857"/>
      <c r="D119" s="857"/>
      <c r="E119" s="857"/>
      <c r="F119" s="857"/>
      <c r="G119" s="857"/>
      <c r="H119" s="857"/>
      <c r="I119" s="857"/>
      <c r="J119" s="857"/>
      <c r="K119" s="857"/>
      <c r="L119" s="857"/>
      <c r="M119" s="857"/>
      <c r="N119" s="857"/>
      <c r="O119" s="857"/>
      <c r="P119" s="857"/>
      <c r="Q119" s="857"/>
      <c r="R119" s="857"/>
      <c r="S119" s="857"/>
      <c r="T119" s="857"/>
      <c r="U119" s="857"/>
      <c r="V119" s="857"/>
      <c r="W119" s="857"/>
      <c r="X119" s="857"/>
      <c r="Y119" s="857"/>
      <c r="Z119" s="857"/>
      <c r="AA119" s="857"/>
      <c r="AB119" s="857"/>
      <c r="AC119" s="857"/>
      <c r="AD119" s="857"/>
      <c r="AE119" s="857"/>
      <c r="AF119" s="857"/>
      <c r="AG119" s="857"/>
      <c r="AH119" s="857"/>
      <c r="AI119" s="857"/>
      <c r="AJ119" s="857"/>
      <c r="AK119" s="857"/>
      <c r="AL119" s="857"/>
      <c r="AM119" s="857"/>
      <c r="AN119" s="857"/>
      <c r="AO119" s="857"/>
      <c r="AP119" s="857"/>
      <c r="AQ119" s="857"/>
      <c r="AR119" s="857"/>
      <c r="AS119" s="857"/>
      <c r="AT119" s="855"/>
      <c r="AU119" s="856"/>
      <c r="AV119" s="857"/>
      <c r="AW119" s="857"/>
      <c r="AX119" s="857"/>
      <c r="AY119" s="857"/>
      <c r="AZ119" s="857"/>
      <c r="BA119" s="857"/>
      <c r="BB119" s="857"/>
      <c r="BC119" s="857"/>
      <c r="BD119" s="857"/>
      <c r="BE119" s="857"/>
      <c r="BF119" s="857"/>
      <c r="BG119" s="857"/>
    </row>
    <row r="120" spans="1:59" ht="14.25" customHeight="1">
      <c r="A120" s="857"/>
      <c r="B120" s="857"/>
      <c r="C120" s="857"/>
      <c r="D120" s="857"/>
      <c r="E120" s="857"/>
      <c r="F120" s="857"/>
      <c r="G120" s="857"/>
      <c r="H120" s="857"/>
      <c r="I120" s="857"/>
      <c r="J120" s="857"/>
      <c r="K120" s="857"/>
      <c r="L120" s="857"/>
      <c r="M120" s="857"/>
      <c r="N120" s="857"/>
      <c r="O120" s="857"/>
      <c r="P120" s="857"/>
      <c r="Q120" s="857"/>
      <c r="R120" s="857"/>
      <c r="S120" s="857"/>
      <c r="T120" s="857"/>
      <c r="U120" s="857"/>
      <c r="V120" s="857"/>
      <c r="W120" s="857"/>
      <c r="X120" s="857"/>
      <c r="Y120" s="857"/>
      <c r="Z120" s="857"/>
      <c r="AA120" s="857"/>
      <c r="AB120" s="857"/>
      <c r="AC120" s="857"/>
      <c r="AD120" s="857"/>
      <c r="AE120" s="857"/>
      <c r="AF120" s="857"/>
      <c r="AG120" s="857"/>
      <c r="AH120" s="857"/>
      <c r="AI120" s="857"/>
      <c r="AJ120" s="857"/>
      <c r="AK120" s="857"/>
      <c r="AL120" s="857"/>
      <c r="AM120" s="857"/>
      <c r="AN120" s="857"/>
      <c r="AO120" s="857"/>
      <c r="AP120" s="857"/>
      <c r="AQ120" s="857"/>
      <c r="AR120" s="857"/>
      <c r="AS120" s="857"/>
      <c r="AT120" s="855"/>
      <c r="AU120" s="856"/>
      <c r="AV120" s="857"/>
      <c r="AW120" s="857"/>
      <c r="AX120" s="857"/>
      <c r="AY120" s="857"/>
      <c r="AZ120" s="857"/>
      <c r="BA120" s="857"/>
      <c r="BB120" s="857"/>
      <c r="BC120" s="857"/>
      <c r="BD120" s="857"/>
      <c r="BE120" s="857"/>
      <c r="BF120" s="857"/>
      <c r="BG120" s="857"/>
    </row>
    <row r="121" spans="1:59" ht="14.25" customHeight="1">
      <c r="A121" s="857"/>
      <c r="B121" s="857"/>
      <c r="C121" s="857"/>
      <c r="D121" s="857"/>
      <c r="E121" s="857"/>
      <c r="F121" s="857"/>
      <c r="G121" s="857"/>
      <c r="H121" s="857"/>
      <c r="I121" s="857"/>
      <c r="J121" s="857"/>
      <c r="K121" s="857"/>
      <c r="L121" s="857"/>
      <c r="M121" s="857"/>
      <c r="N121" s="857"/>
      <c r="O121" s="857"/>
      <c r="P121" s="857"/>
      <c r="Q121" s="857"/>
      <c r="R121" s="857"/>
      <c r="S121" s="857"/>
      <c r="T121" s="857"/>
      <c r="U121" s="857"/>
      <c r="V121" s="857"/>
      <c r="W121" s="857"/>
      <c r="X121" s="857"/>
      <c r="Y121" s="857"/>
      <c r="Z121" s="857"/>
      <c r="AA121" s="857"/>
      <c r="AB121" s="857"/>
      <c r="AC121" s="857"/>
      <c r="AD121" s="857"/>
      <c r="AE121" s="857"/>
      <c r="AF121" s="857"/>
      <c r="AG121" s="857"/>
      <c r="AH121" s="857"/>
      <c r="AI121" s="857"/>
      <c r="AJ121" s="857"/>
      <c r="AK121" s="857"/>
      <c r="AL121" s="857"/>
      <c r="AM121" s="857"/>
      <c r="AN121" s="857"/>
      <c r="AO121" s="857"/>
      <c r="AP121" s="857"/>
      <c r="AQ121" s="857"/>
      <c r="AR121" s="857"/>
      <c r="AS121" s="857"/>
      <c r="AT121" s="855"/>
      <c r="AU121" s="856"/>
      <c r="AV121" s="857"/>
      <c r="AW121" s="857"/>
      <c r="AX121" s="857"/>
      <c r="AY121" s="857"/>
      <c r="AZ121" s="857"/>
      <c r="BA121" s="857"/>
      <c r="BB121" s="857"/>
      <c r="BC121" s="857"/>
      <c r="BD121" s="857"/>
      <c r="BE121" s="857"/>
      <c r="BF121" s="857"/>
      <c r="BG121" s="857"/>
    </row>
    <row r="122" spans="1:59" ht="14.25" customHeight="1">
      <c r="A122" s="857"/>
      <c r="B122" s="857"/>
      <c r="C122" s="857"/>
      <c r="D122" s="857"/>
      <c r="E122" s="857"/>
      <c r="F122" s="857"/>
      <c r="G122" s="857"/>
      <c r="H122" s="857"/>
      <c r="I122" s="857"/>
      <c r="J122" s="857"/>
      <c r="K122" s="857"/>
      <c r="L122" s="857"/>
      <c r="M122" s="857"/>
      <c r="N122" s="857"/>
      <c r="O122" s="857"/>
      <c r="P122" s="857"/>
      <c r="Q122" s="857"/>
      <c r="R122" s="857"/>
      <c r="S122" s="857"/>
      <c r="T122" s="857"/>
      <c r="U122" s="857"/>
      <c r="V122" s="857"/>
      <c r="W122" s="857"/>
      <c r="X122" s="857"/>
      <c r="Y122" s="857"/>
      <c r="Z122" s="857"/>
      <c r="AA122" s="857"/>
      <c r="AB122" s="857"/>
      <c r="AC122" s="857"/>
      <c r="AD122" s="857"/>
      <c r="AE122" s="857"/>
      <c r="AF122" s="857"/>
      <c r="AG122" s="857"/>
      <c r="AH122" s="857"/>
      <c r="AI122" s="857"/>
      <c r="AJ122" s="857"/>
      <c r="AK122" s="857"/>
      <c r="AL122" s="857"/>
      <c r="AM122" s="857"/>
      <c r="AN122" s="857"/>
      <c r="AO122" s="857"/>
      <c r="AP122" s="857"/>
      <c r="AQ122" s="857"/>
      <c r="AR122" s="857"/>
      <c r="AS122" s="857"/>
      <c r="AT122" s="855"/>
      <c r="AU122" s="856"/>
      <c r="AV122" s="857"/>
      <c r="AW122" s="857"/>
      <c r="AX122" s="857"/>
      <c r="AY122" s="857"/>
      <c r="AZ122" s="857"/>
      <c r="BA122" s="857"/>
      <c r="BB122" s="857"/>
      <c r="BC122" s="857"/>
      <c r="BD122" s="857"/>
      <c r="BE122" s="857"/>
      <c r="BF122" s="857"/>
      <c r="BG122" s="857"/>
    </row>
    <row r="123" spans="1:59" ht="14.25" customHeight="1">
      <c r="A123" s="857"/>
      <c r="B123" s="857"/>
      <c r="C123" s="857"/>
      <c r="D123" s="857"/>
      <c r="E123" s="857"/>
      <c r="F123" s="857"/>
      <c r="G123" s="857"/>
      <c r="H123" s="857"/>
      <c r="I123" s="857"/>
      <c r="J123" s="857"/>
      <c r="K123" s="857"/>
      <c r="L123" s="857"/>
      <c r="M123" s="857"/>
      <c r="N123" s="857"/>
      <c r="O123" s="857"/>
      <c r="P123" s="857"/>
      <c r="Q123" s="857"/>
      <c r="R123" s="857"/>
      <c r="S123" s="857"/>
      <c r="T123" s="857"/>
      <c r="U123" s="857"/>
      <c r="V123" s="857"/>
      <c r="W123" s="857"/>
      <c r="X123" s="857"/>
      <c r="Y123" s="857"/>
      <c r="Z123" s="857"/>
      <c r="AA123" s="857"/>
      <c r="AB123" s="857"/>
      <c r="AC123" s="857"/>
      <c r="AD123" s="857"/>
      <c r="AE123" s="857"/>
      <c r="AF123" s="857"/>
      <c r="AG123" s="857"/>
      <c r="AH123" s="857"/>
      <c r="AI123" s="857"/>
      <c r="AJ123" s="857"/>
      <c r="AK123" s="857"/>
      <c r="AL123" s="857"/>
      <c r="AM123" s="857"/>
      <c r="AN123" s="857"/>
      <c r="AO123" s="857"/>
      <c r="AP123" s="857"/>
      <c r="AQ123" s="857"/>
      <c r="AR123" s="857"/>
      <c r="AS123" s="857"/>
      <c r="AT123" s="855"/>
      <c r="AU123" s="856"/>
      <c r="AV123" s="857"/>
      <c r="AW123" s="857"/>
      <c r="AX123" s="857"/>
      <c r="AY123" s="857"/>
      <c r="AZ123" s="857"/>
      <c r="BA123" s="857"/>
      <c r="BB123" s="857"/>
      <c r="BC123" s="857"/>
      <c r="BD123" s="857"/>
      <c r="BE123" s="857"/>
      <c r="BF123" s="857"/>
      <c r="BG123" s="857"/>
    </row>
    <row r="124" spans="1:59" ht="14.25" customHeight="1">
      <c r="A124" s="857"/>
      <c r="B124" s="857"/>
      <c r="C124" s="857"/>
      <c r="D124" s="857"/>
      <c r="E124" s="857"/>
      <c r="F124" s="857"/>
      <c r="G124" s="857"/>
      <c r="H124" s="857"/>
      <c r="I124" s="857"/>
      <c r="J124" s="857"/>
      <c r="K124" s="857"/>
      <c r="L124" s="857"/>
      <c r="M124" s="857"/>
      <c r="N124" s="857"/>
      <c r="O124" s="857"/>
      <c r="P124" s="857"/>
      <c r="Q124" s="857"/>
      <c r="R124" s="857"/>
      <c r="S124" s="857"/>
      <c r="T124" s="857"/>
      <c r="U124" s="857"/>
      <c r="V124" s="857"/>
      <c r="W124" s="857"/>
      <c r="X124" s="857"/>
      <c r="Y124" s="857"/>
      <c r="Z124" s="857"/>
      <c r="AA124" s="857"/>
      <c r="AB124" s="857"/>
      <c r="AC124" s="857"/>
      <c r="AD124" s="857"/>
      <c r="AE124" s="857"/>
      <c r="AF124" s="857"/>
      <c r="AG124" s="857"/>
      <c r="AH124" s="857"/>
      <c r="AI124" s="857"/>
      <c r="AJ124" s="857"/>
      <c r="AK124" s="857"/>
      <c r="AL124" s="857"/>
      <c r="AM124" s="857"/>
      <c r="AN124" s="857"/>
      <c r="AO124" s="857"/>
      <c r="AP124" s="857"/>
      <c r="AQ124" s="857"/>
      <c r="AR124" s="857"/>
      <c r="AS124" s="857"/>
      <c r="AT124" s="855"/>
      <c r="AU124" s="856"/>
      <c r="AV124" s="857"/>
      <c r="AW124" s="857"/>
      <c r="AX124" s="857"/>
      <c r="AY124" s="857"/>
      <c r="AZ124" s="857"/>
      <c r="BA124" s="857"/>
      <c r="BB124" s="857"/>
      <c r="BC124" s="857"/>
      <c r="BD124" s="857"/>
      <c r="BE124" s="857"/>
      <c r="BF124" s="857"/>
      <c r="BG124" s="857"/>
    </row>
    <row r="125" spans="1:59" ht="14.25" customHeight="1">
      <c r="A125" s="857"/>
      <c r="B125" s="857"/>
      <c r="C125" s="857"/>
      <c r="D125" s="857"/>
      <c r="E125" s="857"/>
      <c r="F125" s="857"/>
      <c r="G125" s="857"/>
      <c r="H125" s="857"/>
      <c r="I125" s="857"/>
      <c r="J125" s="857"/>
      <c r="K125" s="857"/>
      <c r="L125" s="857"/>
      <c r="M125" s="857"/>
      <c r="N125" s="857"/>
      <c r="O125" s="857"/>
      <c r="P125" s="857"/>
      <c r="Q125" s="857"/>
      <c r="R125" s="857"/>
      <c r="S125" s="857"/>
      <c r="T125" s="857"/>
      <c r="U125" s="857"/>
      <c r="V125" s="857"/>
      <c r="W125" s="857"/>
      <c r="X125" s="857"/>
      <c r="Y125" s="857"/>
      <c r="Z125" s="857"/>
      <c r="AA125" s="857"/>
      <c r="AB125" s="857"/>
      <c r="AC125" s="857"/>
      <c r="AD125" s="857"/>
      <c r="AE125" s="857"/>
      <c r="AF125" s="857"/>
      <c r="AG125" s="857"/>
      <c r="AH125" s="857"/>
      <c r="AI125" s="857"/>
      <c r="AJ125" s="857"/>
      <c r="AK125" s="857"/>
      <c r="AL125" s="857"/>
      <c r="AM125" s="857"/>
      <c r="AN125" s="857"/>
      <c r="AO125" s="857"/>
      <c r="AP125" s="857"/>
      <c r="AQ125" s="857"/>
      <c r="AR125" s="857"/>
      <c r="AS125" s="857"/>
      <c r="AT125" s="855"/>
      <c r="AU125" s="856"/>
      <c r="AV125" s="857"/>
      <c r="AW125" s="857"/>
      <c r="AX125" s="857"/>
      <c r="AY125" s="857"/>
      <c r="AZ125" s="857"/>
      <c r="BA125" s="857"/>
      <c r="BB125" s="857"/>
      <c r="BC125" s="857"/>
      <c r="BD125" s="857"/>
      <c r="BE125" s="857"/>
      <c r="BF125" s="857"/>
      <c r="BG125" s="857"/>
    </row>
    <row r="126" spans="1:59" ht="14.25" customHeight="1">
      <c r="A126" s="857"/>
      <c r="B126" s="857"/>
      <c r="C126" s="857"/>
      <c r="D126" s="857"/>
      <c r="E126" s="857"/>
      <c r="F126" s="857"/>
      <c r="G126" s="857"/>
      <c r="H126" s="857"/>
      <c r="I126" s="857"/>
      <c r="J126" s="857"/>
      <c r="K126" s="857"/>
      <c r="L126" s="857"/>
      <c r="M126" s="857"/>
      <c r="N126" s="857"/>
      <c r="O126" s="857"/>
      <c r="P126" s="857"/>
      <c r="Q126" s="857"/>
      <c r="R126" s="857"/>
      <c r="S126" s="857"/>
      <c r="T126" s="857"/>
      <c r="U126" s="857"/>
      <c r="V126" s="857"/>
      <c r="W126" s="857"/>
      <c r="X126" s="857"/>
      <c r="Y126" s="857"/>
      <c r="Z126" s="857"/>
      <c r="AA126" s="857"/>
      <c r="AB126" s="857"/>
      <c r="AC126" s="857"/>
      <c r="AD126" s="857"/>
      <c r="AE126" s="857"/>
      <c r="AF126" s="857"/>
      <c r="AG126" s="857"/>
      <c r="AH126" s="857"/>
      <c r="AI126" s="857"/>
      <c r="AJ126" s="857"/>
      <c r="AK126" s="857"/>
      <c r="AL126" s="857"/>
      <c r="AM126" s="857"/>
      <c r="AN126" s="857"/>
      <c r="AO126" s="857"/>
      <c r="AP126" s="857"/>
      <c r="AQ126" s="857"/>
      <c r="AR126" s="857"/>
      <c r="AS126" s="857"/>
      <c r="AT126" s="855"/>
      <c r="AU126" s="856"/>
      <c r="AV126" s="857"/>
      <c r="AW126" s="857"/>
      <c r="AX126" s="857"/>
      <c r="AY126" s="857"/>
      <c r="AZ126" s="857"/>
      <c r="BA126" s="857"/>
      <c r="BB126" s="857"/>
      <c r="BC126" s="857"/>
      <c r="BD126" s="857"/>
      <c r="BE126" s="857"/>
      <c r="BF126" s="857"/>
      <c r="BG126" s="857"/>
    </row>
    <row r="127" spans="1:59" ht="14.25" customHeight="1">
      <c r="A127" s="857"/>
      <c r="B127" s="857"/>
      <c r="C127" s="857"/>
      <c r="D127" s="857"/>
      <c r="E127" s="857"/>
      <c r="F127" s="857"/>
      <c r="G127" s="857"/>
      <c r="H127" s="857"/>
      <c r="I127" s="857"/>
      <c r="J127" s="857"/>
      <c r="K127" s="857"/>
      <c r="L127" s="857"/>
      <c r="M127" s="857"/>
      <c r="N127" s="857"/>
      <c r="O127" s="857"/>
      <c r="P127" s="857"/>
      <c r="Q127" s="857"/>
      <c r="R127" s="857"/>
      <c r="S127" s="857"/>
      <c r="T127" s="857"/>
      <c r="U127" s="857"/>
      <c r="V127" s="857"/>
      <c r="W127" s="857"/>
      <c r="X127" s="857"/>
      <c r="Y127" s="857"/>
      <c r="Z127" s="857"/>
      <c r="AA127" s="857"/>
      <c r="AB127" s="857"/>
      <c r="AC127" s="857"/>
      <c r="AD127" s="857"/>
      <c r="AE127" s="857"/>
      <c r="AF127" s="857"/>
      <c r="AG127" s="857"/>
      <c r="AH127" s="857"/>
      <c r="AI127" s="857"/>
      <c r="AJ127" s="857"/>
      <c r="AK127" s="857"/>
      <c r="AL127" s="857"/>
      <c r="AM127" s="857"/>
      <c r="AN127" s="857"/>
      <c r="AO127" s="857"/>
      <c r="AP127" s="857"/>
      <c r="AQ127" s="857"/>
      <c r="AR127" s="857"/>
      <c r="AS127" s="857"/>
      <c r="AT127" s="855"/>
      <c r="AU127" s="856"/>
      <c r="AV127" s="857"/>
      <c r="AW127" s="857"/>
      <c r="AX127" s="857"/>
      <c r="AY127" s="857"/>
      <c r="AZ127" s="857"/>
      <c r="BA127" s="857"/>
      <c r="BB127" s="857"/>
      <c r="BC127" s="857"/>
      <c r="BD127" s="857"/>
      <c r="BE127" s="857"/>
      <c r="BF127" s="857"/>
      <c r="BG127" s="857"/>
    </row>
    <row r="128" spans="1:59" ht="14.25" customHeight="1">
      <c r="A128" s="857"/>
      <c r="B128" s="857"/>
      <c r="C128" s="857"/>
      <c r="D128" s="857"/>
      <c r="E128" s="857"/>
      <c r="F128" s="857"/>
      <c r="G128" s="857"/>
      <c r="H128" s="857"/>
      <c r="I128" s="857"/>
      <c r="J128" s="857"/>
      <c r="K128" s="857"/>
      <c r="L128" s="857"/>
      <c r="M128" s="857"/>
      <c r="N128" s="857"/>
      <c r="O128" s="857"/>
      <c r="P128" s="857"/>
      <c r="Q128" s="857"/>
      <c r="R128" s="857"/>
      <c r="S128" s="857"/>
      <c r="T128" s="857"/>
      <c r="U128" s="857"/>
      <c r="V128" s="857"/>
      <c r="W128" s="857"/>
      <c r="X128" s="857"/>
      <c r="Y128" s="857"/>
      <c r="Z128" s="857"/>
      <c r="AA128" s="857"/>
      <c r="AB128" s="857"/>
      <c r="AC128" s="857"/>
      <c r="AD128" s="857"/>
      <c r="AE128" s="857"/>
      <c r="AF128" s="857"/>
      <c r="AG128" s="857"/>
      <c r="AH128" s="857"/>
      <c r="AI128" s="857"/>
      <c r="AJ128" s="857"/>
      <c r="AK128" s="857"/>
      <c r="AL128" s="857"/>
      <c r="AM128" s="857"/>
      <c r="AN128" s="857"/>
      <c r="AO128" s="857"/>
      <c r="AP128" s="857"/>
      <c r="AQ128" s="857"/>
      <c r="AR128" s="857"/>
      <c r="AS128" s="857"/>
      <c r="AT128" s="855"/>
      <c r="AU128" s="856"/>
      <c r="AV128" s="857"/>
      <c r="AW128" s="857"/>
      <c r="AX128" s="857"/>
      <c r="AY128" s="857"/>
      <c r="AZ128" s="857"/>
      <c r="BA128" s="857"/>
      <c r="BB128" s="857"/>
      <c r="BC128" s="857"/>
      <c r="BD128" s="857"/>
      <c r="BE128" s="857"/>
      <c r="BF128" s="857"/>
      <c r="BG128" s="857"/>
    </row>
    <row r="129" spans="1:59" ht="14.25" customHeight="1">
      <c r="A129" s="857"/>
      <c r="B129" s="857"/>
      <c r="C129" s="857"/>
      <c r="D129" s="857"/>
      <c r="E129" s="857"/>
      <c r="F129" s="857"/>
      <c r="G129" s="857"/>
      <c r="H129" s="857"/>
      <c r="I129" s="857"/>
      <c r="J129" s="857"/>
      <c r="K129" s="857"/>
      <c r="L129" s="857"/>
      <c r="M129" s="857"/>
      <c r="N129" s="857"/>
      <c r="O129" s="857"/>
      <c r="P129" s="857"/>
      <c r="Q129" s="857"/>
      <c r="R129" s="857"/>
      <c r="S129" s="857"/>
      <c r="T129" s="857"/>
      <c r="U129" s="857"/>
      <c r="V129" s="857"/>
      <c r="W129" s="857"/>
      <c r="X129" s="857"/>
      <c r="Y129" s="857"/>
      <c r="Z129" s="857"/>
      <c r="AA129" s="857"/>
      <c r="AB129" s="857"/>
      <c r="AC129" s="857"/>
      <c r="AD129" s="857"/>
      <c r="AE129" s="857"/>
      <c r="AF129" s="857"/>
      <c r="AG129" s="857"/>
      <c r="AH129" s="857"/>
      <c r="AI129" s="857"/>
      <c r="AJ129" s="857"/>
      <c r="AK129" s="857"/>
      <c r="AL129" s="857"/>
      <c r="AM129" s="857"/>
      <c r="AN129" s="857"/>
      <c r="AO129" s="857"/>
      <c r="AP129" s="857"/>
      <c r="AQ129" s="857"/>
      <c r="AR129" s="857"/>
      <c r="AS129" s="857"/>
      <c r="AT129" s="855"/>
      <c r="AU129" s="856"/>
      <c r="AV129" s="857"/>
      <c r="AW129" s="857"/>
      <c r="AX129" s="857"/>
      <c r="AY129" s="857"/>
      <c r="AZ129" s="857"/>
      <c r="BA129" s="857"/>
      <c r="BB129" s="857"/>
      <c r="BC129" s="857"/>
      <c r="BD129" s="857"/>
      <c r="BE129" s="857"/>
      <c r="BF129" s="857"/>
      <c r="BG129" s="857"/>
    </row>
    <row r="130" spans="1:59" ht="14.25" customHeight="1">
      <c r="A130" s="857"/>
      <c r="B130" s="857"/>
      <c r="C130" s="857"/>
      <c r="D130" s="857"/>
      <c r="E130" s="857"/>
      <c r="F130" s="857"/>
      <c r="G130" s="857"/>
      <c r="H130" s="857"/>
      <c r="I130" s="857"/>
      <c r="J130" s="857"/>
      <c r="K130" s="857"/>
      <c r="L130" s="857"/>
      <c r="M130" s="857"/>
      <c r="N130" s="857"/>
      <c r="O130" s="857"/>
      <c r="P130" s="857"/>
      <c r="Q130" s="857"/>
      <c r="R130" s="857"/>
      <c r="S130" s="857"/>
      <c r="T130" s="857"/>
      <c r="U130" s="857"/>
      <c r="V130" s="857"/>
      <c r="W130" s="857"/>
      <c r="X130" s="857"/>
      <c r="Y130" s="857"/>
      <c r="Z130" s="857"/>
      <c r="AA130" s="857"/>
      <c r="AB130" s="857"/>
      <c r="AC130" s="857"/>
      <c r="AD130" s="857"/>
      <c r="AE130" s="857"/>
      <c r="AF130" s="857"/>
      <c r="AG130" s="857"/>
      <c r="AH130" s="857"/>
      <c r="AI130" s="857"/>
      <c r="AJ130" s="857"/>
      <c r="AK130" s="857"/>
      <c r="AL130" s="857"/>
      <c r="AM130" s="857"/>
      <c r="AN130" s="857"/>
      <c r="AO130" s="857"/>
      <c r="AP130" s="857"/>
      <c r="AQ130" s="857"/>
      <c r="AR130" s="857"/>
      <c r="AS130" s="857"/>
      <c r="AT130" s="855"/>
      <c r="AU130" s="856"/>
      <c r="AV130" s="857"/>
      <c r="AW130" s="857"/>
      <c r="AX130" s="857"/>
      <c r="AY130" s="857"/>
      <c r="AZ130" s="857"/>
      <c r="BA130" s="857"/>
      <c r="BB130" s="857"/>
      <c r="BC130" s="857"/>
      <c r="BD130" s="857"/>
      <c r="BE130" s="857"/>
      <c r="BF130" s="857"/>
      <c r="BG130" s="857"/>
    </row>
    <row r="131" spans="1:59" ht="14.25" customHeight="1">
      <c r="A131" s="857"/>
      <c r="B131" s="857"/>
      <c r="C131" s="857"/>
      <c r="D131" s="857"/>
      <c r="E131" s="857"/>
      <c r="F131" s="857"/>
      <c r="G131" s="857"/>
      <c r="H131" s="857"/>
      <c r="I131" s="857"/>
      <c r="J131" s="857"/>
      <c r="K131" s="857"/>
      <c r="L131" s="857"/>
      <c r="M131" s="857"/>
      <c r="N131" s="857"/>
      <c r="O131" s="857"/>
      <c r="P131" s="857"/>
      <c r="Q131" s="857"/>
      <c r="R131" s="857"/>
      <c r="S131" s="857"/>
      <c r="T131" s="857"/>
      <c r="U131" s="857"/>
      <c r="V131" s="857"/>
      <c r="W131" s="857"/>
      <c r="X131" s="857"/>
      <c r="Y131" s="857"/>
      <c r="Z131" s="857"/>
      <c r="AA131" s="857"/>
      <c r="AB131" s="857"/>
      <c r="AC131" s="857"/>
      <c r="AD131" s="857"/>
      <c r="AE131" s="857"/>
      <c r="AF131" s="857"/>
      <c r="AG131" s="857"/>
      <c r="AH131" s="857"/>
      <c r="AI131" s="857"/>
      <c r="AJ131" s="857"/>
      <c r="AK131" s="857"/>
      <c r="AL131" s="857"/>
      <c r="AM131" s="857"/>
      <c r="AN131" s="857"/>
      <c r="AO131" s="857"/>
      <c r="AP131" s="857"/>
      <c r="AQ131" s="857"/>
      <c r="AR131" s="857"/>
      <c r="AS131" s="857"/>
      <c r="AT131" s="855"/>
      <c r="AU131" s="856"/>
      <c r="AV131" s="857"/>
      <c r="AW131" s="857"/>
      <c r="AX131" s="857"/>
      <c r="AY131" s="857"/>
      <c r="AZ131" s="857"/>
      <c r="BA131" s="857"/>
      <c r="BB131" s="857"/>
      <c r="BC131" s="857"/>
      <c r="BD131" s="857"/>
      <c r="BE131" s="857"/>
      <c r="BF131" s="857"/>
      <c r="BG131" s="857"/>
    </row>
    <row r="132" spans="1:59" ht="14.25" customHeight="1">
      <c r="A132" s="857"/>
      <c r="B132" s="857"/>
      <c r="C132" s="857"/>
      <c r="D132" s="857"/>
      <c r="E132" s="857"/>
      <c r="F132" s="857"/>
      <c r="G132" s="857"/>
      <c r="H132" s="857"/>
      <c r="I132" s="857"/>
      <c r="J132" s="857"/>
      <c r="K132" s="857"/>
      <c r="L132" s="857"/>
      <c r="M132" s="857"/>
      <c r="N132" s="857"/>
      <c r="O132" s="857"/>
      <c r="P132" s="857"/>
      <c r="Q132" s="857"/>
      <c r="R132" s="857"/>
      <c r="S132" s="857"/>
      <c r="T132" s="857"/>
      <c r="U132" s="857"/>
      <c r="V132" s="857"/>
      <c r="W132" s="857"/>
      <c r="X132" s="857"/>
      <c r="Y132" s="857"/>
      <c r="Z132" s="857"/>
      <c r="AA132" s="857"/>
      <c r="AB132" s="857"/>
      <c r="AC132" s="857"/>
      <c r="AD132" s="857"/>
      <c r="AE132" s="857"/>
      <c r="AF132" s="857"/>
      <c r="AG132" s="857"/>
      <c r="AH132" s="857"/>
      <c r="AI132" s="857"/>
      <c r="AJ132" s="857"/>
      <c r="AK132" s="857"/>
      <c r="AL132" s="857"/>
      <c r="AM132" s="857"/>
      <c r="AN132" s="857"/>
      <c r="AO132" s="857"/>
      <c r="AP132" s="857"/>
      <c r="AQ132" s="857"/>
      <c r="AR132" s="857"/>
      <c r="AS132" s="857"/>
      <c r="AT132" s="855"/>
      <c r="AU132" s="856"/>
      <c r="AV132" s="857"/>
      <c r="AW132" s="857"/>
      <c r="AX132" s="857"/>
      <c r="AY132" s="857"/>
      <c r="AZ132" s="857"/>
      <c r="BA132" s="857"/>
      <c r="BB132" s="857"/>
      <c r="BC132" s="857"/>
      <c r="BD132" s="857"/>
      <c r="BE132" s="857"/>
      <c r="BF132" s="857"/>
      <c r="BG132" s="857"/>
    </row>
    <row r="133" spans="1:59" ht="14.25" customHeight="1">
      <c r="A133" s="857"/>
      <c r="B133" s="857"/>
      <c r="C133" s="857"/>
      <c r="D133" s="857"/>
      <c r="E133" s="857"/>
      <c r="F133" s="857"/>
      <c r="G133" s="857"/>
      <c r="H133" s="857"/>
      <c r="I133" s="857"/>
      <c r="J133" s="857"/>
      <c r="K133" s="857"/>
      <c r="L133" s="857"/>
      <c r="M133" s="857"/>
      <c r="N133" s="857"/>
      <c r="O133" s="857"/>
      <c r="P133" s="857"/>
      <c r="Q133" s="857"/>
      <c r="R133" s="857"/>
      <c r="S133" s="857"/>
      <c r="T133" s="857"/>
      <c r="U133" s="857"/>
      <c r="V133" s="857"/>
      <c r="W133" s="857"/>
      <c r="X133" s="857"/>
      <c r="Y133" s="857"/>
      <c r="Z133" s="857"/>
      <c r="AA133" s="857"/>
      <c r="AB133" s="857"/>
      <c r="AC133" s="857"/>
      <c r="AD133" s="857"/>
      <c r="AE133" s="857"/>
      <c r="AF133" s="857"/>
      <c r="AG133" s="857"/>
      <c r="AH133" s="857"/>
      <c r="AI133" s="857"/>
      <c r="AJ133" s="857"/>
      <c r="AK133" s="857"/>
      <c r="AL133" s="857"/>
      <c r="AM133" s="857"/>
      <c r="AN133" s="857"/>
      <c r="AO133" s="857"/>
      <c r="AP133" s="857"/>
      <c r="AQ133" s="857"/>
      <c r="AR133" s="857"/>
      <c r="AS133" s="857"/>
      <c r="AT133" s="855"/>
      <c r="AU133" s="856"/>
      <c r="AV133" s="857"/>
      <c r="AW133" s="857"/>
      <c r="AX133" s="857"/>
      <c r="AY133" s="857"/>
      <c r="AZ133" s="857"/>
      <c r="BA133" s="857"/>
      <c r="BB133" s="857"/>
      <c r="BC133" s="857"/>
      <c r="BD133" s="857"/>
      <c r="BE133" s="857"/>
      <c r="BF133" s="857"/>
      <c r="BG133" s="857"/>
    </row>
    <row r="134" spans="1:59" ht="14.25" customHeight="1">
      <c r="A134" s="857"/>
      <c r="B134" s="857"/>
      <c r="C134" s="857"/>
      <c r="D134" s="857"/>
      <c r="E134" s="857"/>
      <c r="F134" s="857"/>
      <c r="G134" s="857"/>
      <c r="H134" s="857"/>
      <c r="I134" s="857"/>
      <c r="J134" s="857"/>
      <c r="K134" s="857"/>
      <c r="L134" s="857"/>
      <c r="M134" s="857"/>
      <c r="N134" s="857"/>
      <c r="O134" s="857"/>
      <c r="P134" s="857"/>
      <c r="Q134" s="857"/>
      <c r="R134" s="857"/>
      <c r="S134" s="857"/>
      <c r="T134" s="857"/>
      <c r="U134" s="857"/>
      <c r="V134" s="857"/>
      <c r="W134" s="857"/>
      <c r="X134" s="857"/>
      <c r="Y134" s="857"/>
      <c r="Z134" s="857"/>
      <c r="AA134" s="857"/>
      <c r="AB134" s="857"/>
      <c r="AC134" s="857"/>
      <c r="AD134" s="857"/>
      <c r="AE134" s="857"/>
      <c r="AF134" s="857"/>
      <c r="AG134" s="857"/>
      <c r="AH134" s="857"/>
      <c r="AI134" s="857"/>
      <c r="AJ134" s="857"/>
      <c r="AK134" s="857"/>
      <c r="AL134" s="857"/>
      <c r="AM134" s="857"/>
      <c r="AN134" s="857"/>
      <c r="AO134" s="857"/>
      <c r="AP134" s="857"/>
      <c r="AQ134" s="857"/>
      <c r="AR134" s="857"/>
      <c r="AS134" s="857"/>
      <c r="AT134" s="855"/>
      <c r="AU134" s="856"/>
      <c r="AV134" s="857"/>
      <c r="AW134" s="857"/>
      <c r="AX134" s="857"/>
      <c r="AY134" s="857"/>
      <c r="AZ134" s="857"/>
      <c r="BA134" s="857"/>
      <c r="BB134" s="857"/>
      <c r="BC134" s="857"/>
      <c r="BD134" s="857"/>
      <c r="BE134" s="857"/>
      <c r="BF134" s="857"/>
      <c r="BG134" s="857"/>
    </row>
    <row r="135" spans="1:59" ht="14.25" customHeight="1">
      <c r="A135" s="857"/>
      <c r="B135" s="857"/>
      <c r="C135" s="857"/>
      <c r="D135" s="857"/>
      <c r="E135" s="857"/>
      <c r="F135" s="857"/>
      <c r="G135" s="857"/>
      <c r="H135" s="857"/>
      <c r="I135" s="857"/>
      <c r="J135" s="857"/>
      <c r="K135" s="857"/>
      <c r="L135" s="857"/>
      <c r="M135" s="857"/>
      <c r="N135" s="857"/>
      <c r="O135" s="857"/>
      <c r="P135" s="857"/>
      <c r="Q135" s="857"/>
      <c r="R135" s="857"/>
      <c r="S135" s="857"/>
      <c r="T135" s="857"/>
      <c r="U135" s="857"/>
      <c r="V135" s="857"/>
      <c r="W135" s="857"/>
      <c r="X135" s="857"/>
      <c r="Y135" s="857"/>
      <c r="Z135" s="857"/>
      <c r="AA135" s="857"/>
      <c r="AB135" s="857"/>
      <c r="AC135" s="857"/>
      <c r="AD135" s="857"/>
      <c r="AE135" s="857"/>
      <c r="AF135" s="857"/>
      <c r="AG135" s="857"/>
      <c r="AH135" s="857"/>
      <c r="AI135" s="857"/>
      <c r="AJ135" s="857"/>
      <c r="AK135" s="857"/>
      <c r="AL135" s="857"/>
      <c r="AM135" s="857"/>
      <c r="AN135" s="857"/>
      <c r="AO135" s="857"/>
      <c r="AP135" s="857"/>
      <c r="AQ135" s="857"/>
      <c r="AR135" s="857"/>
      <c r="AS135" s="857"/>
      <c r="AT135" s="855"/>
      <c r="AU135" s="856"/>
      <c r="AV135" s="857"/>
      <c r="AW135" s="857"/>
      <c r="AX135" s="857"/>
      <c r="AY135" s="857"/>
      <c r="AZ135" s="857"/>
      <c r="BA135" s="857"/>
      <c r="BB135" s="857"/>
      <c r="BC135" s="857"/>
      <c r="BD135" s="857"/>
      <c r="BE135" s="857"/>
      <c r="BF135" s="857"/>
      <c r="BG135" s="857"/>
    </row>
    <row r="136" spans="1:59" ht="14.25" customHeight="1">
      <c r="A136" s="857"/>
      <c r="B136" s="857"/>
      <c r="C136" s="857"/>
      <c r="D136" s="857"/>
      <c r="E136" s="857"/>
      <c r="F136" s="857"/>
      <c r="G136" s="857"/>
      <c r="H136" s="857"/>
      <c r="I136" s="857"/>
      <c r="J136" s="857"/>
      <c r="K136" s="857"/>
      <c r="L136" s="857"/>
      <c r="M136" s="857"/>
      <c r="N136" s="857"/>
      <c r="O136" s="857"/>
      <c r="P136" s="857"/>
      <c r="Q136" s="857"/>
      <c r="R136" s="857"/>
      <c r="S136" s="857"/>
      <c r="T136" s="857"/>
      <c r="U136" s="857"/>
      <c r="V136" s="857"/>
      <c r="W136" s="857"/>
      <c r="X136" s="857"/>
      <c r="Y136" s="857"/>
      <c r="Z136" s="857"/>
      <c r="AA136" s="857"/>
      <c r="AB136" s="857"/>
      <c r="AC136" s="857"/>
      <c r="AD136" s="857"/>
      <c r="AE136" s="857"/>
      <c r="AF136" s="857"/>
      <c r="AG136" s="857"/>
      <c r="AH136" s="857"/>
      <c r="AI136" s="857"/>
      <c r="AJ136" s="857"/>
      <c r="AK136" s="857"/>
      <c r="AL136" s="857"/>
      <c r="AM136" s="857"/>
      <c r="AN136" s="857"/>
      <c r="AO136" s="857"/>
      <c r="AP136" s="857"/>
      <c r="AQ136" s="857"/>
      <c r="AR136" s="857"/>
      <c r="AS136" s="857"/>
      <c r="AT136" s="855"/>
      <c r="AU136" s="856"/>
      <c r="AV136" s="857"/>
      <c r="AW136" s="857"/>
      <c r="AX136" s="857"/>
      <c r="AY136" s="857"/>
      <c r="AZ136" s="857"/>
      <c r="BA136" s="857"/>
      <c r="BB136" s="857"/>
      <c r="BC136" s="857"/>
      <c r="BD136" s="857"/>
      <c r="BE136" s="857"/>
      <c r="BF136" s="857"/>
      <c r="BG136" s="857"/>
    </row>
    <row r="137" spans="1:59" ht="14.25" customHeight="1">
      <c r="A137" s="857"/>
      <c r="B137" s="857"/>
      <c r="C137" s="857"/>
      <c r="D137" s="857"/>
      <c r="E137" s="857"/>
      <c r="F137" s="857"/>
      <c r="G137" s="857"/>
      <c r="H137" s="857"/>
      <c r="I137" s="857"/>
      <c r="J137" s="857"/>
      <c r="K137" s="857"/>
      <c r="L137" s="857"/>
      <c r="M137" s="857"/>
      <c r="N137" s="857"/>
      <c r="O137" s="857"/>
      <c r="P137" s="857"/>
      <c r="Q137" s="857"/>
      <c r="R137" s="857"/>
      <c r="S137" s="857"/>
      <c r="T137" s="857"/>
      <c r="U137" s="857"/>
      <c r="V137" s="857"/>
      <c r="W137" s="857"/>
      <c r="X137" s="857"/>
      <c r="Y137" s="857"/>
      <c r="Z137" s="857"/>
      <c r="AA137" s="857"/>
      <c r="AB137" s="857"/>
      <c r="AC137" s="857"/>
      <c r="AD137" s="857"/>
      <c r="AE137" s="857"/>
      <c r="AF137" s="857"/>
      <c r="AG137" s="857"/>
      <c r="AH137" s="857"/>
      <c r="AI137" s="857"/>
      <c r="AJ137" s="857"/>
      <c r="AK137" s="857"/>
      <c r="AL137" s="857"/>
      <c r="AM137" s="857"/>
      <c r="AN137" s="857"/>
      <c r="AO137" s="857"/>
      <c r="AP137" s="857"/>
      <c r="AQ137" s="857"/>
      <c r="AR137" s="857"/>
      <c r="AS137" s="857"/>
      <c r="AT137" s="855"/>
      <c r="AU137" s="856"/>
      <c r="AV137" s="857"/>
      <c r="AW137" s="857"/>
      <c r="AX137" s="857"/>
      <c r="AY137" s="857"/>
      <c r="AZ137" s="857"/>
      <c r="BA137" s="857"/>
      <c r="BB137" s="857"/>
      <c r="BC137" s="857"/>
      <c r="BD137" s="857"/>
      <c r="BE137" s="857"/>
      <c r="BF137" s="857"/>
      <c r="BG137" s="857"/>
    </row>
    <row r="138" spans="1:59" ht="14.25" customHeight="1">
      <c r="A138" s="857"/>
      <c r="B138" s="857"/>
      <c r="C138" s="857"/>
      <c r="D138" s="857"/>
      <c r="E138" s="857"/>
      <c r="F138" s="857"/>
      <c r="G138" s="857"/>
      <c r="H138" s="857"/>
      <c r="I138" s="857"/>
      <c r="J138" s="857"/>
      <c r="K138" s="857"/>
      <c r="L138" s="857"/>
      <c r="M138" s="857"/>
      <c r="N138" s="857"/>
      <c r="O138" s="857"/>
      <c r="P138" s="857"/>
      <c r="Q138" s="857"/>
      <c r="R138" s="857"/>
      <c r="S138" s="857"/>
      <c r="T138" s="857"/>
      <c r="U138" s="857"/>
      <c r="V138" s="857"/>
      <c r="W138" s="857"/>
      <c r="X138" s="857"/>
      <c r="Y138" s="857"/>
      <c r="Z138" s="857"/>
      <c r="AA138" s="857"/>
      <c r="AB138" s="857"/>
      <c r="AC138" s="857"/>
      <c r="AD138" s="857"/>
      <c r="AE138" s="857"/>
      <c r="AF138" s="857"/>
      <c r="AG138" s="857"/>
      <c r="AH138" s="857"/>
      <c r="AI138" s="857"/>
      <c r="AJ138" s="857"/>
      <c r="AK138" s="857"/>
      <c r="AL138" s="857"/>
      <c r="AM138" s="857"/>
      <c r="AN138" s="857"/>
      <c r="AO138" s="857"/>
      <c r="AP138" s="857"/>
      <c r="AQ138" s="857"/>
      <c r="AR138" s="857"/>
      <c r="AS138" s="857"/>
      <c r="AT138" s="855"/>
      <c r="AU138" s="856"/>
      <c r="AV138" s="857"/>
      <c r="AW138" s="857"/>
      <c r="AX138" s="857"/>
      <c r="AY138" s="857"/>
      <c r="AZ138" s="857"/>
      <c r="BA138" s="857"/>
      <c r="BB138" s="857"/>
      <c r="BC138" s="857"/>
      <c r="BD138" s="857"/>
      <c r="BE138" s="857"/>
      <c r="BF138" s="857"/>
      <c r="BG138" s="857"/>
    </row>
    <row r="139" spans="1:59" ht="14.25" customHeight="1">
      <c r="A139" s="857"/>
      <c r="B139" s="857"/>
      <c r="C139" s="857"/>
      <c r="D139" s="857"/>
      <c r="E139" s="857"/>
      <c r="F139" s="857"/>
      <c r="G139" s="857"/>
      <c r="H139" s="857"/>
      <c r="I139" s="857"/>
      <c r="J139" s="857"/>
      <c r="K139" s="857"/>
      <c r="L139" s="857"/>
      <c r="M139" s="857"/>
      <c r="N139" s="857"/>
      <c r="O139" s="857"/>
      <c r="P139" s="857"/>
      <c r="Q139" s="857"/>
      <c r="R139" s="857"/>
      <c r="S139" s="857"/>
      <c r="T139" s="857"/>
      <c r="U139" s="857"/>
      <c r="V139" s="857"/>
      <c r="W139" s="857"/>
      <c r="X139" s="857"/>
      <c r="Y139" s="857"/>
      <c r="Z139" s="857"/>
      <c r="AA139" s="857"/>
      <c r="AB139" s="857"/>
      <c r="AC139" s="857"/>
      <c r="AD139" s="857"/>
      <c r="AE139" s="857"/>
      <c r="AF139" s="857"/>
      <c r="AG139" s="857"/>
      <c r="AH139" s="857"/>
      <c r="AI139" s="857"/>
      <c r="AJ139" s="857"/>
      <c r="AK139" s="857"/>
      <c r="AL139" s="857"/>
      <c r="AM139" s="857"/>
      <c r="AN139" s="857"/>
      <c r="AO139" s="857"/>
      <c r="AP139" s="857"/>
      <c r="AQ139" s="857"/>
      <c r="AR139" s="857"/>
      <c r="AS139" s="857"/>
      <c r="AT139" s="855"/>
      <c r="AU139" s="856"/>
      <c r="AV139" s="857"/>
      <c r="AW139" s="857"/>
      <c r="AX139" s="857"/>
      <c r="AY139" s="857"/>
      <c r="AZ139" s="857"/>
      <c r="BA139" s="857"/>
      <c r="BB139" s="857"/>
      <c r="BC139" s="857"/>
      <c r="BD139" s="857"/>
      <c r="BE139" s="857"/>
      <c r="BF139" s="857"/>
      <c r="BG139" s="857"/>
    </row>
    <row r="140" spans="1:59" ht="14.25" customHeight="1">
      <c r="A140" s="857"/>
      <c r="B140" s="857"/>
      <c r="C140" s="857"/>
      <c r="D140" s="857"/>
      <c r="E140" s="857"/>
      <c r="F140" s="857"/>
      <c r="G140" s="857"/>
      <c r="H140" s="857"/>
      <c r="I140" s="857"/>
      <c r="J140" s="857"/>
      <c r="K140" s="857"/>
      <c r="L140" s="857"/>
      <c r="M140" s="857"/>
      <c r="N140" s="857"/>
      <c r="O140" s="857"/>
      <c r="P140" s="857"/>
      <c r="Q140" s="857"/>
      <c r="R140" s="857"/>
      <c r="S140" s="857"/>
      <c r="T140" s="857"/>
      <c r="U140" s="857"/>
      <c r="V140" s="857"/>
      <c r="W140" s="857"/>
      <c r="X140" s="857"/>
      <c r="Y140" s="857"/>
      <c r="Z140" s="857"/>
      <c r="AA140" s="857"/>
      <c r="AB140" s="857"/>
      <c r="AC140" s="857"/>
      <c r="AD140" s="857"/>
      <c r="AE140" s="857"/>
      <c r="AF140" s="857"/>
      <c r="AG140" s="857"/>
      <c r="AH140" s="857"/>
      <c r="AI140" s="857"/>
      <c r="AJ140" s="857"/>
      <c r="AK140" s="857"/>
      <c r="AL140" s="857"/>
      <c r="AM140" s="857"/>
      <c r="AN140" s="857"/>
      <c r="AO140" s="857"/>
      <c r="AP140" s="857"/>
      <c r="AQ140" s="857"/>
      <c r="AR140" s="857"/>
      <c r="AS140" s="857"/>
      <c r="AT140" s="855"/>
      <c r="AU140" s="856"/>
      <c r="AV140" s="857"/>
      <c r="AW140" s="857"/>
      <c r="AX140" s="857"/>
      <c r="AY140" s="857"/>
      <c r="AZ140" s="857"/>
      <c r="BA140" s="857"/>
      <c r="BB140" s="857"/>
      <c r="BC140" s="857"/>
      <c r="BD140" s="857"/>
      <c r="BE140" s="857"/>
      <c r="BF140" s="857"/>
      <c r="BG140" s="857"/>
    </row>
    <row r="141" spans="1:59" ht="14.25" customHeight="1">
      <c r="A141" s="857"/>
      <c r="B141" s="857"/>
      <c r="C141" s="857"/>
      <c r="D141" s="857"/>
      <c r="E141" s="857"/>
      <c r="F141" s="857"/>
      <c r="G141" s="857"/>
      <c r="H141" s="857"/>
      <c r="I141" s="857"/>
      <c r="J141" s="857"/>
      <c r="K141" s="857"/>
      <c r="L141" s="857"/>
      <c r="M141" s="857"/>
      <c r="N141" s="857"/>
      <c r="O141" s="857"/>
      <c r="P141" s="857"/>
      <c r="Q141" s="857"/>
      <c r="R141" s="857"/>
      <c r="S141" s="857"/>
      <c r="T141" s="857"/>
      <c r="U141" s="857"/>
      <c r="V141" s="857"/>
      <c r="W141" s="857"/>
      <c r="X141" s="857"/>
      <c r="Y141" s="857"/>
      <c r="Z141" s="857"/>
      <c r="AA141" s="857"/>
      <c r="AB141" s="857"/>
      <c r="AC141" s="857"/>
      <c r="AD141" s="857"/>
      <c r="AE141" s="857"/>
      <c r="AF141" s="857"/>
      <c r="AG141" s="857"/>
      <c r="AH141" s="857"/>
      <c r="AI141" s="857"/>
      <c r="AJ141" s="857"/>
      <c r="AK141" s="857"/>
      <c r="AL141" s="857"/>
      <c r="AM141" s="857"/>
      <c r="AN141" s="857"/>
      <c r="AO141" s="857"/>
      <c r="AP141" s="857"/>
      <c r="AQ141" s="857"/>
      <c r="AR141" s="857"/>
      <c r="AS141" s="857"/>
      <c r="AT141" s="855"/>
      <c r="AU141" s="856"/>
      <c r="AV141" s="857"/>
      <c r="AW141" s="857"/>
      <c r="AX141" s="857"/>
      <c r="AY141" s="857"/>
      <c r="AZ141" s="857"/>
      <c r="BA141" s="857"/>
      <c r="BB141" s="857"/>
      <c r="BC141" s="857"/>
      <c r="BD141" s="857"/>
      <c r="BE141" s="857"/>
      <c r="BF141" s="857"/>
      <c r="BG141" s="857"/>
    </row>
    <row r="142" spans="1:59" ht="14.25" customHeight="1">
      <c r="A142" s="857"/>
      <c r="B142" s="857"/>
      <c r="C142" s="857"/>
      <c r="D142" s="857"/>
      <c r="E142" s="857"/>
      <c r="F142" s="857"/>
      <c r="G142" s="857"/>
      <c r="H142" s="857"/>
      <c r="I142" s="857"/>
      <c r="J142" s="857"/>
      <c r="K142" s="857"/>
      <c r="L142" s="857"/>
      <c r="M142" s="857"/>
      <c r="N142" s="857"/>
      <c r="O142" s="857"/>
      <c r="P142" s="857"/>
      <c r="Q142" s="857"/>
      <c r="R142" s="857"/>
      <c r="S142" s="857"/>
      <c r="T142" s="857"/>
      <c r="U142" s="857"/>
      <c r="V142" s="857"/>
      <c r="W142" s="857"/>
      <c r="X142" s="857"/>
      <c r="Y142" s="857"/>
      <c r="Z142" s="857"/>
      <c r="AA142" s="857"/>
      <c r="AB142" s="857"/>
      <c r="AC142" s="857"/>
      <c r="AD142" s="857"/>
      <c r="AE142" s="857"/>
      <c r="AF142" s="857"/>
      <c r="AG142" s="857"/>
      <c r="AH142" s="857"/>
      <c r="AI142" s="857"/>
      <c r="AJ142" s="857"/>
      <c r="AK142" s="857"/>
      <c r="AL142" s="857"/>
      <c r="AM142" s="857"/>
      <c r="AN142" s="857"/>
      <c r="AO142" s="857"/>
      <c r="AP142" s="857"/>
      <c r="AQ142" s="857"/>
      <c r="AR142" s="857"/>
      <c r="AS142" s="857"/>
      <c r="AT142" s="855"/>
      <c r="AU142" s="856"/>
      <c r="AV142" s="857"/>
      <c r="AW142" s="857"/>
      <c r="AX142" s="857"/>
      <c r="AY142" s="857"/>
      <c r="AZ142" s="857"/>
      <c r="BA142" s="857"/>
      <c r="BB142" s="857"/>
      <c r="BC142" s="857"/>
      <c r="BD142" s="857"/>
      <c r="BE142" s="857"/>
      <c r="BF142" s="857"/>
      <c r="BG142" s="857"/>
    </row>
    <row r="143" spans="1:59" ht="14.25" customHeight="1">
      <c r="A143" s="857"/>
      <c r="B143" s="857"/>
      <c r="C143" s="857"/>
      <c r="D143" s="857"/>
      <c r="E143" s="857"/>
      <c r="F143" s="857"/>
      <c r="G143" s="857"/>
      <c r="H143" s="857"/>
      <c r="I143" s="857"/>
      <c r="J143" s="857"/>
      <c r="K143" s="857"/>
      <c r="L143" s="857"/>
      <c r="M143" s="857"/>
      <c r="N143" s="857"/>
      <c r="O143" s="857"/>
      <c r="P143" s="857"/>
      <c r="Q143" s="857"/>
      <c r="R143" s="857"/>
      <c r="S143" s="857"/>
      <c r="T143" s="857"/>
      <c r="U143" s="857"/>
      <c r="V143" s="857"/>
      <c r="W143" s="857"/>
      <c r="X143" s="857"/>
      <c r="Y143" s="857"/>
      <c r="Z143" s="857"/>
      <c r="AA143" s="857"/>
      <c r="AB143" s="857"/>
      <c r="AC143" s="857"/>
      <c r="AD143" s="857"/>
      <c r="AE143" s="857"/>
      <c r="AF143" s="857"/>
      <c r="AG143" s="857"/>
      <c r="AH143" s="857"/>
      <c r="AI143" s="857"/>
      <c r="AJ143" s="857"/>
      <c r="AK143" s="857"/>
      <c r="AL143" s="857"/>
      <c r="AM143" s="857"/>
      <c r="AN143" s="857"/>
      <c r="AO143" s="857"/>
      <c r="AP143" s="857"/>
      <c r="AQ143" s="857"/>
      <c r="AR143" s="857"/>
      <c r="AS143" s="857"/>
      <c r="AT143" s="855"/>
      <c r="AU143" s="856"/>
      <c r="AV143" s="857"/>
      <c r="AW143" s="857"/>
      <c r="AX143" s="857"/>
      <c r="AY143" s="857"/>
      <c r="AZ143" s="857"/>
      <c r="BA143" s="857"/>
      <c r="BB143" s="857"/>
      <c r="BC143" s="857"/>
      <c r="BD143" s="857"/>
      <c r="BE143" s="857"/>
      <c r="BF143" s="857"/>
      <c r="BG143" s="857"/>
    </row>
    <row r="144" spans="1:59" ht="14.25" customHeight="1">
      <c r="A144" s="857"/>
      <c r="B144" s="857"/>
      <c r="C144" s="857"/>
      <c r="D144" s="857"/>
      <c r="E144" s="857"/>
      <c r="F144" s="857"/>
      <c r="G144" s="857"/>
      <c r="H144" s="857"/>
      <c r="I144" s="857"/>
      <c r="J144" s="857"/>
      <c r="K144" s="857"/>
      <c r="L144" s="857"/>
      <c r="M144" s="857"/>
      <c r="N144" s="857"/>
      <c r="O144" s="857"/>
      <c r="P144" s="857"/>
      <c r="Q144" s="857"/>
      <c r="R144" s="857"/>
      <c r="S144" s="857"/>
      <c r="T144" s="857"/>
      <c r="U144" s="857"/>
      <c r="V144" s="857"/>
      <c r="W144" s="857"/>
      <c r="X144" s="857"/>
      <c r="Y144" s="857"/>
      <c r="Z144" s="857"/>
      <c r="AA144" s="857"/>
      <c r="AB144" s="857"/>
      <c r="AC144" s="857"/>
      <c r="AD144" s="857"/>
      <c r="AE144" s="857"/>
      <c r="AF144" s="857"/>
      <c r="AG144" s="857"/>
      <c r="AH144" s="857"/>
      <c r="AI144" s="857"/>
      <c r="AJ144" s="857"/>
      <c r="AK144" s="857"/>
      <c r="AL144" s="857"/>
      <c r="AM144" s="857"/>
      <c r="AN144" s="857"/>
      <c r="AO144" s="857"/>
      <c r="AP144" s="857"/>
      <c r="AQ144" s="857"/>
      <c r="AR144" s="857"/>
      <c r="AS144" s="857"/>
      <c r="AT144" s="855"/>
      <c r="AU144" s="856"/>
      <c r="AV144" s="857"/>
      <c r="AW144" s="857"/>
      <c r="AX144" s="857"/>
      <c r="AY144" s="857"/>
      <c r="AZ144" s="857"/>
      <c r="BA144" s="857"/>
      <c r="BB144" s="857"/>
      <c r="BC144" s="857"/>
      <c r="BD144" s="857"/>
      <c r="BE144" s="857"/>
      <c r="BF144" s="857"/>
      <c r="BG144" s="857"/>
    </row>
    <row r="145" spans="1:59" ht="14.25" customHeight="1">
      <c r="A145" s="857"/>
      <c r="B145" s="857"/>
      <c r="C145" s="857"/>
      <c r="D145" s="857"/>
      <c r="E145" s="857"/>
      <c r="F145" s="857"/>
      <c r="G145" s="857"/>
      <c r="H145" s="857"/>
      <c r="I145" s="857"/>
      <c r="J145" s="857"/>
      <c r="K145" s="857"/>
      <c r="L145" s="857"/>
      <c r="M145" s="857"/>
      <c r="N145" s="857"/>
      <c r="O145" s="857"/>
      <c r="P145" s="857"/>
      <c r="Q145" s="857"/>
      <c r="R145" s="857"/>
      <c r="S145" s="857"/>
      <c r="T145" s="857"/>
      <c r="U145" s="857"/>
      <c r="V145" s="857"/>
      <c r="W145" s="857"/>
      <c r="X145" s="857"/>
      <c r="Y145" s="857"/>
      <c r="Z145" s="857"/>
      <c r="AA145" s="857"/>
      <c r="AB145" s="857"/>
      <c r="AC145" s="857"/>
      <c r="AD145" s="857"/>
      <c r="AE145" s="857"/>
      <c r="AF145" s="857"/>
      <c r="AG145" s="857"/>
      <c r="AH145" s="857"/>
      <c r="AI145" s="857"/>
      <c r="AJ145" s="857"/>
      <c r="AK145" s="857"/>
      <c r="AL145" s="857"/>
      <c r="AM145" s="857"/>
      <c r="AN145" s="857"/>
      <c r="AO145" s="857"/>
      <c r="AP145" s="857"/>
      <c r="AQ145" s="857"/>
      <c r="AR145" s="857"/>
      <c r="AS145" s="857"/>
      <c r="AT145" s="855"/>
      <c r="AU145" s="856"/>
      <c r="AV145" s="857"/>
      <c r="AW145" s="857"/>
      <c r="AX145" s="857"/>
      <c r="AY145" s="857"/>
      <c r="AZ145" s="857"/>
      <c r="BA145" s="857"/>
      <c r="BB145" s="857"/>
      <c r="BC145" s="857"/>
      <c r="BD145" s="857"/>
      <c r="BE145" s="857"/>
      <c r="BF145" s="857"/>
      <c r="BG145" s="857"/>
    </row>
    <row r="146" spans="1:59" ht="14.25" customHeight="1">
      <c r="A146" s="857"/>
      <c r="B146" s="857"/>
      <c r="C146" s="857"/>
      <c r="D146" s="857"/>
      <c r="E146" s="857"/>
      <c r="F146" s="857"/>
      <c r="G146" s="857"/>
      <c r="H146" s="857"/>
      <c r="I146" s="857"/>
      <c r="J146" s="857"/>
      <c r="K146" s="857"/>
      <c r="L146" s="857"/>
      <c r="M146" s="857"/>
      <c r="N146" s="857"/>
      <c r="O146" s="857"/>
      <c r="P146" s="857"/>
      <c r="Q146" s="857"/>
      <c r="R146" s="857"/>
      <c r="S146" s="857"/>
      <c r="T146" s="857"/>
      <c r="U146" s="857"/>
      <c r="V146" s="857"/>
      <c r="W146" s="857"/>
      <c r="X146" s="857"/>
      <c r="Y146" s="857"/>
      <c r="Z146" s="857"/>
      <c r="AA146" s="857"/>
      <c r="AB146" s="857"/>
      <c r="AC146" s="857"/>
      <c r="AD146" s="857"/>
      <c r="AE146" s="857"/>
      <c r="AF146" s="857"/>
      <c r="AG146" s="857"/>
      <c r="AH146" s="857"/>
      <c r="AI146" s="857"/>
      <c r="AJ146" s="857"/>
      <c r="AK146" s="857"/>
      <c r="AL146" s="857"/>
      <c r="AM146" s="857"/>
      <c r="AN146" s="857"/>
      <c r="AO146" s="857"/>
      <c r="AP146" s="857"/>
      <c r="AQ146" s="857"/>
      <c r="AR146" s="857"/>
      <c r="AS146" s="857"/>
      <c r="AT146" s="855"/>
      <c r="AU146" s="856"/>
      <c r="AV146" s="857"/>
      <c r="AW146" s="857"/>
      <c r="AX146" s="857"/>
      <c r="AY146" s="857"/>
      <c r="AZ146" s="857"/>
      <c r="BA146" s="857"/>
      <c r="BB146" s="857"/>
      <c r="BC146" s="857"/>
      <c r="BD146" s="857"/>
      <c r="BE146" s="857"/>
      <c r="BF146" s="857"/>
      <c r="BG146" s="857"/>
    </row>
    <row r="147" spans="1:59" ht="14.25" customHeight="1">
      <c r="A147" s="857"/>
      <c r="B147" s="857"/>
      <c r="C147" s="857"/>
      <c r="D147" s="857"/>
      <c r="E147" s="857"/>
      <c r="F147" s="857"/>
      <c r="G147" s="857"/>
      <c r="H147" s="857"/>
      <c r="I147" s="857"/>
      <c r="J147" s="857"/>
      <c r="K147" s="857"/>
      <c r="L147" s="857"/>
      <c r="M147" s="857"/>
      <c r="N147" s="857"/>
      <c r="O147" s="857"/>
      <c r="P147" s="857"/>
      <c r="Q147" s="857"/>
      <c r="R147" s="857"/>
      <c r="S147" s="857"/>
      <c r="T147" s="857"/>
      <c r="U147" s="857"/>
      <c r="V147" s="857"/>
      <c r="W147" s="857"/>
      <c r="X147" s="857"/>
      <c r="Y147" s="857"/>
      <c r="Z147" s="857"/>
      <c r="AA147" s="857"/>
      <c r="AB147" s="857"/>
      <c r="AC147" s="857"/>
      <c r="AD147" s="857"/>
      <c r="AE147" s="857"/>
      <c r="AF147" s="857"/>
      <c r="AG147" s="857"/>
      <c r="AH147" s="857"/>
      <c r="AI147" s="857"/>
      <c r="AJ147" s="857"/>
      <c r="AK147" s="857"/>
      <c r="AL147" s="857"/>
      <c r="AM147" s="857"/>
      <c r="AN147" s="857"/>
      <c r="AO147" s="857"/>
      <c r="AP147" s="857"/>
      <c r="AQ147" s="857"/>
      <c r="AR147" s="857"/>
      <c r="AS147" s="857"/>
      <c r="AT147" s="855"/>
      <c r="AU147" s="856"/>
      <c r="AV147" s="857"/>
      <c r="AW147" s="857"/>
      <c r="AX147" s="857"/>
      <c r="AY147" s="857"/>
      <c r="AZ147" s="857"/>
      <c r="BA147" s="857"/>
      <c r="BB147" s="857"/>
      <c r="BC147" s="857"/>
      <c r="BD147" s="857"/>
      <c r="BE147" s="857"/>
      <c r="BF147" s="857"/>
      <c r="BG147" s="857"/>
    </row>
    <row r="148" spans="1:59" ht="14.25" customHeight="1">
      <c r="A148" s="857"/>
      <c r="B148" s="857"/>
      <c r="C148" s="857"/>
      <c r="D148" s="857"/>
      <c r="E148" s="857"/>
      <c r="F148" s="857"/>
      <c r="G148" s="857"/>
      <c r="H148" s="857"/>
      <c r="I148" s="857"/>
      <c r="J148" s="857"/>
      <c r="K148" s="857"/>
      <c r="L148" s="857"/>
      <c r="M148" s="857"/>
      <c r="N148" s="857"/>
      <c r="O148" s="857"/>
      <c r="P148" s="857"/>
      <c r="Q148" s="857"/>
      <c r="R148" s="857"/>
      <c r="S148" s="857"/>
      <c r="T148" s="857"/>
      <c r="U148" s="857"/>
      <c r="V148" s="857"/>
      <c r="W148" s="857"/>
      <c r="X148" s="857"/>
      <c r="Y148" s="857"/>
      <c r="Z148" s="857"/>
      <c r="AA148" s="857"/>
      <c r="AB148" s="857"/>
      <c r="AC148" s="857"/>
      <c r="AD148" s="857"/>
      <c r="AE148" s="857"/>
      <c r="AF148" s="857"/>
      <c r="AG148" s="857"/>
      <c r="AH148" s="857"/>
      <c r="AI148" s="857"/>
      <c r="AJ148" s="857"/>
      <c r="AK148" s="857"/>
      <c r="AL148" s="857"/>
      <c r="AM148" s="857"/>
      <c r="AN148" s="857"/>
      <c r="AO148" s="857"/>
      <c r="AP148" s="857"/>
      <c r="AQ148" s="857"/>
      <c r="AR148" s="857"/>
      <c r="AS148" s="857"/>
      <c r="AT148" s="855"/>
      <c r="AU148" s="856"/>
      <c r="AV148" s="857"/>
      <c r="AW148" s="857"/>
      <c r="AX148" s="857"/>
      <c r="AY148" s="857"/>
      <c r="AZ148" s="857"/>
      <c r="BA148" s="857"/>
      <c r="BB148" s="857"/>
      <c r="BC148" s="857"/>
      <c r="BD148" s="857"/>
      <c r="BE148" s="857"/>
      <c r="BF148" s="857"/>
      <c r="BG148" s="857"/>
    </row>
    <row r="149" spans="1:59" ht="14.25" customHeight="1">
      <c r="A149" s="857"/>
      <c r="B149" s="857"/>
      <c r="C149" s="857"/>
      <c r="D149" s="857"/>
      <c r="E149" s="857"/>
      <c r="F149" s="857"/>
      <c r="G149" s="857"/>
      <c r="H149" s="857"/>
      <c r="I149" s="857"/>
      <c r="J149" s="857"/>
      <c r="K149" s="857"/>
      <c r="L149" s="857"/>
      <c r="M149" s="857"/>
      <c r="N149" s="857"/>
      <c r="O149" s="857"/>
      <c r="P149" s="857"/>
      <c r="Q149" s="857"/>
      <c r="R149" s="857"/>
      <c r="S149" s="857"/>
      <c r="T149" s="857"/>
      <c r="U149" s="857"/>
      <c r="V149" s="857"/>
      <c r="W149" s="857"/>
      <c r="X149" s="857"/>
      <c r="Y149" s="857"/>
      <c r="Z149" s="857"/>
      <c r="AA149" s="857"/>
      <c r="AB149" s="857"/>
      <c r="AC149" s="857"/>
      <c r="AD149" s="857"/>
      <c r="AE149" s="857"/>
      <c r="AF149" s="857"/>
      <c r="AG149" s="857"/>
      <c r="AH149" s="857"/>
      <c r="AI149" s="857"/>
      <c r="AJ149" s="857"/>
      <c r="AK149" s="857"/>
      <c r="AL149" s="857"/>
      <c r="AM149" s="857"/>
      <c r="AN149" s="857"/>
      <c r="AO149" s="857"/>
      <c r="AP149" s="857"/>
      <c r="AQ149" s="857"/>
      <c r="AR149" s="857"/>
      <c r="AS149" s="857"/>
      <c r="AT149" s="855"/>
      <c r="AU149" s="856"/>
      <c r="AV149" s="857"/>
      <c r="AW149" s="857"/>
      <c r="AX149" s="857"/>
      <c r="AY149" s="857"/>
      <c r="AZ149" s="857"/>
      <c r="BA149" s="857"/>
      <c r="BB149" s="857"/>
      <c r="BC149" s="857"/>
      <c r="BD149" s="857"/>
      <c r="BE149" s="857"/>
      <c r="BF149" s="857"/>
      <c r="BG149" s="857"/>
    </row>
    <row r="150" spans="1:59" ht="14.25" customHeight="1">
      <c r="A150" s="857"/>
      <c r="B150" s="857"/>
      <c r="C150" s="857"/>
      <c r="D150" s="857"/>
      <c r="E150" s="857"/>
      <c r="F150" s="857"/>
      <c r="G150" s="857"/>
      <c r="H150" s="857"/>
      <c r="I150" s="857"/>
      <c r="J150" s="857"/>
      <c r="K150" s="857"/>
      <c r="L150" s="857"/>
      <c r="M150" s="857"/>
      <c r="N150" s="857"/>
      <c r="O150" s="857"/>
      <c r="P150" s="857"/>
      <c r="Q150" s="857"/>
      <c r="R150" s="857"/>
      <c r="S150" s="857"/>
      <c r="T150" s="857"/>
      <c r="U150" s="857"/>
      <c r="V150" s="857"/>
      <c r="W150" s="857"/>
      <c r="X150" s="857"/>
      <c r="Y150" s="857"/>
      <c r="Z150" s="857"/>
      <c r="AA150" s="857"/>
      <c r="AB150" s="857"/>
      <c r="AC150" s="857"/>
      <c r="AD150" s="857"/>
      <c r="AE150" s="857"/>
      <c r="AF150" s="857"/>
      <c r="AG150" s="857"/>
      <c r="AH150" s="857"/>
      <c r="AI150" s="857"/>
      <c r="AJ150" s="857"/>
      <c r="AK150" s="857"/>
      <c r="AL150" s="857"/>
      <c r="AM150" s="857"/>
      <c r="AN150" s="857"/>
      <c r="AO150" s="857"/>
      <c r="AP150" s="857"/>
      <c r="AQ150" s="857"/>
      <c r="AR150" s="857"/>
      <c r="AS150" s="857"/>
      <c r="AT150" s="855"/>
      <c r="AU150" s="856"/>
      <c r="AV150" s="857"/>
      <c r="AW150" s="857"/>
      <c r="AX150" s="857"/>
      <c r="AY150" s="857"/>
      <c r="AZ150" s="857"/>
      <c r="BA150" s="857"/>
      <c r="BB150" s="857"/>
      <c r="BC150" s="857"/>
      <c r="BD150" s="857"/>
      <c r="BE150" s="857"/>
      <c r="BF150" s="857"/>
      <c r="BG150" s="857"/>
    </row>
    <row r="151" spans="1:59" ht="14.25" customHeight="1">
      <c r="A151" s="857"/>
      <c r="B151" s="857"/>
      <c r="C151" s="857"/>
      <c r="D151" s="857"/>
      <c r="E151" s="857"/>
      <c r="F151" s="857"/>
      <c r="G151" s="857"/>
      <c r="H151" s="857"/>
      <c r="I151" s="857"/>
      <c r="J151" s="857"/>
      <c r="K151" s="857"/>
      <c r="L151" s="857"/>
      <c r="M151" s="857"/>
      <c r="N151" s="857"/>
      <c r="O151" s="857"/>
      <c r="P151" s="857"/>
      <c r="Q151" s="857"/>
      <c r="R151" s="857"/>
      <c r="S151" s="857"/>
      <c r="T151" s="857"/>
      <c r="U151" s="857"/>
      <c r="V151" s="857"/>
      <c r="W151" s="857"/>
      <c r="X151" s="857"/>
      <c r="Y151" s="857"/>
      <c r="Z151" s="857"/>
      <c r="AA151" s="857"/>
      <c r="AB151" s="857"/>
      <c r="AC151" s="857"/>
      <c r="AD151" s="857"/>
      <c r="AE151" s="857"/>
      <c r="AF151" s="857"/>
      <c r="AG151" s="857"/>
      <c r="AH151" s="857"/>
      <c r="AI151" s="857"/>
      <c r="AJ151" s="857"/>
      <c r="AK151" s="857"/>
      <c r="AL151" s="857"/>
      <c r="AM151" s="857"/>
      <c r="AN151" s="857"/>
      <c r="AO151" s="857"/>
      <c r="AP151" s="857"/>
      <c r="AQ151" s="857"/>
      <c r="AR151" s="857"/>
      <c r="AS151" s="857"/>
      <c r="AT151" s="855"/>
      <c r="AU151" s="856"/>
      <c r="AV151" s="857"/>
      <c r="AW151" s="857"/>
      <c r="AX151" s="857"/>
      <c r="AY151" s="857"/>
      <c r="AZ151" s="857"/>
      <c r="BA151" s="857"/>
      <c r="BB151" s="857"/>
      <c r="BC151" s="857"/>
      <c r="BD151" s="857"/>
      <c r="BE151" s="857"/>
      <c r="BF151" s="857"/>
      <c r="BG151" s="857"/>
    </row>
    <row r="152" spans="1:59" ht="14.25" customHeight="1">
      <c r="A152" s="857"/>
      <c r="B152" s="857"/>
      <c r="C152" s="857"/>
      <c r="D152" s="857"/>
      <c r="E152" s="857"/>
      <c r="F152" s="857"/>
      <c r="G152" s="857"/>
      <c r="H152" s="857"/>
      <c r="I152" s="857"/>
      <c r="J152" s="857"/>
      <c r="K152" s="857"/>
      <c r="L152" s="857"/>
      <c r="M152" s="857"/>
      <c r="N152" s="857"/>
      <c r="O152" s="857"/>
      <c r="P152" s="857"/>
      <c r="Q152" s="857"/>
      <c r="R152" s="857"/>
      <c r="S152" s="857"/>
      <c r="T152" s="857"/>
      <c r="U152" s="857"/>
      <c r="V152" s="857"/>
      <c r="W152" s="857"/>
      <c r="X152" s="857"/>
      <c r="Y152" s="857"/>
      <c r="Z152" s="857"/>
      <c r="AA152" s="857"/>
      <c r="AB152" s="857"/>
      <c r="AC152" s="857"/>
      <c r="AD152" s="857"/>
      <c r="AE152" s="857"/>
      <c r="AF152" s="857"/>
      <c r="AG152" s="857"/>
      <c r="AH152" s="857"/>
      <c r="AI152" s="857"/>
      <c r="AJ152" s="857"/>
      <c r="AK152" s="857"/>
      <c r="AL152" s="857"/>
      <c r="AM152" s="857"/>
      <c r="AN152" s="857"/>
      <c r="AO152" s="857"/>
      <c r="AP152" s="857"/>
      <c r="AQ152" s="857"/>
      <c r="AR152" s="857"/>
      <c r="AS152" s="857"/>
      <c r="AT152" s="855"/>
      <c r="AU152" s="856"/>
      <c r="AV152" s="857"/>
      <c r="AW152" s="857"/>
      <c r="AX152" s="857"/>
      <c r="AY152" s="857"/>
      <c r="AZ152" s="857"/>
      <c r="BA152" s="857"/>
      <c r="BB152" s="857"/>
      <c r="BC152" s="857"/>
      <c r="BD152" s="857"/>
      <c r="BE152" s="857"/>
      <c r="BF152" s="857"/>
      <c r="BG152" s="857"/>
    </row>
    <row r="153" spans="1:59" ht="14.25" customHeight="1">
      <c r="A153" s="857"/>
      <c r="B153" s="857"/>
      <c r="C153" s="857"/>
      <c r="D153" s="857"/>
      <c r="E153" s="857"/>
      <c r="F153" s="857"/>
      <c r="G153" s="857"/>
      <c r="H153" s="857"/>
      <c r="I153" s="857"/>
      <c r="J153" s="857"/>
      <c r="K153" s="857"/>
      <c r="L153" s="857"/>
      <c r="M153" s="857"/>
      <c r="N153" s="857"/>
      <c r="O153" s="857"/>
      <c r="P153" s="857"/>
      <c r="Q153" s="857"/>
      <c r="R153" s="857"/>
      <c r="S153" s="857"/>
      <c r="T153" s="857"/>
      <c r="U153" s="857"/>
      <c r="V153" s="857"/>
      <c r="W153" s="857"/>
      <c r="X153" s="857"/>
      <c r="Y153" s="857"/>
      <c r="Z153" s="857"/>
      <c r="AA153" s="857"/>
      <c r="AB153" s="857"/>
      <c r="AC153" s="857"/>
      <c r="AD153" s="857"/>
      <c r="AE153" s="857"/>
      <c r="AF153" s="857"/>
      <c r="AG153" s="857"/>
      <c r="AH153" s="857"/>
      <c r="AI153" s="857"/>
      <c r="AJ153" s="857"/>
      <c r="AK153" s="857"/>
      <c r="AL153" s="857"/>
      <c r="AM153" s="857"/>
      <c r="AN153" s="857"/>
      <c r="AO153" s="857"/>
      <c r="AP153" s="857"/>
      <c r="AQ153" s="857"/>
      <c r="AR153" s="857"/>
      <c r="AS153" s="857"/>
      <c r="AT153" s="855"/>
      <c r="AU153" s="856"/>
      <c r="AV153" s="857"/>
      <c r="AW153" s="857"/>
      <c r="AX153" s="857"/>
      <c r="AY153" s="857"/>
      <c r="AZ153" s="857"/>
      <c r="BA153" s="857"/>
      <c r="BB153" s="857"/>
      <c r="BC153" s="857"/>
      <c r="BD153" s="857"/>
      <c r="BE153" s="857"/>
      <c r="BF153" s="857"/>
      <c r="BG153" s="857"/>
    </row>
    <row r="154" spans="1:59" ht="14.25" customHeight="1">
      <c r="A154" s="857"/>
      <c r="B154" s="857"/>
      <c r="C154" s="857"/>
      <c r="D154" s="857"/>
      <c r="E154" s="857"/>
      <c r="F154" s="857"/>
      <c r="G154" s="857"/>
      <c r="H154" s="857"/>
      <c r="I154" s="857"/>
      <c r="J154" s="857"/>
      <c r="K154" s="857"/>
      <c r="L154" s="857"/>
      <c r="M154" s="857"/>
      <c r="N154" s="857"/>
      <c r="O154" s="857"/>
      <c r="P154" s="857"/>
      <c r="Q154" s="857"/>
      <c r="R154" s="857"/>
      <c r="S154" s="857"/>
      <c r="T154" s="857"/>
      <c r="U154" s="857"/>
      <c r="V154" s="857"/>
      <c r="W154" s="857"/>
      <c r="X154" s="857"/>
      <c r="Y154" s="857"/>
      <c r="Z154" s="857"/>
      <c r="AA154" s="857"/>
      <c r="AB154" s="857"/>
      <c r="AC154" s="857"/>
      <c r="AD154" s="857"/>
      <c r="AE154" s="857"/>
      <c r="AF154" s="857"/>
      <c r="AG154" s="857"/>
      <c r="AH154" s="857"/>
      <c r="AI154" s="857"/>
      <c r="AJ154" s="857"/>
      <c r="AK154" s="857"/>
      <c r="AL154" s="857"/>
      <c r="AM154" s="857"/>
      <c r="AN154" s="857"/>
      <c r="AO154" s="857"/>
      <c r="AP154" s="857"/>
      <c r="AQ154" s="857"/>
      <c r="AR154" s="857"/>
      <c r="AS154" s="857"/>
      <c r="AT154" s="855"/>
      <c r="AU154" s="856"/>
      <c r="AV154" s="857"/>
      <c r="AW154" s="857"/>
      <c r="AX154" s="857"/>
      <c r="AY154" s="857"/>
      <c r="AZ154" s="857"/>
      <c r="BA154" s="857"/>
      <c r="BB154" s="857"/>
      <c r="BC154" s="857"/>
      <c r="BD154" s="857"/>
      <c r="BE154" s="857"/>
      <c r="BF154" s="857"/>
      <c r="BG154" s="857"/>
    </row>
    <row r="155" spans="1:59" ht="14.25" customHeight="1">
      <c r="A155" s="857"/>
      <c r="B155" s="857"/>
      <c r="C155" s="857"/>
      <c r="D155" s="857"/>
      <c r="E155" s="857"/>
      <c r="F155" s="857"/>
      <c r="G155" s="857"/>
      <c r="H155" s="857"/>
      <c r="I155" s="857"/>
      <c r="J155" s="857"/>
      <c r="K155" s="857"/>
      <c r="L155" s="857"/>
      <c r="M155" s="857"/>
      <c r="N155" s="857"/>
      <c r="O155" s="857"/>
      <c r="P155" s="857"/>
      <c r="Q155" s="857"/>
      <c r="R155" s="857"/>
      <c r="S155" s="857"/>
      <c r="T155" s="857"/>
      <c r="U155" s="857"/>
      <c r="V155" s="857"/>
      <c r="W155" s="857"/>
      <c r="X155" s="857"/>
      <c r="Y155" s="857"/>
      <c r="Z155" s="857"/>
      <c r="AA155" s="857"/>
      <c r="AB155" s="857"/>
      <c r="AC155" s="857"/>
      <c r="AD155" s="857"/>
      <c r="AE155" s="857"/>
      <c r="AF155" s="857"/>
      <c r="AG155" s="857"/>
      <c r="AH155" s="857"/>
      <c r="AI155" s="857"/>
      <c r="AJ155" s="857"/>
      <c r="AK155" s="857"/>
      <c r="AL155" s="857"/>
      <c r="AM155" s="857"/>
      <c r="AN155" s="857"/>
      <c r="AO155" s="857"/>
      <c r="AP155" s="857"/>
      <c r="AQ155" s="857"/>
      <c r="AR155" s="857"/>
      <c r="AS155" s="857"/>
      <c r="AT155" s="855"/>
      <c r="AU155" s="856"/>
      <c r="AV155" s="857"/>
      <c r="AW155" s="857"/>
      <c r="AX155" s="857"/>
      <c r="AY155" s="857"/>
      <c r="AZ155" s="857"/>
      <c r="BA155" s="857"/>
      <c r="BB155" s="857"/>
      <c r="BC155" s="857"/>
      <c r="BD155" s="857"/>
      <c r="BE155" s="857"/>
      <c r="BF155" s="857"/>
      <c r="BG155" s="857"/>
    </row>
    <row r="156" spans="1:59" ht="14.25" customHeight="1">
      <c r="A156" s="857"/>
      <c r="B156" s="857"/>
      <c r="C156" s="857"/>
      <c r="D156" s="857"/>
      <c r="E156" s="857"/>
      <c r="F156" s="857"/>
      <c r="G156" s="857"/>
      <c r="H156" s="857"/>
      <c r="I156" s="857"/>
      <c r="J156" s="857"/>
      <c r="K156" s="857"/>
      <c r="L156" s="857"/>
      <c r="M156" s="857"/>
      <c r="N156" s="857"/>
      <c r="O156" s="857"/>
      <c r="P156" s="857"/>
      <c r="Q156" s="857"/>
      <c r="R156" s="857"/>
      <c r="S156" s="857"/>
      <c r="T156" s="857"/>
      <c r="U156" s="857"/>
      <c r="V156" s="857"/>
      <c r="W156" s="857"/>
      <c r="X156" s="857"/>
      <c r="Y156" s="857"/>
      <c r="Z156" s="857"/>
      <c r="AA156" s="857"/>
      <c r="AB156" s="857"/>
      <c r="AC156" s="857"/>
      <c r="AD156" s="857"/>
      <c r="AE156" s="857"/>
      <c r="AF156" s="857"/>
      <c r="AG156" s="857"/>
      <c r="AH156" s="857"/>
      <c r="AI156" s="857"/>
      <c r="AJ156" s="857"/>
      <c r="AK156" s="857"/>
      <c r="AL156" s="857"/>
      <c r="AM156" s="857"/>
      <c r="AN156" s="857"/>
      <c r="AO156" s="857"/>
      <c r="AP156" s="857"/>
      <c r="AQ156" s="857"/>
      <c r="AR156" s="857"/>
      <c r="AS156" s="857"/>
      <c r="AT156" s="855"/>
      <c r="AU156" s="856"/>
      <c r="AV156" s="857"/>
      <c r="AW156" s="857"/>
      <c r="AX156" s="857"/>
      <c r="AY156" s="857"/>
      <c r="AZ156" s="857"/>
      <c r="BA156" s="857"/>
      <c r="BB156" s="857"/>
      <c r="BC156" s="857"/>
      <c r="BD156" s="857"/>
      <c r="BE156" s="857"/>
      <c r="BF156" s="857"/>
      <c r="BG156" s="857"/>
    </row>
    <row r="157" spans="1:59" ht="14.25" customHeight="1">
      <c r="A157" s="857"/>
      <c r="B157" s="857"/>
      <c r="C157" s="857"/>
      <c r="D157" s="857"/>
      <c r="E157" s="857"/>
      <c r="F157" s="857"/>
      <c r="G157" s="857"/>
      <c r="H157" s="857"/>
      <c r="I157" s="857"/>
      <c r="J157" s="857"/>
      <c r="K157" s="857"/>
      <c r="L157" s="857"/>
      <c r="M157" s="857"/>
      <c r="N157" s="857"/>
      <c r="O157" s="857"/>
      <c r="P157" s="857"/>
      <c r="Q157" s="857"/>
      <c r="R157" s="857"/>
      <c r="S157" s="857"/>
      <c r="T157" s="857"/>
      <c r="U157" s="857"/>
      <c r="V157" s="857"/>
      <c r="W157" s="857"/>
      <c r="X157" s="857"/>
      <c r="Y157" s="857"/>
      <c r="Z157" s="857"/>
      <c r="AA157" s="857"/>
      <c r="AB157" s="857"/>
      <c r="AC157" s="857"/>
      <c r="AD157" s="857"/>
      <c r="AE157" s="857"/>
      <c r="AF157" s="857"/>
      <c r="AG157" s="857"/>
      <c r="AH157" s="857"/>
      <c r="AI157" s="857"/>
      <c r="AJ157" s="857"/>
      <c r="AK157" s="857"/>
      <c r="AL157" s="857"/>
      <c r="AM157" s="857"/>
      <c r="AN157" s="857"/>
      <c r="AO157" s="857"/>
      <c r="AP157" s="857"/>
      <c r="AQ157" s="857"/>
      <c r="AR157" s="857"/>
      <c r="AS157" s="857"/>
      <c r="AT157" s="855"/>
      <c r="AU157" s="856"/>
      <c r="AV157" s="857"/>
      <c r="AW157" s="857"/>
      <c r="AX157" s="857"/>
      <c r="AY157" s="857"/>
      <c r="AZ157" s="857"/>
      <c r="BA157" s="857"/>
      <c r="BB157" s="857"/>
      <c r="BC157" s="857"/>
      <c r="BD157" s="857"/>
      <c r="BE157" s="857"/>
      <c r="BF157" s="857"/>
      <c r="BG157" s="857"/>
    </row>
    <row r="158" spans="1:59" ht="14.25" customHeight="1">
      <c r="A158" s="857"/>
      <c r="B158" s="857"/>
      <c r="C158" s="857"/>
      <c r="D158" s="857"/>
      <c r="E158" s="857"/>
      <c r="F158" s="857"/>
      <c r="G158" s="857"/>
      <c r="H158" s="857"/>
      <c r="I158" s="857"/>
      <c r="J158" s="857"/>
      <c r="K158" s="857"/>
      <c r="L158" s="857"/>
      <c r="M158" s="857"/>
      <c r="N158" s="857"/>
      <c r="O158" s="857"/>
      <c r="P158" s="857"/>
      <c r="Q158" s="857"/>
      <c r="R158" s="857"/>
      <c r="S158" s="857"/>
      <c r="T158" s="857"/>
      <c r="U158" s="857"/>
      <c r="V158" s="857"/>
      <c r="W158" s="857"/>
      <c r="X158" s="857"/>
      <c r="Y158" s="857"/>
      <c r="Z158" s="857"/>
      <c r="AA158" s="857"/>
      <c r="AB158" s="857"/>
      <c r="AC158" s="857"/>
      <c r="AD158" s="857"/>
      <c r="AE158" s="857"/>
      <c r="AF158" s="857"/>
      <c r="AG158" s="857"/>
      <c r="AH158" s="857"/>
      <c r="AI158" s="857"/>
      <c r="AJ158" s="857"/>
      <c r="AK158" s="857"/>
      <c r="AL158" s="857"/>
      <c r="AM158" s="857"/>
      <c r="AN158" s="857"/>
      <c r="AO158" s="857"/>
      <c r="AP158" s="857"/>
      <c r="AQ158" s="857"/>
      <c r="AR158" s="857"/>
      <c r="AS158" s="857"/>
      <c r="AT158" s="855"/>
      <c r="AU158" s="856"/>
      <c r="AV158" s="857"/>
      <c r="AW158" s="857"/>
      <c r="AX158" s="857"/>
      <c r="AY158" s="857"/>
      <c r="AZ158" s="857"/>
      <c r="BA158" s="857"/>
      <c r="BB158" s="857"/>
      <c r="BC158" s="857"/>
      <c r="BD158" s="857"/>
      <c r="BE158" s="857"/>
      <c r="BF158" s="857"/>
      <c r="BG158" s="857"/>
    </row>
    <row r="159" spans="1:59" ht="14.25" customHeight="1">
      <c r="A159" s="857"/>
      <c r="B159" s="857"/>
      <c r="C159" s="857"/>
      <c r="D159" s="857"/>
      <c r="E159" s="857"/>
      <c r="F159" s="857"/>
      <c r="G159" s="857"/>
      <c r="H159" s="857"/>
      <c r="I159" s="857"/>
      <c r="J159" s="857"/>
      <c r="K159" s="857"/>
      <c r="L159" s="857"/>
      <c r="M159" s="857"/>
      <c r="N159" s="857"/>
      <c r="O159" s="857"/>
      <c r="P159" s="857"/>
      <c r="Q159" s="857"/>
      <c r="R159" s="857"/>
      <c r="S159" s="857"/>
      <c r="T159" s="857"/>
      <c r="U159" s="857"/>
      <c r="V159" s="857"/>
      <c r="W159" s="857"/>
      <c r="X159" s="857"/>
      <c r="Y159" s="857"/>
      <c r="Z159" s="857"/>
      <c r="AA159" s="857"/>
      <c r="AB159" s="857"/>
      <c r="AC159" s="857"/>
      <c r="AD159" s="857"/>
      <c r="AE159" s="857"/>
      <c r="AF159" s="857"/>
      <c r="AG159" s="857"/>
      <c r="AH159" s="857"/>
      <c r="AI159" s="857"/>
      <c r="AJ159" s="857"/>
      <c r="AK159" s="857"/>
      <c r="AL159" s="857"/>
      <c r="AM159" s="857"/>
      <c r="AN159" s="857"/>
      <c r="AO159" s="857"/>
      <c r="AP159" s="857"/>
      <c r="AQ159" s="857"/>
      <c r="AR159" s="857"/>
      <c r="AS159" s="857"/>
      <c r="AT159" s="855"/>
      <c r="AU159" s="856"/>
      <c r="AV159" s="857"/>
      <c r="AW159" s="857"/>
      <c r="AX159" s="857"/>
      <c r="AY159" s="857"/>
      <c r="AZ159" s="857"/>
      <c r="BA159" s="857"/>
      <c r="BB159" s="857"/>
      <c r="BC159" s="857"/>
      <c r="BD159" s="857"/>
      <c r="BE159" s="857"/>
      <c r="BF159" s="857"/>
      <c r="BG159" s="857"/>
    </row>
    <row r="160" spans="1:59" ht="14.25" customHeight="1">
      <c r="A160" s="857"/>
      <c r="B160" s="857"/>
      <c r="C160" s="857"/>
      <c r="D160" s="857"/>
      <c r="E160" s="857"/>
      <c r="F160" s="857"/>
      <c r="G160" s="857"/>
      <c r="H160" s="857"/>
      <c r="I160" s="857"/>
      <c r="J160" s="857"/>
      <c r="K160" s="857"/>
      <c r="L160" s="857"/>
      <c r="M160" s="857"/>
      <c r="N160" s="857"/>
      <c r="O160" s="857"/>
      <c r="P160" s="857"/>
      <c r="Q160" s="857"/>
      <c r="R160" s="857"/>
      <c r="S160" s="857"/>
      <c r="T160" s="857"/>
      <c r="U160" s="857"/>
      <c r="V160" s="857"/>
      <c r="W160" s="857"/>
      <c r="X160" s="857"/>
      <c r="Y160" s="857"/>
      <c r="Z160" s="857"/>
      <c r="AA160" s="857"/>
      <c r="AB160" s="857"/>
      <c r="AC160" s="857"/>
      <c r="AD160" s="857"/>
      <c r="AE160" s="857"/>
      <c r="AF160" s="857"/>
      <c r="AG160" s="857"/>
      <c r="AH160" s="857"/>
      <c r="AI160" s="857"/>
      <c r="AJ160" s="857"/>
      <c r="AK160" s="857"/>
      <c r="AL160" s="857"/>
      <c r="AM160" s="857"/>
      <c r="AN160" s="857"/>
      <c r="AO160" s="857"/>
      <c r="AP160" s="857"/>
      <c r="AQ160" s="857"/>
      <c r="AR160" s="857"/>
      <c r="AS160" s="857"/>
      <c r="AT160" s="855"/>
      <c r="AU160" s="856"/>
      <c r="AV160" s="857"/>
      <c r="AW160" s="857"/>
      <c r="AX160" s="857"/>
      <c r="AY160" s="857"/>
      <c r="AZ160" s="857"/>
      <c r="BA160" s="857"/>
      <c r="BB160" s="857"/>
      <c r="BC160" s="857"/>
      <c r="BD160" s="857"/>
      <c r="BE160" s="857"/>
      <c r="BF160" s="857"/>
      <c r="BG160" s="857"/>
    </row>
    <row r="161" spans="1:59" ht="14.25" customHeight="1">
      <c r="A161" s="857"/>
      <c r="B161" s="857"/>
      <c r="C161" s="857"/>
      <c r="D161" s="857"/>
      <c r="E161" s="857"/>
      <c r="F161" s="857"/>
      <c r="G161" s="857"/>
      <c r="H161" s="857"/>
      <c r="I161" s="857"/>
      <c r="J161" s="857"/>
      <c r="K161" s="857"/>
      <c r="L161" s="857"/>
      <c r="M161" s="857"/>
      <c r="N161" s="857"/>
      <c r="O161" s="857"/>
      <c r="P161" s="857"/>
      <c r="Q161" s="857"/>
      <c r="R161" s="857"/>
      <c r="S161" s="857"/>
      <c r="T161" s="857"/>
      <c r="U161" s="857"/>
      <c r="V161" s="857"/>
      <c r="W161" s="857"/>
      <c r="X161" s="857"/>
      <c r="Y161" s="857"/>
      <c r="Z161" s="857"/>
      <c r="AA161" s="857"/>
      <c r="AB161" s="857"/>
      <c r="AC161" s="857"/>
      <c r="AD161" s="857"/>
      <c r="AE161" s="857"/>
      <c r="AF161" s="857"/>
      <c r="AG161" s="857"/>
      <c r="AH161" s="857"/>
      <c r="AI161" s="857"/>
      <c r="AJ161" s="857"/>
      <c r="AK161" s="857"/>
      <c r="AL161" s="857"/>
      <c r="AM161" s="857"/>
      <c r="AN161" s="857"/>
      <c r="AO161" s="857"/>
      <c r="AP161" s="857"/>
      <c r="AQ161" s="857"/>
      <c r="AR161" s="857"/>
      <c r="AS161" s="857"/>
      <c r="AT161" s="855"/>
      <c r="AU161" s="856"/>
      <c r="AV161" s="857"/>
      <c r="AW161" s="857"/>
      <c r="AX161" s="857"/>
      <c r="AY161" s="857"/>
      <c r="AZ161" s="857"/>
      <c r="BA161" s="857"/>
      <c r="BB161" s="857"/>
      <c r="BC161" s="857"/>
      <c r="BD161" s="857"/>
      <c r="BE161" s="857"/>
      <c r="BF161" s="857"/>
      <c r="BG161" s="857"/>
    </row>
    <row r="162" spans="1:59" ht="14.25" customHeight="1">
      <c r="A162" s="857"/>
      <c r="B162" s="857"/>
      <c r="C162" s="857"/>
      <c r="D162" s="857"/>
      <c r="E162" s="857"/>
      <c r="F162" s="857"/>
      <c r="G162" s="857"/>
      <c r="H162" s="857"/>
      <c r="I162" s="857"/>
      <c r="J162" s="857"/>
      <c r="K162" s="857"/>
      <c r="L162" s="857"/>
      <c r="M162" s="857"/>
      <c r="N162" s="857"/>
      <c r="O162" s="857"/>
      <c r="P162" s="857"/>
      <c r="Q162" s="857"/>
      <c r="R162" s="857"/>
      <c r="S162" s="857"/>
      <c r="T162" s="857"/>
      <c r="U162" s="857"/>
      <c r="V162" s="857"/>
      <c r="W162" s="857"/>
      <c r="X162" s="857"/>
      <c r="Y162" s="857"/>
      <c r="Z162" s="857"/>
      <c r="AA162" s="857"/>
      <c r="AB162" s="857"/>
      <c r="AC162" s="857"/>
      <c r="AD162" s="857"/>
      <c r="AE162" s="857"/>
      <c r="AF162" s="857"/>
      <c r="AG162" s="857"/>
      <c r="AH162" s="857"/>
      <c r="AI162" s="857"/>
      <c r="AJ162" s="857"/>
      <c r="AK162" s="857"/>
      <c r="AL162" s="857"/>
      <c r="AM162" s="857"/>
      <c r="AN162" s="857"/>
      <c r="AO162" s="857"/>
      <c r="AP162" s="857"/>
      <c r="AQ162" s="857"/>
      <c r="AR162" s="857"/>
      <c r="AS162" s="857"/>
      <c r="AT162" s="855"/>
      <c r="AU162" s="856"/>
      <c r="AV162" s="857"/>
      <c r="AW162" s="857"/>
      <c r="AX162" s="857"/>
      <c r="AY162" s="857"/>
      <c r="AZ162" s="857"/>
      <c r="BA162" s="857"/>
      <c r="BB162" s="857"/>
      <c r="BC162" s="857"/>
      <c r="BD162" s="857"/>
      <c r="BE162" s="857"/>
      <c r="BF162" s="857"/>
      <c r="BG162" s="857"/>
    </row>
    <row r="163" spans="1:59" ht="14.25" customHeight="1">
      <c r="A163" s="857"/>
      <c r="B163" s="857"/>
      <c r="C163" s="857"/>
      <c r="D163" s="857"/>
      <c r="E163" s="857"/>
      <c r="F163" s="857"/>
      <c r="G163" s="857"/>
      <c r="H163" s="857"/>
      <c r="I163" s="857"/>
      <c r="J163" s="857"/>
      <c r="K163" s="857"/>
      <c r="L163" s="857"/>
      <c r="M163" s="857"/>
      <c r="N163" s="857"/>
      <c r="O163" s="857"/>
      <c r="P163" s="857"/>
      <c r="Q163" s="857"/>
      <c r="R163" s="857"/>
      <c r="S163" s="857"/>
      <c r="T163" s="857"/>
      <c r="U163" s="857"/>
      <c r="V163" s="857"/>
      <c r="W163" s="857"/>
      <c r="X163" s="857"/>
      <c r="Y163" s="857"/>
      <c r="Z163" s="857"/>
      <c r="AA163" s="857"/>
      <c r="AB163" s="857"/>
      <c r="AC163" s="857"/>
      <c r="AD163" s="857"/>
      <c r="AE163" s="857"/>
      <c r="AF163" s="857"/>
      <c r="AG163" s="857"/>
      <c r="AH163" s="857"/>
      <c r="AI163" s="857"/>
      <c r="AJ163" s="857"/>
      <c r="AK163" s="857"/>
      <c r="AL163" s="857"/>
      <c r="AM163" s="857"/>
      <c r="AN163" s="857"/>
      <c r="AO163" s="857"/>
      <c r="AP163" s="857"/>
      <c r="AQ163" s="857"/>
      <c r="AR163" s="857"/>
      <c r="AS163" s="857"/>
      <c r="AT163" s="855"/>
      <c r="AU163" s="856"/>
      <c r="AV163" s="857"/>
      <c r="AW163" s="857"/>
      <c r="AX163" s="857"/>
      <c r="AY163" s="857"/>
      <c r="AZ163" s="857"/>
      <c r="BA163" s="857"/>
      <c r="BB163" s="857"/>
      <c r="BC163" s="857"/>
      <c r="BD163" s="857"/>
      <c r="BE163" s="857"/>
      <c r="BF163" s="857"/>
      <c r="BG163" s="857"/>
    </row>
    <row r="164" spans="1:59" ht="14.25" customHeight="1">
      <c r="A164" s="857"/>
      <c r="B164" s="857"/>
      <c r="C164" s="857"/>
      <c r="D164" s="857"/>
      <c r="E164" s="857"/>
      <c r="F164" s="857"/>
      <c r="G164" s="857"/>
      <c r="H164" s="857"/>
      <c r="I164" s="857"/>
      <c r="J164" s="857"/>
      <c r="K164" s="857"/>
      <c r="L164" s="857"/>
      <c r="M164" s="857"/>
      <c r="N164" s="857"/>
      <c r="O164" s="857"/>
      <c r="P164" s="857"/>
      <c r="Q164" s="857"/>
      <c r="R164" s="857"/>
      <c r="S164" s="857"/>
      <c r="T164" s="857"/>
      <c r="U164" s="857"/>
      <c r="V164" s="857"/>
      <c r="W164" s="857"/>
      <c r="X164" s="857"/>
      <c r="Y164" s="857"/>
      <c r="Z164" s="857"/>
      <c r="AA164" s="857"/>
      <c r="AB164" s="857"/>
      <c r="AC164" s="857"/>
      <c r="AD164" s="857"/>
      <c r="AE164" s="857"/>
      <c r="AF164" s="857"/>
      <c r="AG164" s="857"/>
      <c r="AH164" s="857"/>
      <c r="AI164" s="857"/>
      <c r="AJ164" s="857"/>
      <c r="AK164" s="857"/>
      <c r="AL164" s="857"/>
      <c r="AM164" s="857"/>
      <c r="AN164" s="857"/>
      <c r="AO164" s="857"/>
      <c r="AP164" s="857"/>
      <c r="AQ164" s="857"/>
      <c r="AR164" s="857"/>
      <c r="AS164" s="857"/>
      <c r="AT164" s="855"/>
      <c r="AU164" s="856"/>
      <c r="AV164" s="857"/>
      <c r="AW164" s="857"/>
      <c r="AX164" s="857"/>
      <c r="AY164" s="857"/>
      <c r="AZ164" s="857"/>
      <c r="BA164" s="857"/>
      <c r="BB164" s="857"/>
      <c r="BC164" s="857"/>
      <c r="BD164" s="857"/>
      <c r="BE164" s="857"/>
      <c r="BF164" s="857"/>
      <c r="BG164" s="857"/>
    </row>
    <row r="165" spans="1:59" ht="14.25" customHeight="1">
      <c r="A165" s="857"/>
      <c r="B165" s="857"/>
      <c r="C165" s="857"/>
      <c r="D165" s="857"/>
      <c r="E165" s="857"/>
      <c r="F165" s="857"/>
      <c r="G165" s="857"/>
      <c r="H165" s="857"/>
      <c r="I165" s="857"/>
      <c r="J165" s="857"/>
      <c r="K165" s="857"/>
      <c r="L165" s="857"/>
      <c r="M165" s="857"/>
      <c r="N165" s="857"/>
      <c r="O165" s="857"/>
      <c r="P165" s="857"/>
      <c r="Q165" s="857"/>
      <c r="R165" s="857"/>
      <c r="S165" s="857"/>
      <c r="T165" s="857"/>
      <c r="U165" s="857"/>
      <c r="V165" s="857"/>
      <c r="W165" s="857"/>
      <c r="X165" s="857"/>
      <c r="Y165" s="857"/>
      <c r="Z165" s="857"/>
      <c r="AA165" s="857"/>
      <c r="AB165" s="857"/>
      <c r="AC165" s="857"/>
      <c r="AD165" s="857"/>
      <c r="AE165" s="857"/>
      <c r="AF165" s="857"/>
      <c r="AG165" s="857"/>
      <c r="AH165" s="857"/>
      <c r="AI165" s="857"/>
      <c r="AJ165" s="857"/>
      <c r="AK165" s="857"/>
      <c r="AL165" s="857"/>
      <c r="AM165" s="857"/>
      <c r="AN165" s="857"/>
      <c r="AO165" s="857"/>
      <c r="AP165" s="857"/>
      <c r="AQ165" s="857"/>
      <c r="AR165" s="857"/>
      <c r="AS165" s="857"/>
      <c r="AT165" s="855"/>
      <c r="AU165" s="856"/>
      <c r="AV165" s="857"/>
      <c r="AW165" s="857"/>
      <c r="AX165" s="857"/>
      <c r="AY165" s="857"/>
      <c r="AZ165" s="857"/>
      <c r="BA165" s="857"/>
      <c r="BB165" s="857"/>
      <c r="BC165" s="857"/>
      <c r="BD165" s="857"/>
      <c r="BE165" s="857"/>
      <c r="BF165" s="857"/>
      <c r="BG165" s="857"/>
    </row>
    <row r="166" spans="1:59" ht="14.25" customHeight="1">
      <c r="A166" s="857"/>
      <c r="B166" s="857"/>
      <c r="C166" s="857"/>
      <c r="D166" s="857"/>
      <c r="E166" s="857"/>
      <c r="F166" s="857"/>
      <c r="G166" s="857"/>
      <c r="H166" s="857"/>
      <c r="I166" s="857"/>
      <c r="J166" s="857"/>
      <c r="K166" s="857"/>
      <c r="L166" s="857"/>
      <c r="M166" s="857"/>
      <c r="N166" s="857"/>
      <c r="O166" s="857"/>
      <c r="P166" s="857"/>
      <c r="Q166" s="857"/>
      <c r="R166" s="857"/>
      <c r="S166" s="857"/>
      <c r="T166" s="857"/>
      <c r="U166" s="857"/>
      <c r="V166" s="857"/>
      <c r="W166" s="857"/>
      <c r="X166" s="857"/>
      <c r="Y166" s="857"/>
      <c r="Z166" s="857"/>
      <c r="AA166" s="857"/>
      <c r="AB166" s="857"/>
      <c r="AC166" s="857"/>
      <c r="AD166" s="857"/>
      <c r="AE166" s="857"/>
      <c r="AF166" s="857"/>
      <c r="AG166" s="857"/>
      <c r="AH166" s="857"/>
      <c r="AI166" s="857"/>
      <c r="AJ166" s="857"/>
      <c r="AK166" s="857"/>
      <c r="AL166" s="857"/>
      <c r="AM166" s="857"/>
      <c r="AN166" s="857"/>
      <c r="AO166" s="857"/>
      <c r="AP166" s="857"/>
      <c r="AQ166" s="857"/>
      <c r="AR166" s="857"/>
      <c r="AS166" s="857"/>
      <c r="AT166" s="855"/>
      <c r="AU166" s="856"/>
      <c r="AV166" s="857"/>
      <c r="AW166" s="857"/>
      <c r="AX166" s="857"/>
      <c r="AY166" s="857"/>
      <c r="AZ166" s="857"/>
      <c r="BA166" s="857"/>
      <c r="BB166" s="857"/>
      <c r="BC166" s="857"/>
      <c r="BD166" s="857"/>
      <c r="BE166" s="857"/>
      <c r="BF166" s="857"/>
      <c r="BG166" s="857"/>
    </row>
    <row r="167" spans="1:59" ht="14.25" customHeight="1">
      <c r="A167" s="857"/>
      <c r="B167" s="857"/>
      <c r="C167" s="857"/>
      <c r="D167" s="857"/>
      <c r="E167" s="857"/>
      <c r="F167" s="857"/>
      <c r="G167" s="857"/>
      <c r="H167" s="857"/>
      <c r="I167" s="857"/>
      <c r="J167" s="857"/>
      <c r="K167" s="857"/>
      <c r="L167" s="857"/>
      <c r="M167" s="857"/>
      <c r="N167" s="857"/>
      <c r="O167" s="857"/>
      <c r="P167" s="857"/>
      <c r="Q167" s="857"/>
      <c r="R167" s="857"/>
      <c r="S167" s="857"/>
      <c r="T167" s="857"/>
      <c r="U167" s="857"/>
      <c r="V167" s="857"/>
      <c r="W167" s="857"/>
      <c r="X167" s="857"/>
      <c r="Y167" s="857"/>
      <c r="Z167" s="857"/>
      <c r="AA167" s="857"/>
      <c r="AB167" s="857"/>
      <c r="AC167" s="857"/>
      <c r="AD167" s="857"/>
      <c r="AE167" s="857"/>
      <c r="AF167" s="857"/>
      <c r="AG167" s="857"/>
      <c r="AH167" s="857"/>
      <c r="AI167" s="857"/>
      <c r="AJ167" s="857"/>
      <c r="AK167" s="857"/>
      <c r="AL167" s="857"/>
      <c r="AM167" s="857"/>
      <c r="AN167" s="857"/>
      <c r="AO167" s="857"/>
      <c r="AP167" s="857"/>
      <c r="AQ167" s="857"/>
      <c r="AR167" s="857"/>
      <c r="AS167" s="857"/>
      <c r="AT167" s="855"/>
      <c r="AU167" s="856"/>
      <c r="AV167" s="857"/>
      <c r="AW167" s="857"/>
      <c r="AX167" s="857"/>
      <c r="AY167" s="857"/>
      <c r="AZ167" s="857"/>
      <c r="BA167" s="857"/>
      <c r="BB167" s="857"/>
      <c r="BC167" s="857"/>
      <c r="BD167" s="857"/>
      <c r="BE167" s="857"/>
      <c r="BF167" s="857"/>
      <c r="BG167" s="857"/>
    </row>
    <row r="168" spans="1:59" ht="14.25" customHeight="1">
      <c r="A168" s="857"/>
      <c r="B168" s="857"/>
      <c r="C168" s="857"/>
      <c r="D168" s="857"/>
      <c r="E168" s="857"/>
      <c r="F168" s="857"/>
      <c r="G168" s="857"/>
      <c r="H168" s="857"/>
      <c r="I168" s="857"/>
      <c r="J168" s="857"/>
      <c r="K168" s="857"/>
      <c r="L168" s="857"/>
      <c r="M168" s="857"/>
      <c r="N168" s="857"/>
      <c r="O168" s="857"/>
      <c r="P168" s="857"/>
      <c r="Q168" s="857"/>
      <c r="R168" s="857"/>
      <c r="S168" s="857"/>
      <c r="T168" s="857"/>
      <c r="U168" s="857"/>
      <c r="V168" s="857"/>
      <c r="W168" s="857"/>
      <c r="X168" s="857"/>
      <c r="Y168" s="857"/>
      <c r="Z168" s="857"/>
      <c r="AA168" s="857"/>
      <c r="AB168" s="857"/>
      <c r="AC168" s="857"/>
      <c r="AD168" s="857"/>
      <c r="AE168" s="857"/>
      <c r="AF168" s="857"/>
      <c r="AG168" s="857"/>
      <c r="AH168" s="857"/>
      <c r="AI168" s="857"/>
      <c r="AJ168" s="857"/>
      <c r="AK168" s="857"/>
      <c r="AL168" s="857"/>
      <c r="AM168" s="857"/>
      <c r="AN168" s="857"/>
      <c r="AO168" s="857"/>
      <c r="AP168" s="857"/>
      <c r="AQ168" s="857"/>
      <c r="AR168" s="857"/>
      <c r="AS168" s="857"/>
      <c r="AT168" s="855"/>
      <c r="AU168" s="856"/>
      <c r="AV168" s="857"/>
      <c r="AW168" s="857"/>
      <c r="AX168" s="857"/>
      <c r="AY168" s="857"/>
      <c r="AZ168" s="857"/>
      <c r="BA168" s="857"/>
      <c r="BB168" s="857"/>
      <c r="BC168" s="857"/>
      <c r="BD168" s="857"/>
      <c r="BE168" s="857"/>
      <c r="BF168" s="857"/>
      <c r="BG168" s="857"/>
    </row>
    <row r="169" spans="1:59" ht="14.25" customHeight="1">
      <c r="A169" s="857"/>
      <c r="B169" s="857"/>
      <c r="C169" s="857"/>
      <c r="D169" s="857"/>
      <c r="E169" s="857"/>
      <c r="F169" s="857"/>
      <c r="G169" s="857"/>
      <c r="H169" s="857"/>
      <c r="I169" s="857"/>
      <c r="J169" s="857"/>
      <c r="K169" s="857"/>
      <c r="L169" s="857"/>
      <c r="M169" s="857"/>
      <c r="N169" s="857"/>
      <c r="O169" s="857"/>
      <c r="P169" s="857"/>
      <c r="Q169" s="857"/>
      <c r="R169" s="857"/>
      <c r="S169" s="857"/>
      <c r="T169" s="857"/>
      <c r="U169" s="857"/>
      <c r="V169" s="857"/>
      <c r="W169" s="857"/>
      <c r="X169" s="857"/>
      <c r="Y169" s="857"/>
      <c r="Z169" s="857"/>
      <c r="AA169" s="857"/>
      <c r="AB169" s="857"/>
      <c r="AC169" s="857"/>
      <c r="AD169" s="857"/>
      <c r="AE169" s="857"/>
      <c r="AF169" s="857"/>
      <c r="AG169" s="857"/>
      <c r="AH169" s="857"/>
      <c r="AI169" s="857"/>
      <c r="AJ169" s="857"/>
      <c r="AK169" s="857"/>
      <c r="AL169" s="857"/>
      <c r="AM169" s="857"/>
      <c r="AN169" s="857"/>
      <c r="AO169" s="857"/>
      <c r="AP169" s="857"/>
      <c r="AQ169" s="857"/>
      <c r="AR169" s="857"/>
      <c r="AS169" s="857"/>
      <c r="AT169" s="855"/>
      <c r="AU169" s="856"/>
      <c r="AV169" s="857"/>
      <c r="AW169" s="857"/>
      <c r="AX169" s="857"/>
      <c r="AY169" s="857"/>
      <c r="AZ169" s="857"/>
      <c r="BA169" s="857"/>
      <c r="BB169" s="857"/>
      <c r="BC169" s="857"/>
      <c r="BD169" s="857"/>
      <c r="BE169" s="857"/>
      <c r="BF169" s="857"/>
      <c r="BG169" s="857"/>
    </row>
    <row r="170" spans="1:59" ht="14.25" customHeight="1">
      <c r="A170" s="857"/>
      <c r="B170" s="857"/>
      <c r="C170" s="857"/>
      <c r="D170" s="857"/>
      <c r="E170" s="857"/>
      <c r="F170" s="857"/>
      <c r="G170" s="857"/>
      <c r="H170" s="857"/>
      <c r="I170" s="857"/>
      <c r="J170" s="857"/>
      <c r="K170" s="857"/>
      <c r="L170" s="857"/>
      <c r="M170" s="857"/>
      <c r="N170" s="857"/>
      <c r="O170" s="857"/>
      <c r="P170" s="857"/>
      <c r="Q170" s="857"/>
      <c r="R170" s="857"/>
      <c r="S170" s="857"/>
      <c r="T170" s="857"/>
      <c r="U170" s="857"/>
      <c r="V170" s="857"/>
      <c r="W170" s="857"/>
      <c r="X170" s="857"/>
      <c r="Y170" s="857"/>
      <c r="Z170" s="857"/>
      <c r="AA170" s="857"/>
      <c r="AB170" s="857"/>
      <c r="AC170" s="857"/>
      <c r="AD170" s="857"/>
      <c r="AE170" s="857"/>
      <c r="AF170" s="857"/>
      <c r="AG170" s="857"/>
      <c r="AH170" s="857"/>
      <c r="AI170" s="857"/>
      <c r="AJ170" s="857"/>
      <c r="AK170" s="857"/>
      <c r="AL170" s="857"/>
      <c r="AM170" s="857"/>
      <c r="AN170" s="857"/>
      <c r="AO170" s="857"/>
      <c r="AP170" s="857"/>
      <c r="AQ170" s="857"/>
      <c r="AR170" s="857"/>
      <c r="AS170" s="857"/>
      <c r="AT170" s="855"/>
      <c r="AU170" s="856"/>
      <c r="AV170" s="857"/>
      <c r="AW170" s="857"/>
      <c r="AX170" s="857"/>
      <c r="AY170" s="857"/>
      <c r="AZ170" s="857"/>
      <c r="BA170" s="857"/>
      <c r="BB170" s="857"/>
      <c r="BC170" s="857"/>
      <c r="BD170" s="857"/>
      <c r="BE170" s="857"/>
      <c r="BF170" s="857"/>
      <c r="BG170" s="857"/>
    </row>
    <row r="171" spans="1:59" ht="14.25" customHeight="1">
      <c r="A171" s="857"/>
      <c r="B171" s="857"/>
      <c r="C171" s="857"/>
      <c r="D171" s="857"/>
      <c r="E171" s="857"/>
      <c r="F171" s="857"/>
      <c r="G171" s="857"/>
      <c r="H171" s="857"/>
      <c r="I171" s="857"/>
      <c r="J171" s="857"/>
      <c r="K171" s="857"/>
      <c r="L171" s="857"/>
      <c r="M171" s="857"/>
      <c r="N171" s="857"/>
      <c r="O171" s="857"/>
      <c r="P171" s="857"/>
      <c r="Q171" s="857"/>
      <c r="R171" s="857"/>
      <c r="S171" s="857"/>
      <c r="T171" s="857"/>
      <c r="U171" s="857"/>
      <c r="V171" s="857"/>
      <c r="W171" s="857"/>
      <c r="X171" s="857"/>
      <c r="Y171" s="857"/>
      <c r="Z171" s="857"/>
      <c r="AA171" s="857"/>
      <c r="AB171" s="857"/>
      <c r="AC171" s="857"/>
      <c r="AD171" s="857"/>
      <c r="AE171" s="857"/>
      <c r="AF171" s="857"/>
      <c r="AG171" s="857"/>
      <c r="AH171" s="857"/>
      <c r="AI171" s="857"/>
      <c r="AJ171" s="857"/>
      <c r="AK171" s="857"/>
      <c r="AL171" s="857"/>
      <c r="AM171" s="857"/>
      <c r="AN171" s="857"/>
      <c r="AO171" s="857"/>
      <c r="AP171" s="857"/>
      <c r="AQ171" s="857"/>
      <c r="AR171" s="857"/>
      <c r="AS171" s="857"/>
      <c r="AT171" s="855"/>
      <c r="AU171" s="856"/>
      <c r="AV171" s="857"/>
      <c r="AW171" s="857"/>
      <c r="AX171" s="857"/>
      <c r="AY171" s="857"/>
      <c r="AZ171" s="857"/>
      <c r="BA171" s="857"/>
      <c r="BB171" s="857"/>
      <c r="BC171" s="857"/>
      <c r="BD171" s="857"/>
      <c r="BE171" s="857"/>
      <c r="BF171" s="857"/>
      <c r="BG171" s="857"/>
    </row>
    <row r="172" spans="1:59" ht="14.25" customHeight="1">
      <c r="A172" s="857"/>
      <c r="B172" s="857"/>
      <c r="C172" s="857"/>
      <c r="D172" s="857"/>
      <c r="E172" s="857"/>
      <c r="F172" s="857"/>
      <c r="G172" s="857"/>
      <c r="H172" s="857"/>
      <c r="I172" s="857"/>
      <c r="J172" s="857"/>
      <c r="K172" s="857"/>
      <c r="L172" s="857"/>
      <c r="M172" s="857"/>
      <c r="N172" s="857"/>
      <c r="O172" s="857"/>
      <c r="P172" s="857"/>
      <c r="Q172" s="857"/>
      <c r="R172" s="857"/>
      <c r="S172" s="857"/>
      <c r="T172" s="857"/>
      <c r="U172" s="857"/>
      <c r="V172" s="857"/>
      <c r="W172" s="857"/>
      <c r="X172" s="857"/>
      <c r="Y172" s="857"/>
      <c r="Z172" s="857"/>
      <c r="AA172" s="857"/>
      <c r="AB172" s="857"/>
      <c r="AC172" s="857"/>
      <c r="AD172" s="857"/>
      <c r="AE172" s="857"/>
      <c r="AF172" s="857"/>
      <c r="AG172" s="857"/>
      <c r="AH172" s="857"/>
      <c r="AI172" s="857"/>
      <c r="AJ172" s="857"/>
      <c r="AK172" s="857"/>
      <c r="AL172" s="857"/>
      <c r="AM172" s="857"/>
      <c r="AN172" s="857"/>
      <c r="AO172" s="857"/>
      <c r="AP172" s="857"/>
      <c r="AQ172" s="857"/>
      <c r="AR172" s="857"/>
      <c r="AS172" s="857"/>
      <c r="AT172" s="855"/>
      <c r="AU172" s="856"/>
      <c r="AV172" s="857"/>
      <c r="AW172" s="857"/>
      <c r="AX172" s="857"/>
      <c r="AY172" s="857"/>
      <c r="AZ172" s="857"/>
      <c r="BA172" s="857"/>
      <c r="BB172" s="857"/>
      <c r="BC172" s="857"/>
      <c r="BD172" s="857"/>
      <c r="BE172" s="857"/>
      <c r="BF172" s="857"/>
      <c r="BG172" s="857"/>
    </row>
    <row r="173" spans="1:59" ht="14.25" customHeight="1">
      <c r="A173" s="857"/>
      <c r="B173" s="857"/>
      <c r="C173" s="857"/>
      <c r="D173" s="857"/>
      <c r="E173" s="857"/>
      <c r="F173" s="857"/>
      <c r="G173" s="857"/>
      <c r="H173" s="857"/>
      <c r="I173" s="857"/>
      <c r="J173" s="857"/>
      <c r="K173" s="857"/>
      <c r="L173" s="857"/>
      <c r="M173" s="857"/>
      <c r="N173" s="857"/>
      <c r="O173" s="857"/>
      <c r="P173" s="857"/>
      <c r="Q173" s="857"/>
      <c r="R173" s="857"/>
      <c r="S173" s="857"/>
      <c r="T173" s="857"/>
      <c r="U173" s="857"/>
      <c r="V173" s="857"/>
      <c r="W173" s="857"/>
      <c r="X173" s="857"/>
      <c r="Y173" s="857"/>
      <c r="Z173" s="857"/>
      <c r="AA173" s="857"/>
      <c r="AB173" s="857"/>
      <c r="AC173" s="857"/>
      <c r="AD173" s="857"/>
      <c r="AE173" s="857"/>
      <c r="AF173" s="857"/>
      <c r="AG173" s="857"/>
      <c r="AH173" s="857"/>
      <c r="AI173" s="857"/>
      <c r="AJ173" s="857"/>
      <c r="AK173" s="857"/>
      <c r="AL173" s="857"/>
      <c r="AM173" s="857"/>
      <c r="AN173" s="857"/>
      <c r="AO173" s="857"/>
      <c r="AP173" s="857"/>
      <c r="AQ173" s="857"/>
      <c r="AR173" s="857"/>
      <c r="AS173" s="857"/>
      <c r="AT173" s="855"/>
      <c r="AU173" s="856"/>
      <c r="AV173" s="857"/>
      <c r="AW173" s="857"/>
      <c r="AX173" s="857"/>
      <c r="AY173" s="857"/>
      <c r="AZ173" s="857"/>
      <c r="BA173" s="857"/>
      <c r="BB173" s="857"/>
      <c r="BC173" s="857"/>
      <c r="BD173" s="857"/>
      <c r="BE173" s="857"/>
      <c r="BF173" s="857"/>
      <c r="BG173" s="857"/>
    </row>
    <row r="174" spans="1:59" ht="14.25" customHeight="1">
      <c r="A174" s="857"/>
      <c r="B174" s="857"/>
      <c r="C174" s="857"/>
      <c r="D174" s="857"/>
      <c r="E174" s="857"/>
      <c r="F174" s="857"/>
      <c r="G174" s="857"/>
      <c r="H174" s="857"/>
      <c r="I174" s="857"/>
      <c r="J174" s="857"/>
      <c r="K174" s="857"/>
      <c r="L174" s="857"/>
      <c r="M174" s="857"/>
      <c r="N174" s="857"/>
      <c r="O174" s="857"/>
      <c r="P174" s="857"/>
      <c r="Q174" s="857"/>
      <c r="R174" s="857"/>
      <c r="S174" s="857"/>
      <c r="T174" s="857"/>
      <c r="U174" s="857"/>
      <c r="V174" s="857"/>
      <c r="W174" s="857"/>
      <c r="X174" s="857"/>
      <c r="Y174" s="857"/>
      <c r="Z174" s="857"/>
      <c r="AA174" s="857"/>
      <c r="AB174" s="857"/>
      <c r="AC174" s="857"/>
      <c r="AD174" s="857"/>
      <c r="AE174" s="857"/>
      <c r="AF174" s="857"/>
      <c r="AG174" s="857"/>
      <c r="AH174" s="857"/>
      <c r="AI174" s="857"/>
      <c r="AJ174" s="857"/>
      <c r="AK174" s="857"/>
      <c r="AL174" s="857"/>
      <c r="AM174" s="857"/>
      <c r="AN174" s="857"/>
      <c r="AO174" s="857"/>
      <c r="AP174" s="857"/>
      <c r="AQ174" s="857"/>
      <c r="AR174" s="857"/>
      <c r="AS174" s="857"/>
      <c r="AT174" s="855"/>
      <c r="AU174" s="856"/>
      <c r="AV174" s="857"/>
      <c r="AW174" s="857"/>
      <c r="AX174" s="857"/>
      <c r="AY174" s="857"/>
      <c r="AZ174" s="857"/>
      <c r="BA174" s="857"/>
      <c r="BB174" s="857"/>
      <c r="BC174" s="857"/>
      <c r="BD174" s="857"/>
      <c r="BE174" s="857"/>
      <c r="BF174" s="857"/>
      <c r="BG174" s="857"/>
    </row>
    <row r="175" spans="1:59" ht="14.25" customHeight="1">
      <c r="A175" s="857"/>
      <c r="B175" s="857"/>
      <c r="C175" s="857"/>
      <c r="D175" s="857"/>
      <c r="E175" s="857"/>
      <c r="F175" s="857"/>
      <c r="G175" s="857"/>
      <c r="H175" s="857"/>
      <c r="I175" s="857"/>
      <c r="J175" s="857"/>
      <c r="K175" s="857"/>
      <c r="L175" s="857"/>
      <c r="M175" s="857"/>
      <c r="N175" s="857"/>
      <c r="O175" s="857"/>
      <c r="P175" s="857"/>
      <c r="Q175" s="857"/>
      <c r="R175" s="857"/>
      <c r="S175" s="857"/>
      <c r="T175" s="857"/>
      <c r="U175" s="857"/>
      <c r="V175" s="857"/>
      <c r="W175" s="857"/>
      <c r="X175" s="857"/>
      <c r="Y175" s="857"/>
      <c r="Z175" s="857"/>
      <c r="AA175" s="857"/>
      <c r="AB175" s="857"/>
      <c r="AC175" s="857"/>
      <c r="AD175" s="857"/>
      <c r="AE175" s="857"/>
      <c r="AF175" s="857"/>
      <c r="AG175" s="857"/>
      <c r="AH175" s="857"/>
      <c r="AI175" s="857"/>
      <c r="AJ175" s="857"/>
      <c r="AK175" s="857"/>
      <c r="AL175" s="857"/>
      <c r="AM175" s="857"/>
      <c r="AN175" s="857"/>
      <c r="AO175" s="857"/>
      <c r="AP175" s="857"/>
      <c r="AQ175" s="857"/>
      <c r="AR175" s="857"/>
      <c r="AS175" s="857"/>
      <c r="AT175" s="855"/>
      <c r="AU175" s="856"/>
      <c r="AV175" s="857"/>
      <c r="AW175" s="857"/>
      <c r="AX175" s="857"/>
      <c r="AY175" s="857"/>
      <c r="AZ175" s="857"/>
      <c r="BA175" s="857"/>
      <c r="BB175" s="857"/>
      <c r="BC175" s="857"/>
      <c r="BD175" s="857"/>
      <c r="BE175" s="857"/>
      <c r="BF175" s="857"/>
      <c r="BG175" s="857"/>
    </row>
    <row r="176" spans="1:59" ht="14.25" customHeight="1">
      <c r="A176" s="857"/>
      <c r="B176" s="857"/>
      <c r="C176" s="857"/>
      <c r="D176" s="857"/>
      <c r="E176" s="857"/>
      <c r="F176" s="857"/>
      <c r="G176" s="857"/>
      <c r="H176" s="857"/>
      <c r="I176" s="857"/>
      <c r="J176" s="857"/>
      <c r="K176" s="857"/>
      <c r="L176" s="857"/>
      <c r="M176" s="857"/>
      <c r="N176" s="857"/>
      <c r="O176" s="857"/>
      <c r="P176" s="857"/>
      <c r="Q176" s="857"/>
      <c r="R176" s="857"/>
      <c r="S176" s="857"/>
      <c r="T176" s="857"/>
      <c r="U176" s="857"/>
      <c r="V176" s="857"/>
      <c r="W176" s="857"/>
      <c r="X176" s="857"/>
      <c r="Y176" s="857"/>
      <c r="Z176" s="857"/>
      <c r="AA176" s="857"/>
      <c r="AB176" s="857"/>
      <c r="AC176" s="857"/>
      <c r="AD176" s="857"/>
      <c r="AE176" s="857"/>
      <c r="AF176" s="857"/>
      <c r="AG176" s="857"/>
      <c r="AH176" s="857"/>
      <c r="AI176" s="857"/>
      <c r="AJ176" s="857"/>
      <c r="AK176" s="857"/>
      <c r="AL176" s="857"/>
      <c r="AM176" s="857"/>
      <c r="AN176" s="857"/>
      <c r="AO176" s="857"/>
      <c r="AP176" s="857"/>
      <c r="AQ176" s="857"/>
      <c r="AR176" s="857"/>
      <c r="AS176" s="857"/>
      <c r="AT176" s="855"/>
      <c r="AU176" s="856"/>
      <c r="AV176" s="857"/>
      <c r="AW176" s="857"/>
      <c r="AX176" s="857"/>
      <c r="AY176" s="857"/>
      <c r="AZ176" s="857"/>
      <c r="BA176" s="857"/>
      <c r="BB176" s="857"/>
      <c r="BC176" s="857"/>
      <c r="BD176" s="857"/>
      <c r="BE176" s="857"/>
      <c r="BF176" s="857"/>
      <c r="BG176" s="857"/>
    </row>
    <row r="177" spans="1:59" ht="14.25" customHeight="1">
      <c r="A177" s="857"/>
      <c r="B177" s="857"/>
      <c r="C177" s="857"/>
      <c r="D177" s="857"/>
      <c r="E177" s="857"/>
      <c r="F177" s="857"/>
      <c r="G177" s="857"/>
      <c r="H177" s="857"/>
      <c r="I177" s="857"/>
      <c r="J177" s="857"/>
      <c r="K177" s="857"/>
      <c r="L177" s="857"/>
      <c r="M177" s="857"/>
      <c r="N177" s="857"/>
      <c r="O177" s="857"/>
      <c r="P177" s="857"/>
      <c r="Q177" s="857"/>
      <c r="R177" s="857"/>
      <c r="S177" s="857"/>
      <c r="T177" s="857"/>
      <c r="U177" s="857"/>
      <c r="V177" s="857"/>
      <c r="W177" s="857"/>
      <c r="X177" s="857"/>
      <c r="Y177" s="857"/>
      <c r="Z177" s="857"/>
      <c r="AA177" s="857"/>
      <c r="AB177" s="857"/>
      <c r="AC177" s="857"/>
      <c r="AD177" s="857"/>
      <c r="AE177" s="857"/>
      <c r="AF177" s="857"/>
      <c r="AG177" s="857"/>
      <c r="AH177" s="857"/>
      <c r="AI177" s="857"/>
      <c r="AJ177" s="857"/>
      <c r="AK177" s="857"/>
      <c r="AL177" s="857"/>
      <c r="AM177" s="857"/>
      <c r="AN177" s="857"/>
      <c r="AO177" s="857"/>
      <c r="AP177" s="857"/>
      <c r="AQ177" s="857"/>
      <c r="AR177" s="857"/>
      <c r="AS177" s="857"/>
      <c r="AT177" s="855"/>
      <c r="AU177" s="856"/>
      <c r="AV177" s="857"/>
      <c r="AW177" s="857"/>
      <c r="AX177" s="857"/>
      <c r="AY177" s="857"/>
      <c r="AZ177" s="857"/>
      <c r="BA177" s="857"/>
      <c r="BB177" s="857"/>
      <c r="BC177" s="857"/>
      <c r="BD177" s="857"/>
      <c r="BE177" s="857"/>
      <c r="BF177" s="857"/>
      <c r="BG177" s="857"/>
    </row>
    <row r="178" spans="1:59" ht="14.25" customHeight="1">
      <c r="A178" s="857"/>
      <c r="B178" s="857"/>
      <c r="C178" s="857"/>
      <c r="D178" s="857"/>
      <c r="E178" s="857"/>
      <c r="F178" s="857"/>
      <c r="G178" s="857"/>
      <c r="H178" s="857"/>
      <c r="I178" s="857"/>
      <c r="J178" s="857"/>
      <c r="K178" s="857"/>
      <c r="L178" s="857"/>
      <c r="M178" s="857"/>
      <c r="N178" s="857"/>
      <c r="O178" s="857"/>
      <c r="P178" s="857"/>
      <c r="Q178" s="857"/>
      <c r="R178" s="857"/>
      <c r="S178" s="857"/>
      <c r="T178" s="857"/>
      <c r="U178" s="857"/>
      <c r="V178" s="857"/>
      <c r="W178" s="857"/>
      <c r="X178" s="857"/>
      <c r="Y178" s="857"/>
      <c r="Z178" s="857"/>
      <c r="AA178" s="857"/>
      <c r="AB178" s="857"/>
      <c r="AC178" s="857"/>
      <c r="AD178" s="857"/>
      <c r="AE178" s="857"/>
      <c r="AF178" s="857"/>
      <c r="AG178" s="857"/>
      <c r="AH178" s="857"/>
      <c r="AI178" s="857"/>
      <c r="AJ178" s="857"/>
      <c r="AK178" s="857"/>
      <c r="AL178" s="857"/>
      <c r="AM178" s="857"/>
      <c r="AN178" s="857"/>
      <c r="AO178" s="857"/>
      <c r="AP178" s="857"/>
      <c r="AQ178" s="857"/>
      <c r="AR178" s="857"/>
      <c r="AS178" s="857"/>
      <c r="AT178" s="855"/>
      <c r="AU178" s="856"/>
      <c r="AV178" s="857"/>
      <c r="AW178" s="857"/>
      <c r="AX178" s="857"/>
      <c r="AY178" s="857"/>
      <c r="AZ178" s="857"/>
      <c r="BA178" s="857"/>
      <c r="BB178" s="857"/>
      <c r="BC178" s="857"/>
      <c r="BD178" s="857"/>
      <c r="BE178" s="857"/>
      <c r="BF178" s="857"/>
      <c r="BG178" s="857"/>
    </row>
    <row r="179" spans="1:59" ht="14.25" customHeight="1">
      <c r="A179" s="857"/>
      <c r="B179" s="857"/>
      <c r="C179" s="857"/>
      <c r="D179" s="857"/>
      <c r="E179" s="857"/>
      <c r="F179" s="857"/>
      <c r="G179" s="857"/>
      <c r="H179" s="857"/>
      <c r="I179" s="857"/>
      <c r="J179" s="857"/>
      <c r="K179" s="857"/>
      <c r="L179" s="857"/>
      <c r="M179" s="857"/>
      <c r="N179" s="857"/>
      <c r="O179" s="857"/>
      <c r="P179" s="857"/>
      <c r="Q179" s="857"/>
      <c r="R179" s="857"/>
      <c r="S179" s="857"/>
      <c r="T179" s="857"/>
      <c r="U179" s="857"/>
      <c r="V179" s="857"/>
      <c r="W179" s="857"/>
      <c r="X179" s="857"/>
      <c r="Y179" s="857"/>
      <c r="Z179" s="857"/>
      <c r="AA179" s="857"/>
      <c r="AB179" s="857"/>
      <c r="AC179" s="857"/>
      <c r="AD179" s="857"/>
      <c r="AE179" s="857"/>
      <c r="AF179" s="857"/>
      <c r="AG179" s="857"/>
      <c r="AH179" s="857"/>
      <c r="AI179" s="857"/>
      <c r="AJ179" s="857"/>
      <c r="AK179" s="857"/>
      <c r="AL179" s="857"/>
      <c r="AM179" s="857"/>
      <c r="AN179" s="857"/>
      <c r="AO179" s="857"/>
      <c r="AP179" s="857"/>
      <c r="AQ179" s="857"/>
      <c r="AR179" s="857"/>
      <c r="AS179" s="857"/>
      <c r="AT179" s="855"/>
      <c r="AU179" s="856"/>
      <c r="AV179" s="857"/>
      <c r="AW179" s="857"/>
      <c r="AX179" s="857"/>
      <c r="AY179" s="857"/>
      <c r="AZ179" s="857"/>
      <c r="BA179" s="857"/>
      <c r="BB179" s="857"/>
      <c r="BC179" s="857"/>
      <c r="BD179" s="857"/>
      <c r="BE179" s="857"/>
      <c r="BF179" s="857"/>
      <c r="BG179" s="857"/>
    </row>
    <row r="180" spans="1:59" ht="14.25" customHeight="1">
      <c r="A180" s="857"/>
      <c r="B180" s="857"/>
      <c r="C180" s="857"/>
      <c r="D180" s="857"/>
      <c r="E180" s="857"/>
      <c r="F180" s="857"/>
      <c r="G180" s="857"/>
      <c r="H180" s="857"/>
      <c r="I180" s="857"/>
      <c r="J180" s="857"/>
      <c r="K180" s="857"/>
      <c r="L180" s="857"/>
      <c r="M180" s="857"/>
      <c r="N180" s="857"/>
      <c r="O180" s="857"/>
      <c r="P180" s="857"/>
      <c r="Q180" s="857"/>
      <c r="R180" s="857"/>
      <c r="S180" s="857"/>
      <c r="T180" s="857"/>
      <c r="U180" s="857"/>
      <c r="V180" s="857"/>
      <c r="W180" s="857"/>
      <c r="X180" s="857"/>
      <c r="Y180" s="857"/>
      <c r="Z180" s="857"/>
      <c r="AA180" s="857"/>
      <c r="AB180" s="857"/>
      <c r="AC180" s="857"/>
      <c r="AD180" s="857"/>
      <c r="AE180" s="857"/>
      <c r="AF180" s="857"/>
      <c r="AG180" s="857"/>
      <c r="AH180" s="857"/>
      <c r="AI180" s="857"/>
      <c r="AJ180" s="857"/>
      <c r="AK180" s="857"/>
      <c r="AL180" s="857"/>
      <c r="AM180" s="857"/>
      <c r="AN180" s="857"/>
      <c r="AO180" s="857"/>
      <c r="AP180" s="857"/>
      <c r="AQ180" s="857"/>
      <c r="AR180" s="857"/>
      <c r="AS180" s="857"/>
      <c r="AT180" s="855"/>
      <c r="AU180" s="856"/>
      <c r="AV180" s="857"/>
      <c r="AW180" s="857"/>
      <c r="AX180" s="857"/>
      <c r="AY180" s="857"/>
      <c r="AZ180" s="857"/>
      <c r="BA180" s="857"/>
      <c r="BB180" s="857"/>
      <c r="BC180" s="857"/>
      <c r="BD180" s="857"/>
      <c r="BE180" s="857"/>
      <c r="BF180" s="857"/>
      <c r="BG180" s="857"/>
    </row>
    <row r="181" spans="1:59" ht="14.25" customHeight="1">
      <c r="A181" s="857"/>
      <c r="B181" s="857"/>
      <c r="C181" s="857"/>
      <c r="D181" s="857"/>
      <c r="E181" s="857"/>
      <c r="F181" s="857"/>
      <c r="G181" s="857"/>
      <c r="H181" s="857"/>
      <c r="I181" s="857"/>
      <c r="J181" s="857"/>
      <c r="K181" s="857"/>
      <c r="L181" s="857"/>
      <c r="M181" s="857"/>
      <c r="N181" s="857"/>
      <c r="O181" s="857"/>
      <c r="P181" s="857"/>
      <c r="Q181" s="857"/>
      <c r="R181" s="857"/>
      <c r="S181" s="857"/>
      <c r="T181" s="857"/>
      <c r="U181" s="857"/>
      <c r="V181" s="857"/>
      <c r="W181" s="857"/>
      <c r="X181" s="857"/>
      <c r="Y181" s="857"/>
      <c r="Z181" s="857"/>
      <c r="AA181" s="857"/>
      <c r="AB181" s="857"/>
      <c r="AC181" s="857"/>
      <c r="AD181" s="857"/>
      <c r="AE181" s="857"/>
      <c r="AF181" s="857"/>
      <c r="AG181" s="857"/>
      <c r="AH181" s="857"/>
      <c r="AI181" s="857"/>
      <c r="AJ181" s="857"/>
      <c r="AK181" s="857"/>
      <c r="AL181" s="857"/>
      <c r="AM181" s="857"/>
      <c r="AN181" s="857"/>
      <c r="AO181" s="857"/>
      <c r="AP181" s="857"/>
      <c r="AQ181" s="857"/>
      <c r="AR181" s="857"/>
      <c r="AS181" s="857"/>
      <c r="AT181" s="855"/>
      <c r="AU181" s="856"/>
      <c r="AV181" s="857"/>
      <c r="AW181" s="857"/>
      <c r="AX181" s="857"/>
      <c r="AY181" s="857"/>
      <c r="AZ181" s="857"/>
      <c r="BA181" s="857"/>
      <c r="BB181" s="857"/>
      <c r="BC181" s="857"/>
      <c r="BD181" s="857"/>
      <c r="BE181" s="857"/>
      <c r="BF181" s="857"/>
      <c r="BG181" s="857"/>
    </row>
    <row r="182" spans="1:59" ht="14.25" customHeight="1">
      <c r="A182" s="857"/>
      <c r="B182" s="857"/>
      <c r="C182" s="857"/>
      <c r="D182" s="857"/>
      <c r="E182" s="857"/>
      <c r="F182" s="857"/>
      <c r="G182" s="857"/>
      <c r="H182" s="857"/>
      <c r="I182" s="857"/>
      <c r="J182" s="857"/>
      <c r="K182" s="857"/>
      <c r="L182" s="857"/>
      <c r="M182" s="857"/>
      <c r="N182" s="857"/>
      <c r="O182" s="857"/>
      <c r="P182" s="857"/>
      <c r="Q182" s="857"/>
      <c r="R182" s="857"/>
      <c r="S182" s="857"/>
      <c r="T182" s="857"/>
      <c r="U182" s="857"/>
      <c r="V182" s="857"/>
      <c r="W182" s="857"/>
      <c r="X182" s="857"/>
      <c r="Y182" s="857"/>
      <c r="Z182" s="857"/>
      <c r="AA182" s="857"/>
      <c r="AB182" s="857"/>
      <c r="AC182" s="857"/>
      <c r="AD182" s="857"/>
      <c r="AE182" s="857"/>
      <c r="AF182" s="857"/>
      <c r="AG182" s="857"/>
      <c r="AH182" s="857"/>
      <c r="AI182" s="857"/>
      <c r="AJ182" s="857"/>
      <c r="AK182" s="857"/>
      <c r="AL182" s="857"/>
      <c r="AM182" s="857"/>
      <c r="AN182" s="857"/>
      <c r="AO182" s="857"/>
      <c r="AP182" s="857"/>
      <c r="AQ182" s="857"/>
      <c r="AR182" s="857"/>
      <c r="AS182" s="857"/>
      <c r="AT182" s="855"/>
      <c r="AU182" s="856"/>
      <c r="AV182" s="857"/>
      <c r="AW182" s="857"/>
      <c r="AX182" s="857"/>
      <c r="AY182" s="857"/>
      <c r="AZ182" s="857"/>
      <c r="BA182" s="857"/>
      <c r="BB182" s="857"/>
      <c r="BC182" s="857"/>
      <c r="BD182" s="857"/>
      <c r="BE182" s="857"/>
      <c r="BF182" s="857"/>
      <c r="BG182" s="857"/>
    </row>
    <row r="183" spans="1:59" ht="14.25" customHeight="1">
      <c r="A183" s="857"/>
      <c r="B183" s="857"/>
      <c r="C183" s="857"/>
      <c r="D183" s="857"/>
      <c r="E183" s="857"/>
      <c r="F183" s="857"/>
      <c r="G183" s="857"/>
      <c r="H183" s="857"/>
      <c r="I183" s="857"/>
      <c r="J183" s="857"/>
      <c r="K183" s="857"/>
      <c r="L183" s="857"/>
      <c r="M183" s="857"/>
      <c r="N183" s="857"/>
      <c r="O183" s="857"/>
      <c r="P183" s="857"/>
      <c r="Q183" s="857"/>
      <c r="R183" s="857"/>
      <c r="S183" s="857"/>
      <c r="T183" s="857"/>
      <c r="U183" s="857"/>
      <c r="V183" s="857"/>
      <c r="W183" s="857"/>
      <c r="X183" s="857"/>
      <c r="Y183" s="857"/>
      <c r="Z183" s="857"/>
      <c r="AA183" s="857"/>
      <c r="AB183" s="857"/>
      <c r="AC183" s="857"/>
      <c r="AD183" s="857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57"/>
      <c r="AT183" s="855"/>
      <c r="AU183" s="856"/>
      <c r="AV183" s="857"/>
      <c r="AW183" s="857"/>
      <c r="AX183" s="857"/>
      <c r="AY183" s="857"/>
      <c r="AZ183" s="857"/>
      <c r="BA183" s="857"/>
      <c r="BB183" s="857"/>
      <c r="BC183" s="857"/>
      <c r="BD183" s="857"/>
      <c r="BE183" s="857"/>
      <c r="BF183" s="857"/>
      <c r="BG183" s="857"/>
    </row>
    <row r="184" spans="1:59" ht="14.25" customHeight="1">
      <c r="A184" s="857"/>
      <c r="B184" s="857"/>
      <c r="C184" s="857"/>
      <c r="D184" s="857"/>
      <c r="E184" s="857"/>
      <c r="F184" s="857"/>
      <c r="G184" s="857"/>
      <c r="H184" s="857"/>
      <c r="I184" s="857"/>
      <c r="J184" s="857"/>
      <c r="K184" s="857"/>
      <c r="L184" s="857"/>
      <c r="M184" s="857"/>
      <c r="N184" s="857"/>
      <c r="O184" s="857"/>
      <c r="P184" s="857"/>
      <c r="Q184" s="857"/>
      <c r="R184" s="857"/>
      <c r="S184" s="857"/>
      <c r="T184" s="857"/>
      <c r="U184" s="857"/>
      <c r="V184" s="857"/>
      <c r="W184" s="857"/>
      <c r="X184" s="857"/>
      <c r="Y184" s="857"/>
      <c r="Z184" s="857"/>
      <c r="AA184" s="857"/>
      <c r="AB184" s="857"/>
      <c r="AC184" s="857"/>
      <c r="AD184" s="857"/>
      <c r="AE184" s="857"/>
      <c r="AF184" s="857"/>
      <c r="AG184" s="857"/>
      <c r="AH184" s="857"/>
      <c r="AI184" s="857"/>
      <c r="AJ184" s="857"/>
      <c r="AK184" s="857"/>
      <c r="AL184" s="857"/>
      <c r="AM184" s="857"/>
      <c r="AN184" s="857"/>
      <c r="AO184" s="857"/>
      <c r="AP184" s="857"/>
      <c r="AQ184" s="857"/>
      <c r="AR184" s="857"/>
      <c r="AS184" s="857"/>
      <c r="AT184" s="855"/>
      <c r="AU184" s="856"/>
      <c r="AV184" s="857"/>
      <c r="AW184" s="857"/>
      <c r="AX184" s="857"/>
      <c r="AY184" s="857"/>
      <c r="AZ184" s="857"/>
      <c r="BA184" s="857"/>
      <c r="BB184" s="857"/>
      <c r="BC184" s="857"/>
      <c r="BD184" s="857"/>
      <c r="BE184" s="857"/>
      <c r="BF184" s="857"/>
      <c r="BG184" s="857"/>
    </row>
    <row r="185" spans="1:59" ht="14.25" customHeight="1">
      <c r="A185" s="857"/>
      <c r="B185" s="857"/>
      <c r="C185" s="857"/>
      <c r="D185" s="857"/>
      <c r="E185" s="857"/>
      <c r="F185" s="857"/>
      <c r="G185" s="857"/>
      <c r="H185" s="857"/>
      <c r="I185" s="857"/>
      <c r="J185" s="857"/>
      <c r="K185" s="857"/>
      <c r="L185" s="857"/>
      <c r="M185" s="857"/>
      <c r="N185" s="857"/>
      <c r="O185" s="857"/>
      <c r="P185" s="857"/>
      <c r="Q185" s="857"/>
      <c r="R185" s="857"/>
      <c r="S185" s="857"/>
      <c r="T185" s="857"/>
      <c r="U185" s="857"/>
      <c r="V185" s="857"/>
      <c r="W185" s="857"/>
      <c r="X185" s="857"/>
      <c r="Y185" s="857"/>
      <c r="Z185" s="857"/>
      <c r="AA185" s="857"/>
      <c r="AB185" s="857"/>
      <c r="AC185" s="857"/>
      <c r="AD185" s="857"/>
      <c r="AE185" s="857"/>
      <c r="AF185" s="857"/>
      <c r="AG185" s="857"/>
      <c r="AH185" s="857"/>
      <c r="AI185" s="857"/>
      <c r="AJ185" s="857"/>
      <c r="AK185" s="857"/>
      <c r="AL185" s="857"/>
      <c r="AM185" s="857"/>
      <c r="AN185" s="857"/>
      <c r="AO185" s="857"/>
      <c r="AP185" s="857"/>
      <c r="AQ185" s="857"/>
      <c r="AR185" s="857"/>
      <c r="AS185" s="857"/>
      <c r="AT185" s="855"/>
      <c r="AU185" s="856"/>
      <c r="AV185" s="857"/>
      <c r="AW185" s="857"/>
      <c r="AX185" s="857"/>
      <c r="AY185" s="857"/>
      <c r="AZ185" s="857"/>
      <c r="BA185" s="857"/>
      <c r="BB185" s="857"/>
      <c r="BC185" s="857"/>
      <c r="BD185" s="857"/>
      <c r="BE185" s="857"/>
      <c r="BF185" s="857"/>
      <c r="BG185" s="857"/>
    </row>
    <row r="186" spans="1:59" ht="14.25" customHeight="1">
      <c r="A186" s="857"/>
      <c r="B186" s="857"/>
      <c r="C186" s="857"/>
      <c r="D186" s="857"/>
      <c r="E186" s="857"/>
      <c r="F186" s="857"/>
      <c r="G186" s="857"/>
      <c r="H186" s="857"/>
      <c r="I186" s="857"/>
      <c r="J186" s="857"/>
      <c r="K186" s="857"/>
      <c r="L186" s="857"/>
      <c r="M186" s="857"/>
      <c r="N186" s="857"/>
      <c r="O186" s="857"/>
      <c r="P186" s="857"/>
      <c r="Q186" s="857"/>
      <c r="R186" s="857"/>
      <c r="S186" s="857"/>
      <c r="T186" s="857"/>
      <c r="U186" s="857"/>
      <c r="V186" s="857"/>
      <c r="W186" s="857"/>
      <c r="X186" s="857"/>
      <c r="Y186" s="857"/>
      <c r="Z186" s="857"/>
      <c r="AA186" s="857"/>
      <c r="AB186" s="857"/>
      <c r="AC186" s="857"/>
      <c r="AD186" s="857"/>
      <c r="AE186" s="857"/>
      <c r="AF186" s="857"/>
      <c r="AG186" s="857"/>
      <c r="AH186" s="857"/>
      <c r="AI186" s="857"/>
      <c r="AJ186" s="857"/>
      <c r="AK186" s="857"/>
      <c r="AL186" s="857"/>
      <c r="AM186" s="857"/>
      <c r="AN186" s="857"/>
      <c r="AO186" s="857"/>
      <c r="AP186" s="857"/>
      <c r="AQ186" s="857"/>
      <c r="AR186" s="857"/>
      <c r="AS186" s="857"/>
      <c r="AT186" s="855"/>
      <c r="AU186" s="856"/>
      <c r="AV186" s="857"/>
      <c r="AW186" s="857"/>
      <c r="AX186" s="857"/>
      <c r="AY186" s="857"/>
      <c r="AZ186" s="857"/>
      <c r="BA186" s="857"/>
      <c r="BB186" s="857"/>
      <c r="BC186" s="857"/>
      <c r="BD186" s="857"/>
      <c r="BE186" s="857"/>
      <c r="BF186" s="857"/>
      <c r="BG186" s="857"/>
    </row>
    <row r="187" spans="1:59" ht="14.25" customHeight="1">
      <c r="A187" s="857"/>
      <c r="B187" s="857"/>
      <c r="C187" s="857"/>
      <c r="D187" s="857"/>
      <c r="E187" s="857"/>
      <c r="F187" s="857"/>
      <c r="G187" s="857"/>
      <c r="H187" s="857"/>
      <c r="I187" s="857"/>
      <c r="J187" s="857"/>
      <c r="K187" s="857"/>
      <c r="L187" s="857"/>
      <c r="M187" s="857"/>
      <c r="N187" s="857"/>
      <c r="O187" s="857"/>
      <c r="P187" s="857"/>
      <c r="Q187" s="857"/>
      <c r="R187" s="857"/>
      <c r="S187" s="857"/>
      <c r="T187" s="857"/>
      <c r="U187" s="857"/>
      <c r="V187" s="857"/>
      <c r="W187" s="857"/>
      <c r="X187" s="857"/>
      <c r="Y187" s="857"/>
      <c r="Z187" s="857"/>
      <c r="AA187" s="857"/>
      <c r="AB187" s="857"/>
      <c r="AC187" s="857"/>
      <c r="AD187" s="857"/>
      <c r="AE187" s="857"/>
      <c r="AF187" s="857"/>
      <c r="AG187" s="857"/>
      <c r="AH187" s="857"/>
      <c r="AI187" s="857"/>
      <c r="AJ187" s="857"/>
      <c r="AK187" s="857"/>
      <c r="AL187" s="857"/>
      <c r="AM187" s="857"/>
      <c r="AN187" s="857"/>
      <c r="AO187" s="857"/>
      <c r="AP187" s="857"/>
      <c r="AQ187" s="857"/>
      <c r="AR187" s="857"/>
      <c r="AS187" s="857"/>
      <c r="AT187" s="855"/>
      <c r="AU187" s="856"/>
      <c r="AV187" s="857"/>
      <c r="AW187" s="857"/>
      <c r="AX187" s="857"/>
      <c r="AY187" s="857"/>
      <c r="AZ187" s="857"/>
      <c r="BA187" s="857"/>
      <c r="BB187" s="857"/>
      <c r="BC187" s="857"/>
      <c r="BD187" s="857"/>
      <c r="BE187" s="857"/>
      <c r="BF187" s="857"/>
      <c r="BG187" s="857"/>
    </row>
    <row r="188" spans="1:59" ht="14.25" customHeight="1">
      <c r="A188" s="857"/>
      <c r="B188" s="857"/>
      <c r="C188" s="857"/>
      <c r="D188" s="857"/>
      <c r="E188" s="857"/>
      <c r="F188" s="857"/>
      <c r="G188" s="857"/>
      <c r="H188" s="857"/>
      <c r="I188" s="857"/>
      <c r="J188" s="857"/>
      <c r="K188" s="857"/>
      <c r="L188" s="857"/>
      <c r="M188" s="857"/>
      <c r="N188" s="857"/>
      <c r="O188" s="857"/>
      <c r="P188" s="857"/>
      <c r="Q188" s="857"/>
      <c r="R188" s="857"/>
      <c r="S188" s="857"/>
      <c r="T188" s="857"/>
      <c r="U188" s="857"/>
      <c r="V188" s="857"/>
      <c r="W188" s="857"/>
      <c r="X188" s="857"/>
      <c r="Y188" s="857"/>
      <c r="Z188" s="857"/>
      <c r="AA188" s="857"/>
      <c r="AB188" s="857"/>
      <c r="AC188" s="857"/>
      <c r="AD188" s="857"/>
      <c r="AE188" s="857"/>
      <c r="AF188" s="857"/>
      <c r="AG188" s="857"/>
      <c r="AH188" s="857"/>
      <c r="AI188" s="857"/>
      <c r="AJ188" s="857"/>
      <c r="AK188" s="857"/>
      <c r="AL188" s="857"/>
      <c r="AM188" s="857"/>
      <c r="AN188" s="857"/>
      <c r="AO188" s="857"/>
      <c r="AP188" s="857"/>
      <c r="AQ188" s="857"/>
      <c r="AR188" s="857"/>
      <c r="AS188" s="857"/>
      <c r="AT188" s="855"/>
      <c r="AU188" s="856"/>
      <c r="AV188" s="857"/>
      <c r="AW188" s="857"/>
      <c r="AX188" s="857"/>
      <c r="AY188" s="857"/>
      <c r="AZ188" s="857"/>
      <c r="BA188" s="857"/>
      <c r="BB188" s="857"/>
      <c r="BC188" s="857"/>
      <c r="BD188" s="857"/>
      <c r="BE188" s="857"/>
      <c r="BF188" s="857"/>
      <c r="BG188" s="857"/>
    </row>
    <row r="189" spans="1:59" ht="14.25" customHeight="1">
      <c r="A189" s="857"/>
      <c r="B189" s="857"/>
      <c r="C189" s="857"/>
      <c r="D189" s="857"/>
      <c r="E189" s="857"/>
      <c r="F189" s="857"/>
      <c r="G189" s="857"/>
      <c r="H189" s="857"/>
      <c r="I189" s="857"/>
      <c r="J189" s="857"/>
      <c r="K189" s="857"/>
      <c r="L189" s="857"/>
      <c r="M189" s="857"/>
      <c r="N189" s="857"/>
      <c r="O189" s="857"/>
      <c r="P189" s="857"/>
      <c r="Q189" s="857"/>
      <c r="R189" s="857"/>
      <c r="S189" s="857"/>
      <c r="T189" s="857"/>
      <c r="U189" s="857"/>
      <c r="V189" s="857"/>
      <c r="W189" s="857"/>
      <c r="X189" s="857"/>
      <c r="Y189" s="857"/>
      <c r="Z189" s="857"/>
      <c r="AA189" s="857"/>
      <c r="AB189" s="857"/>
      <c r="AC189" s="857"/>
      <c r="AD189" s="857"/>
      <c r="AE189" s="857"/>
      <c r="AF189" s="857"/>
      <c r="AG189" s="857"/>
      <c r="AH189" s="857"/>
      <c r="AI189" s="857"/>
      <c r="AJ189" s="857"/>
      <c r="AK189" s="857"/>
      <c r="AL189" s="857"/>
      <c r="AM189" s="857"/>
      <c r="AN189" s="857"/>
      <c r="AO189" s="857"/>
      <c r="AP189" s="857"/>
      <c r="AQ189" s="857"/>
      <c r="AR189" s="857"/>
      <c r="AS189" s="857"/>
      <c r="AT189" s="855"/>
      <c r="AU189" s="856"/>
      <c r="AV189" s="857"/>
      <c r="AW189" s="857"/>
      <c r="AX189" s="857"/>
      <c r="AY189" s="857"/>
      <c r="AZ189" s="857"/>
      <c r="BA189" s="857"/>
      <c r="BB189" s="857"/>
      <c r="BC189" s="857"/>
      <c r="BD189" s="857"/>
      <c r="BE189" s="857"/>
      <c r="BF189" s="857"/>
      <c r="BG189" s="857"/>
    </row>
    <row r="190" spans="1:59" ht="14.25" customHeight="1">
      <c r="A190" s="857"/>
      <c r="B190" s="857"/>
      <c r="C190" s="857"/>
      <c r="D190" s="857"/>
      <c r="E190" s="857"/>
      <c r="F190" s="857"/>
      <c r="G190" s="857"/>
      <c r="H190" s="857"/>
      <c r="I190" s="857"/>
      <c r="J190" s="857"/>
      <c r="K190" s="857"/>
      <c r="L190" s="857"/>
      <c r="M190" s="857"/>
      <c r="N190" s="857"/>
      <c r="O190" s="857"/>
      <c r="P190" s="857"/>
      <c r="Q190" s="857"/>
      <c r="R190" s="857"/>
      <c r="S190" s="857"/>
      <c r="T190" s="857"/>
      <c r="U190" s="857"/>
      <c r="V190" s="857"/>
      <c r="W190" s="857"/>
      <c r="X190" s="857"/>
      <c r="Y190" s="857"/>
      <c r="Z190" s="857"/>
      <c r="AA190" s="857"/>
      <c r="AB190" s="857"/>
      <c r="AC190" s="857"/>
      <c r="AD190" s="857"/>
      <c r="AE190" s="857"/>
      <c r="AF190" s="857"/>
      <c r="AG190" s="857"/>
      <c r="AH190" s="857"/>
      <c r="AI190" s="857"/>
      <c r="AJ190" s="857"/>
      <c r="AK190" s="857"/>
      <c r="AL190" s="857"/>
      <c r="AM190" s="857"/>
      <c r="AN190" s="857"/>
      <c r="AO190" s="857"/>
      <c r="AP190" s="857"/>
      <c r="AQ190" s="857"/>
      <c r="AR190" s="857"/>
      <c r="AS190" s="857"/>
      <c r="AT190" s="855"/>
      <c r="AU190" s="856"/>
      <c r="AV190" s="857"/>
      <c r="AW190" s="857"/>
      <c r="AX190" s="857"/>
      <c r="AY190" s="857"/>
      <c r="AZ190" s="857"/>
      <c r="BA190" s="857"/>
      <c r="BB190" s="857"/>
      <c r="BC190" s="857"/>
      <c r="BD190" s="857"/>
      <c r="BE190" s="857"/>
      <c r="BF190" s="857"/>
      <c r="BG190" s="857"/>
    </row>
    <row r="191" spans="1:59" ht="14.25" customHeight="1">
      <c r="A191" s="857"/>
      <c r="B191" s="857"/>
      <c r="C191" s="857"/>
      <c r="D191" s="857"/>
      <c r="E191" s="857"/>
      <c r="F191" s="857"/>
      <c r="G191" s="857"/>
      <c r="H191" s="857"/>
      <c r="I191" s="857"/>
      <c r="J191" s="857"/>
      <c r="K191" s="857"/>
      <c r="L191" s="857"/>
      <c r="M191" s="857"/>
      <c r="N191" s="857"/>
      <c r="O191" s="857"/>
      <c r="P191" s="857"/>
      <c r="Q191" s="857"/>
      <c r="R191" s="857"/>
      <c r="S191" s="857"/>
      <c r="T191" s="857"/>
      <c r="U191" s="857"/>
      <c r="V191" s="857"/>
      <c r="W191" s="857"/>
      <c r="X191" s="857"/>
      <c r="Y191" s="857"/>
      <c r="Z191" s="857"/>
      <c r="AA191" s="857"/>
      <c r="AB191" s="857"/>
      <c r="AC191" s="857"/>
      <c r="AD191" s="857"/>
      <c r="AE191" s="857"/>
      <c r="AF191" s="857"/>
      <c r="AG191" s="857"/>
      <c r="AH191" s="857"/>
      <c r="AI191" s="857"/>
      <c r="AJ191" s="857"/>
      <c r="AK191" s="857"/>
      <c r="AL191" s="857"/>
      <c r="AM191" s="857"/>
      <c r="AN191" s="857"/>
      <c r="AO191" s="857"/>
      <c r="AP191" s="857"/>
      <c r="AQ191" s="857"/>
      <c r="AR191" s="857"/>
      <c r="AS191" s="857"/>
      <c r="AT191" s="855"/>
      <c r="AU191" s="856"/>
      <c r="AV191" s="857"/>
      <c r="AW191" s="857"/>
      <c r="AX191" s="857"/>
      <c r="AY191" s="857"/>
      <c r="AZ191" s="857"/>
      <c r="BA191" s="857"/>
      <c r="BB191" s="857"/>
      <c r="BC191" s="857"/>
      <c r="BD191" s="857"/>
      <c r="BE191" s="857"/>
      <c r="BF191" s="857"/>
      <c r="BG191" s="857"/>
    </row>
    <row r="192" spans="1:59" ht="14.25" customHeight="1">
      <c r="A192" s="857"/>
      <c r="B192" s="857"/>
      <c r="C192" s="857"/>
      <c r="D192" s="857"/>
      <c r="E192" s="857"/>
      <c r="F192" s="857"/>
      <c r="G192" s="857"/>
      <c r="H192" s="857"/>
      <c r="I192" s="857"/>
      <c r="J192" s="857"/>
      <c r="K192" s="857"/>
      <c r="L192" s="857"/>
      <c r="M192" s="857"/>
      <c r="N192" s="857"/>
      <c r="O192" s="857"/>
      <c r="P192" s="857"/>
      <c r="Q192" s="857"/>
      <c r="R192" s="857"/>
      <c r="S192" s="857"/>
      <c r="T192" s="857"/>
      <c r="U192" s="857"/>
      <c r="V192" s="857"/>
      <c r="W192" s="857"/>
      <c r="X192" s="857"/>
      <c r="Y192" s="857"/>
      <c r="Z192" s="857"/>
      <c r="AA192" s="857"/>
      <c r="AB192" s="857"/>
      <c r="AC192" s="857"/>
      <c r="AD192" s="857"/>
      <c r="AE192" s="857"/>
      <c r="AF192" s="857"/>
      <c r="AG192" s="857"/>
      <c r="AH192" s="857"/>
      <c r="AI192" s="857"/>
      <c r="AJ192" s="857"/>
      <c r="AK192" s="857"/>
      <c r="AL192" s="857"/>
      <c r="AM192" s="857"/>
      <c r="AN192" s="857"/>
      <c r="AO192" s="857"/>
      <c r="AP192" s="857"/>
      <c r="AQ192" s="857"/>
      <c r="AR192" s="857"/>
      <c r="AS192" s="857"/>
      <c r="AT192" s="855"/>
      <c r="AU192" s="856"/>
      <c r="AV192" s="857"/>
      <c r="AW192" s="857"/>
      <c r="AX192" s="857"/>
      <c r="AY192" s="857"/>
      <c r="AZ192" s="857"/>
      <c r="BA192" s="857"/>
      <c r="BB192" s="857"/>
      <c r="BC192" s="857"/>
      <c r="BD192" s="857"/>
      <c r="BE192" s="857"/>
      <c r="BF192" s="857"/>
      <c r="BG192" s="857"/>
    </row>
    <row r="193" spans="1:59" ht="14.25" customHeight="1">
      <c r="A193" s="857"/>
      <c r="B193" s="857"/>
      <c r="C193" s="857"/>
      <c r="D193" s="857"/>
      <c r="E193" s="857"/>
      <c r="F193" s="857"/>
      <c r="G193" s="857"/>
      <c r="H193" s="857"/>
      <c r="I193" s="857"/>
      <c r="J193" s="857"/>
      <c r="K193" s="857"/>
      <c r="L193" s="857"/>
      <c r="M193" s="857"/>
      <c r="N193" s="857"/>
      <c r="O193" s="857"/>
      <c r="P193" s="857"/>
      <c r="Q193" s="857"/>
      <c r="R193" s="857"/>
      <c r="S193" s="857"/>
      <c r="T193" s="857"/>
      <c r="U193" s="857"/>
      <c r="V193" s="857"/>
      <c r="W193" s="857"/>
      <c r="X193" s="857"/>
      <c r="Y193" s="857"/>
      <c r="Z193" s="857"/>
      <c r="AA193" s="857"/>
      <c r="AB193" s="857"/>
      <c r="AC193" s="857"/>
      <c r="AD193" s="857"/>
      <c r="AE193" s="857"/>
      <c r="AF193" s="857"/>
      <c r="AG193" s="857"/>
      <c r="AH193" s="857"/>
      <c r="AI193" s="857"/>
      <c r="AJ193" s="857"/>
      <c r="AK193" s="857"/>
      <c r="AL193" s="857"/>
      <c r="AM193" s="857"/>
      <c r="AN193" s="857"/>
      <c r="AO193" s="857"/>
      <c r="AP193" s="857"/>
      <c r="AQ193" s="857"/>
      <c r="AR193" s="857"/>
      <c r="AS193" s="857"/>
      <c r="AT193" s="855"/>
      <c r="AU193" s="856"/>
      <c r="AV193" s="857"/>
      <c r="AW193" s="857"/>
      <c r="AX193" s="857"/>
      <c r="AY193" s="857"/>
      <c r="AZ193" s="857"/>
      <c r="BA193" s="857"/>
      <c r="BB193" s="857"/>
      <c r="BC193" s="857"/>
      <c r="BD193" s="857"/>
      <c r="BE193" s="857"/>
      <c r="BF193" s="857"/>
      <c r="BG193" s="857"/>
    </row>
    <row r="194" spans="1:59" ht="14.25" customHeight="1">
      <c r="A194" s="857"/>
      <c r="B194" s="857"/>
      <c r="C194" s="857"/>
      <c r="D194" s="857"/>
      <c r="E194" s="857"/>
      <c r="F194" s="857"/>
      <c r="G194" s="857"/>
      <c r="H194" s="857"/>
      <c r="I194" s="857"/>
      <c r="J194" s="857"/>
      <c r="K194" s="857"/>
      <c r="L194" s="857"/>
      <c r="M194" s="857"/>
      <c r="N194" s="857"/>
      <c r="O194" s="857"/>
      <c r="P194" s="857"/>
      <c r="Q194" s="857"/>
      <c r="R194" s="857"/>
      <c r="S194" s="857"/>
      <c r="T194" s="857"/>
      <c r="U194" s="857"/>
      <c r="V194" s="857"/>
      <c r="W194" s="857"/>
      <c r="X194" s="857"/>
      <c r="Y194" s="857"/>
      <c r="Z194" s="857"/>
      <c r="AA194" s="857"/>
      <c r="AB194" s="857"/>
      <c r="AC194" s="857"/>
      <c r="AD194" s="857"/>
      <c r="AE194" s="857"/>
      <c r="AF194" s="857"/>
      <c r="AG194" s="857"/>
      <c r="AH194" s="857"/>
      <c r="AI194" s="857"/>
      <c r="AJ194" s="857"/>
      <c r="AK194" s="857"/>
      <c r="AL194" s="857"/>
      <c r="AM194" s="857"/>
      <c r="AN194" s="857"/>
      <c r="AO194" s="857"/>
      <c r="AP194" s="857"/>
      <c r="AQ194" s="857"/>
      <c r="AR194" s="857"/>
      <c r="AS194" s="857"/>
      <c r="AT194" s="855"/>
      <c r="AU194" s="856"/>
      <c r="AV194" s="857"/>
      <c r="AW194" s="857"/>
      <c r="AX194" s="857"/>
      <c r="AY194" s="857"/>
      <c r="AZ194" s="857"/>
      <c r="BA194" s="857"/>
      <c r="BB194" s="857"/>
      <c r="BC194" s="857"/>
      <c r="BD194" s="857"/>
      <c r="BE194" s="857"/>
      <c r="BF194" s="857"/>
      <c r="BG194" s="857"/>
    </row>
    <row r="195" spans="1:59" ht="14.25" customHeight="1">
      <c r="A195" s="857"/>
      <c r="B195" s="857"/>
      <c r="C195" s="857"/>
      <c r="D195" s="857"/>
      <c r="E195" s="857"/>
      <c r="F195" s="857"/>
      <c r="G195" s="857"/>
      <c r="H195" s="857"/>
      <c r="I195" s="857"/>
      <c r="J195" s="857"/>
      <c r="K195" s="857"/>
      <c r="L195" s="857"/>
      <c r="M195" s="857"/>
      <c r="N195" s="857"/>
      <c r="O195" s="857"/>
      <c r="P195" s="857"/>
      <c r="Q195" s="857"/>
      <c r="R195" s="857"/>
      <c r="S195" s="857"/>
      <c r="T195" s="857"/>
      <c r="U195" s="857"/>
      <c r="V195" s="857"/>
      <c r="W195" s="857"/>
      <c r="X195" s="857"/>
      <c r="Y195" s="857"/>
      <c r="Z195" s="857"/>
      <c r="AA195" s="857"/>
      <c r="AB195" s="857"/>
      <c r="AC195" s="857"/>
      <c r="AD195" s="857"/>
      <c r="AE195" s="857"/>
      <c r="AF195" s="857"/>
      <c r="AG195" s="857"/>
      <c r="AH195" s="857"/>
      <c r="AI195" s="857"/>
      <c r="AJ195" s="857"/>
      <c r="AK195" s="857"/>
      <c r="AL195" s="857"/>
      <c r="AM195" s="857"/>
      <c r="AN195" s="857"/>
      <c r="AO195" s="857"/>
      <c r="AP195" s="857"/>
      <c r="AQ195" s="857"/>
      <c r="AR195" s="857"/>
      <c r="AS195" s="857"/>
      <c r="AT195" s="855"/>
      <c r="AU195" s="856"/>
      <c r="AV195" s="857"/>
      <c r="AW195" s="857"/>
      <c r="AX195" s="857"/>
      <c r="AY195" s="857"/>
      <c r="AZ195" s="857"/>
      <c r="BA195" s="857"/>
      <c r="BB195" s="857"/>
      <c r="BC195" s="857"/>
      <c r="BD195" s="857"/>
      <c r="BE195" s="857"/>
      <c r="BF195" s="857"/>
      <c r="BG195" s="857"/>
    </row>
    <row r="196" spans="1:59" ht="14.25" customHeight="1">
      <c r="A196" s="857"/>
      <c r="B196" s="857"/>
      <c r="C196" s="857"/>
      <c r="D196" s="857"/>
      <c r="E196" s="857"/>
      <c r="F196" s="857"/>
      <c r="G196" s="857"/>
      <c r="H196" s="857"/>
      <c r="I196" s="857"/>
      <c r="J196" s="857"/>
      <c r="K196" s="857"/>
      <c r="L196" s="857"/>
      <c r="M196" s="857"/>
      <c r="N196" s="857"/>
      <c r="O196" s="857"/>
      <c r="P196" s="857"/>
      <c r="Q196" s="857"/>
      <c r="R196" s="857"/>
      <c r="S196" s="857"/>
      <c r="T196" s="857"/>
      <c r="U196" s="857"/>
      <c r="V196" s="857"/>
      <c r="W196" s="857"/>
      <c r="X196" s="857"/>
      <c r="Y196" s="857"/>
      <c r="Z196" s="857"/>
      <c r="AA196" s="857"/>
      <c r="AB196" s="857"/>
      <c r="AC196" s="857"/>
      <c r="AD196" s="857"/>
      <c r="AE196" s="857"/>
      <c r="AF196" s="857"/>
      <c r="AG196" s="857"/>
      <c r="AH196" s="857"/>
      <c r="AI196" s="857"/>
      <c r="AJ196" s="857"/>
      <c r="AK196" s="857"/>
      <c r="AL196" s="857"/>
      <c r="AM196" s="857"/>
      <c r="AN196" s="857"/>
      <c r="AO196" s="857"/>
      <c r="AP196" s="857"/>
      <c r="AQ196" s="857"/>
      <c r="AR196" s="857"/>
      <c r="AS196" s="857"/>
      <c r="AT196" s="855"/>
      <c r="AU196" s="856"/>
      <c r="AV196" s="857"/>
      <c r="AW196" s="857"/>
      <c r="AX196" s="857"/>
      <c r="AY196" s="857"/>
      <c r="AZ196" s="857"/>
      <c r="BA196" s="857"/>
      <c r="BB196" s="857"/>
      <c r="BC196" s="857"/>
      <c r="BD196" s="857"/>
      <c r="BE196" s="857"/>
      <c r="BF196" s="857"/>
      <c r="BG196" s="857"/>
    </row>
    <row r="197" spans="1:59" ht="14.25" customHeight="1">
      <c r="A197" s="857"/>
      <c r="B197" s="857"/>
      <c r="C197" s="857"/>
      <c r="D197" s="857"/>
      <c r="E197" s="857"/>
      <c r="F197" s="857"/>
      <c r="G197" s="857"/>
      <c r="H197" s="857"/>
      <c r="I197" s="857"/>
      <c r="J197" s="857"/>
      <c r="K197" s="857"/>
      <c r="L197" s="857"/>
      <c r="M197" s="857"/>
      <c r="N197" s="857"/>
      <c r="O197" s="857"/>
      <c r="P197" s="857"/>
      <c r="Q197" s="857"/>
      <c r="R197" s="857"/>
      <c r="S197" s="857"/>
      <c r="T197" s="857"/>
      <c r="U197" s="857"/>
      <c r="V197" s="857"/>
      <c r="W197" s="857"/>
      <c r="X197" s="857"/>
      <c r="Y197" s="857"/>
      <c r="Z197" s="857"/>
      <c r="AA197" s="857"/>
      <c r="AB197" s="857"/>
      <c r="AC197" s="857"/>
      <c r="AD197" s="857"/>
      <c r="AE197" s="857"/>
      <c r="AF197" s="857"/>
      <c r="AG197" s="857"/>
      <c r="AH197" s="857"/>
      <c r="AI197" s="857"/>
      <c r="AJ197" s="857"/>
      <c r="AK197" s="857"/>
      <c r="AL197" s="857"/>
      <c r="AM197" s="857"/>
      <c r="AN197" s="857"/>
      <c r="AO197" s="857"/>
      <c r="AP197" s="857"/>
      <c r="AQ197" s="857"/>
      <c r="AR197" s="857"/>
      <c r="AS197" s="857"/>
      <c r="AT197" s="855"/>
      <c r="AU197" s="856"/>
      <c r="AV197" s="857"/>
      <c r="AW197" s="857"/>
      <c r="AX197" s="857"/>
      <c r="AY197" s="857"/>
      <c r="AZ197" s="857"/>
      <c r="BA197" s="857"/>
      <c r="BB197" s="857"/>
      <c r="BC197" s="857"/>
      <c r="BD197" s="857"/>
      <c r="BE197" s="857"/>
      <c r="BF197" s="857"/>
      <c r="BG197" s="857"/>
    </row>
    <row r="198" spans="1:59" ht="14.25" customHeight="1">
      <c r="A198" s="857"/>
      <c r="B198" s="857"/>
      <c r="C198" s="857"/>
      <c r="D198" s="857"/>
      <c r="E198" s="857"/>
      <c r="F198" s="857"/>
      <c r="G198" s="857"/>
      <c r="H198" s="857"/>
      <c r="I198" s="857"/>
      <c r="J198" s="857"/>
      <c r="K198" s="857"/>
      <c r="L198" s="857"/>
      <c r="M198" s="857"/>
      <c r="N198" s="857"/>
      <c r="O198" s="857"/>
      <c r="P198" s="857"/>
      <c r="Q198" s="857"/>
      <c r="R198" s="857"/>
      <c r="S198" s="857"/>
      <c r="T198" s="857"/>
      <c r="U198" s="857"/>
      <c r="V198" s="857"/>
      <c r="W198" s="857"/>
      <c r="X198" s="857"/>
      <c r="Y198" s="857"/>
      <c r="Z198" s="857"/>
      <c r="AA198" s="857"/>
      <c r="AB198" s="857"/>
      <c r="AC198" s="857"/>
      <c r="AD198" s="857"/>
      <c r="AE198" s="857"/>
      <c r="AF198" s="857"/>
      <c r="AG198" s="857"/>
      <c r="AH198" s="857"/>
      <c r="AI198" s="857"/>
      <c r="AJ198" s="857"/>
      <c r="AK198" s="857"/>
      <c r="AL198" s="857"/>
      <c r="AM198" s="857"/>
      <c r="AN198" s="857"/>
      <c r="AO198" s="857"/>
      <c r="AP198" s="857"/>
      <c r="AQ198" s="857"/>
      <c r="AR198" s="857"/>
      <c r="AS198" s="857"/>
      <c r="AT198" s="855"/>
      <c r="AU198" s="856"/>
      <c r="AV198" s="857"/>
      <c r="AW198" s="857"/>
      <c r="AX198" s="857"/>
      <c r="AY198" s="857"/>
      <c r="AZ198" s="857"/>
      <c r="BA198" s="857"/>
      <c r="BB198" s="857"/>
      <c r="BC198" s="857"/>
      <c r="BD198" s="857"/>
      <c r="BE198" s="857"/>
      <c r="BF198" s="857"/>
      <c r="BG198" s="857"/>
    </row>
    <row r="199" spans="1:59" ht="14.25" customHeight="1">
      <c r="A199" s="857"/>
      <c r="B199" s="857"/>
      <c r="C199" s="857"/>
      <c r="D199" s="857"/>
      <c r="E199" s="857"/>
      <c r="F199" s="857"/>
      <c r="G199" s="857"/>
      <c r="H199" s="857"/>
      <c r="I199" s="857"/>
      <c r="J199" s="857"/>
      <c r="K199" s="857"/>
      <c r="L199" s="857"/>
      <c r="M199" s="857"/>
      <c r="N199" s="857"/>
      <c r="O199" s="857"/>
      <c r="P199" s="857"/>
      <c r="Q199" s="857"/>
      <c r="R199" s="857"/>
      <c r="S199" s="857"/>
      <c r="T199" s="857"/>
      <c r="U199" s="857"/>
      <c r="V199" s="857"/>
      <c r="W199" s="857"/>
      <c r="X199" s="857"/>
      <c r="Y199" s="857"/>
      <c r="Z199" s="857"/>
      <c r="AA199" s="857"/>
      <c r="AB199" s="857"/>
      <c r="AC199" s="857"/>
      <c r="AD199" s="857"/>
      <c r="AE199" s="857"/>
      <c r="AF199" s="857"/>
      <c r="AG199" s="857"/>
      <c r="AH199" s="857"/>
      <c r="AI199" s="857"/>
      <c r="AJ199" s="857"/>
      <c r="AK199" s="857"/>
      <c r="AL199" s="857"/>
      <c r="AM199" s="857"/>
      <c r="AN199" s="857"/>
      <c r="AO199" s="857"/>
      <c r="AP199" s="857"/>
      <c r="AQ199" s="857"/>
      <c r="AR199" s="857"/>
      <c r="AS199" s="857"/>
      <c r="AT199" s="855"/>
      <c r="AU199" s="856"/>
      <c r="AV199" s="857"/>
      <c r="AW199" s="857"/>
      <c r="AX199" s="857"/>
      <c r="AY199" s="857"/>
      <c r="AZ199" s="857"/>
      <c r="BA199" s="857"/>
      <c r="BB199" s="857"/>
      <c r="BC199" s="857"/>
      <c r="BD199" s="857"/>
      <c r="BE199" s="857"/>
      <c r="BF199" s="857"/>
      <c r="BG199" s="857"/>
    </row>
    <row r="200" spans="1:59" ht="14.25" customHeight="1">
      <c r="A200" s="857"/>
      <c r="B200" s="857"/>
      <c r="C200" s="857"/>
      <c r="D200" s="857"/>
      <c r="E200" s="857"/>
      <c r="F200" s="857"/>
      <c r="G200" s="857"/>
      <c r="H200" s="857"/>
      <c r="I200" s="857"/>
      <c r="J200" s="857"/>
      <c r="K200" s="857"/>
      <c r="L200" s="857"/>
      <c r="M200" s="857"/>
      <c r="N200" s="857"/>
      <c r="O200" s="857"/>
      <c r="P200" s="857"/>
      <c r="Q200" s="857"/>
      <c r="R200" s="857"/>
      <c r="S200" s="857"/>
      <c r="T200" s="857"/>
      <c r="U200" s="857"/>
      <c r="V200" s="857"/>
      <c r="W200" s="857"/>
      <c r="X200" s="857"/>
      <c r="Y200" s="857"/>
      <c r="Z200" s="857"/>
      <c r="AA200" s="857"/>
      <c r="AB200" s="857"/>
      <c r="AC200" s="857"/>
      <c r="AD200" s="857"/>
      <c r="AE200" s="857"/>
      <c r="AF200" s="857"/>
      <c r="AG200" s="857"/>
      <c r="AH200" s="857"/>
      <c r="AI200" s="857"/>
      <c r="AJ200" s="857"/>
      <c r="AK200" s="857"/>
      <c r="AL200" s="857"/>
      <c r="AM200" s="857"/>
      <c r="AN200" s="857"/>
      <c r="AO200" s="857"/>
      <c r="AP200" s="857"/>
      <c r="AQ200" s="857"/>
      <c r="AR200" s="857"/>
      <c r="AS200" s="857"/>
      <c r="AT200" s="855"/>
      <c r="AU200" s="856"/>
      <c r="AV200" s="857"/>
      <c r="AW200" s="857"/>
      <c r="AX200" s="857"/>
      <c r="AY200" s="857"/>
      <c r="AZ200" s="857"/>
      <c r="BA200" s="857"/>
      <c r="BB200" s="857"/>
      <c r="BC200" s="857"/>
      <c r="BD200" s="857"/>
      <c r="BE200" s="857"/>
      <c r="BF200" s="857"/>
      <c r="BG200" s="857"/>
    </row>
    <row r="201" spans="1:59" ht="14.25" customHeight="1">
      <c r="A201" s="857"/>
      <c r="B201" s="857"/>
      <c r="C201" s="857"/>
      <c r="D201" s="857"/>
      <c r="E201" s="857"/>
      <c r="F201" s="857"/>
      <c r="G201" s="857"/>
      <c r="H201" s="857"/>
      <c r="I201" s="857"/>
      <c r="J201" s="857"/>
      <c r="K201" s="857"/>
      <c r="L201" s="857"/>
      <c r="M201" s="857"/>
      <c r="N201" s="857"/>
      <c r="O201" s="857"/>
      <c r="P201" s="857"/>
      <c r="Q201" s="857"/>
      <c r="R201" s="857"/>
      <c r="S201" s="857"/>
      <c r="T201" s="857"/>
      <c r="U201" s="857"/>
      <c r="V201" s="857"/>
      <c r="W201" s="857"/>
      <c r="X201" s="857"/>
      <c r="Y201" s="857"/>
      <c r="Z201" s="857"/>
      <c r="AA201" s="857"/>
      <c r="AB201" s="857"/>
      <c r="AC201" s="857"/>
      <c r="AD201" s="857"/>
      <c r="AE201" s="857"/>
      <c r="AF201" s="857"/>
      <c r="AG201" s="857"/>
      <c r="AH201" s="857"/>
      <c r="AI201" s="857"/>
      <c r="AJ201" s="857"/>
      <c r="AK201" s="857"/>
      <c r="AL201" s="857"/>
      <c r="AM201" s="857"/>
      <c r="AN201" s="857"/>
      <c r="AO201" s="857"/>
      <c r="AP201" s="857"/>
      <c r="AQ201" s="857"/>
      <c r="AR201" s="857"/>
      <c r="AS201" s="857"/>
      <c r="AT201" s="855"/>
      <c r="AU201" s="856"/>
      <c r="AV201" s="857"/>
      <c r="AW201" s="857"/>
      <c r="AX201" s="857"/>
      <c r="AY201" s="857"/>
      <c r="AZ201" s="857"/>
      <c r="BA201" s="857"/>
      <c r="BB201" s="857"/>
      <c r="BC201" s="857"/>
      <c r="BD201" s="857"/>
      <c r="BE201" s="857"/>
      <c r="BF201" s="857"/>
      <c r="BG201" s="857"/>
    </row>
    <row r="202" spans="1:59" ht="14.25" customHeight="1">
      <c r="A202" s="857"/>
      <c r="B202" s="857"/>
      <c r="C202" s="857"/>
      <c r="D202" s="857"/>
      <c r="E202" s="857"/>
      <c r="F202" s="857"/>
      <c r="G202" s="857"/>
      <c r="H202" s="857"/>
      <c r="I202" s="857"/>
      <c r="J202" s="857"/>
      <c r="K202" s="857"/>
      <c r="L202" s="857"/>
      <c r="M202" s="857"/>
      <c r="N202" s="857"/>
      <c r="O202" s="857"/>
      <c r="P202" s="857"/>
      <c r="Q202" s="857"/>
      <c r="R202" s="857"/>
      <c r="S202" s="857"/>
      <c r="T202" s="857"/>
      <c r="U202" s="857"/>
      <c r="V202" s="857"/>
      <c r="W202" s="857"/>
      <c r="X202" s="857"/>
      <c r="Y202" s="857"/>
      <c r="Z202" s="857"/>
      <c r="AA202" s="857"/>
      <c r="AB202" s="857"/>
      <c r="AC202" s="857"/>
      <c r="AD202" s="857"/>
      <c r="AE202" s="857"/>
      <c r="AF202" s="857"/>
      <c r="AG202" s="857"/>
      <c r="AH202" s="857"/>
      <c r="AI202" s="857"/>
      <c r="AJ202" s="857"/>
      <c r="AK202" s="857"/>
      <c r="AL202" s="857"/>
      <c r="AM202" s="857"/>
      <c r="AN202" s="857"/>
      <c r="AO202" s="857"/>
      <c r="AP202" s="857"/>
      <c r="AQ202" s="857"/>
      <c r="AR202" s="857"/>
      <c r="AS202" s="857"/>
      <c r="AT202" s="855"/>
      <c r="AU202" s="856"/>
      <c r="AV202" s="857"/>
      <c r="AW202" s="857"/>
      <c r="AX202" s="857"/>
      <c r="AY202" s="857"/>
      <c r="AZ202" s="857"/>
      <c r="BA202" s="857"/>
      <c r="BB202" s="857"/>
      <c r="BC202" s="857"/>
      <c r="BD202" s="857"/>
      <c r="BE202" s="857"/>
      <c r="BF202" s="857"/>
      <c r="BG202" s="857"/>
    </row>
    <row r="203" spans="1:59" ht="14.25" customHeight="1">
      <c r="A203" s="857"/>
      <c r="B203" s="857"/>
      <c r="C203" s="857"/>
      <c r="D203" s="857"/>
      <c r="E203" s="857"/>
      <c r="F203" s="857"/>
      <c r="G203" s="857"/>
      <c r="H203" s="857"/>
      <c r="I203" s="857"/>
      <c r="J203" s="857"/>
      <c r="K203" s="857"/>
      <c r="L203" s="857"/>
      <c r="M203" s="857"/>
      <c r="N203" s="857"/>
      <c r="O203" s="857"/>
      <c r="P203" s="857"/>
      <c r="Q203" s="857"/>
      <c r="R203" s="857"/>
      <c r="S203" s="857"/>
      <c r="T203" s="857"/>
      <c r="U203" s="857"/>
      <c r="V203" s="857"/>
      <c r="W203" s="857"/>
      <c r="X203" s="857"/>
      <c r="Y203" s="857"/>
      <c r="Z203" s="857"/>
      <c r="AA203" s="857"/>
      <c r="AB203" s="857"/>
      <c r="AC203" s="857"/>
      <c r="AD203" s="857"/>
      <c r="AE203" s="857"/>
      <c r="AF203" s="857"/>
      <c r="AG203" s="857"/>
      <c r="AH203" s="857"/>
      <c r="AI203" s="857"/>
      <c r="AJ203" s="857"/>
      <c r="AK203" s="857"/>
      <c r="AL203" s="857"/>
      <c r="AM203" s="857"/>
      <c r="AN203" s="857"/>
      <c r="AO203" s="857"/>
      <c r="AP203" s="857"/>
      <c r="AQ203" s="857"/>
      <c r="AR203" s="857"/>
      <c r="AS203" s="857"/>
      <c r="AT203" s="855"/>
      <c r="AU203" s="856"/>
      <c r="AV203" s="857"/>
      <c r="AW203" s="857"/>
      <c r="AX203" s="857"/>
      <c r="AY203" s="857"/>
      <c r="AZ203" s="857"/>
      <c r="BA203" s="857"/>
      <c r="BB203" s="857"/>
      <c r="BC203" s="857"/>
      <c r="BD203" s="857"/>
      <c r="BE203" s="857"/>
      <c r="BF203" s="857"/>
      <c r="BG203" s="857"/>
    </row>
    <row r="204" spans="1:59" ht="14.25" customHeight="1">
      <c r="A204" s="857"/>
      <c r="B204" s="857"/>
      <c r="C204" s="857"/>
      <c r="D204" s="857"/>
      <c r="E204" s="857"/>
      <c r="F204" s="857"/>
      <c r="G204" s="857"/>
      <c r="H204" s="857"/>
      <c r="I204" s="857"/>
      <c r="J204" s="857"/>
      <c r="K204" s="857"/>
      <c r="L204" s="857"/>
      <c r="M204" s="857"/>
      <c r="N204" s="857"/>
      <c r="O204" s="857"/>
      <c r="P204" s="857"/>
      <c r="Q204" s="857"/>
      <c r="R204" s="857"/>
      <c r="S204" s="857"/>
      <c r="T204" s="857"/>
      <c r="U204" s="857"/>
      <c r="V204" s="857"/>
      <c r="W204" s="857"/>
      <c r="X204" s="857"/>
      <c r="Y204" s="857"/>
      <c r="Z204" s="857"/>
      <c r="AA204" s="857"/>
      <c r="AB204" s="857"/>
      <c r="AC204" s="857"/>
      <c r="AD204" s="857"/>
      <c r="AE204" s="857"/>
      <c r="AF204" s="857"/>
      <c r="AG204" s="857"/>
      <c r="AH204" s="857"/>
      <c r="AI204" s="857"/>
      <c r="AJ204" s="857"/>
      <c r="AK204" s="857"/>
      <c r="AL204" s="857"/>
      <c r="AM204" s="857"/>
      <c r="AN204" s="857"/>
      <c r="AO204" s="857"/>
      <c r="AP204" s="857"/>
      <c r="AQ204" s="857"/>
      <c r="AR204" s="857"/>
      <c r="AS204" s="857"/>
      <c r="AT204" s="855"/>
      <c r="AU204" s="856"/>
      <c r="AV204" s="857"/>
      <c r="AW204" s="857"/>
      <c r="AX204" s="857"/>
      <c r="AY204" s="857"/>
      <c r="AZ204" s="857"/>
      <c r="BA204" s="857"/>
      <c r="BB204" s="857"/>
      <c r="BC204" s="857"/>
      <c r="BD204" s="857"/>
      <c r="BE204" s="857"/>
      <c r="BF204" s="857"/>
      <c r="BG204" s="857"/>
    </row>
    <row r="205" spans="1:59" ht="14.25" customHeight="1">
      <c r="A205" s="857"/>
      <c r="B205" s="857"/>
      <c r="C205" s="857"/>
      <c r="D205" s="857"/>
      <c r="E205" s="857"/>
      <c r="F205" s="857"/>
      <c r="G205" s="857"/>
      <c r="H205" s="857"/>
      <c r="I205" s="857"/>
      <c r="J205" s="857"/>
      <c r="K205" s="857"/>
      <c r="L205" s="857"/>
      <c r="M205" s="857"/>
      <c r="N205" s="857"/>
      <c r="O205" s="857"/>
      <c r="P205" s="857"/>
      <c r="Q205" s="857"/>
      <c r="R205" s="857"/>
      <c r="S205" s="857"/>
      <c r="T205" s="857"/>
      <c r="U205" s="857"/>
      <c r="V205" s="857"/>
      <c r="W205" s="857"/>
      <c r="X205" s="857"/>
      <c r="Y205" s="857"/>
      <c r="Z205" s="857"/>
      <c r="AA205" s="857"/>
      <c r="AB205" s="857"/>
      <c r="AC205" s="857"/>
      <c r="AD205" s="857"/>
      <c r="AE205" s="857"/>
      <c r="AF205" s="857"/>
      <c r="AG205" s="857"/>
      <c r="AH205" s="857"/>
      <c r="AI205" s="857"/>
      <c r="AJ205" s="857"/>
      <c r="AK205" s="857"/>
      <c r="AL205" s="857"/>
      <c r="AM205" s="857"/>
      <c r="AN205" s="857"/>
      <c r="AO205" s="857"/>
      <c r="AP205" s="857"/>
      <c r="AQ205" s="857"/>
      <c r="AR205" s="857"/>
      <c r="AS205" s="857"/>
      <c r="AT205" s="855"/>
      <c r="AU205" s="856"/>
      <c r="AV205" s="857"/>
      <c r="AW205" s="857"/>
      <c r="AX205" s="857"/>
      <c r="AY205" s="857"/>
      <c r="AZ205" s="857"/>
      <c r="BA205" s="857"/>
      <c r="BB205" s="857"/>
      <c r="BC205" s="857"/>
      <c r="BD205" s="857"/>
      <c r="BE205" s="857"/>
      <c r="BF205" s="857"/>
      <c r="BG205" s="857"/>
    </row>
    <row r="206" spans="1:59" ht="14.25" customHeight="1">
      <c r="A206" s="857"/>
      <c r="B206" s="857"/>
      <c r="C206" s="857"/>
      <c r="D206" s="857"/>
      <c r="E206" s="857"/>
      <c r="F206" s="857"/>
      <c r="G206" s="857"/>
      <c r="H206" s="857"/>
      <c r="I206" s="857"/>
      <c r="J206" s="857"/>
      <c r="K206" s="857"/>
      <c r="L206" s="857"/>
      <c r="M206" s="857"/>
      <c r="N206" s="857"/>
      <c r="O206" s="857"/>
      <c r="P206" s="857"/>
      <c r="Q206" s="857"/>
      <c r="R206" s="857"/>
      <c r="S206" s="857"/>
      <c r="T206" s="857"/>
      <c r="U206" s="857"/>
      <c r="V206" s="857"/>
      <c r="W206" s="857"/>
      <c r="X206" s="857"/>
      <c r="Y206" s="857"/>
      <c r="Z206" s="857"/>
      <c r="AA206" s="857"/>
      <c r="AB206" s="857"/>
      <c r="AC206" s="857"/>
      <c r="AD206" s="857"/>
      <c r="AE206" s="857"/>
      <c r="AF206" s="857"/>
      <c r="AG206" s="857"/>
      <c r="AH206" s="857"/>
      <c r="AI206" s="857"/>
      <c r="AJ206" s="857"/>
      <c r="AK206" s="857"/>
      <c r="AL206" s="857"/>
      <c r="AM206" s="857"/>
      <c r="AN206" s="857"/>
      <c r="AO206" s="857"/>
      <c r="AP206" s="857"/>
      <c r="AQ206" s="857"/>
      <c r="AR206" s="857"/>
      <c r="AS206" s="857"/>
      <c r="AT206" s="855"/>
      <c r="AU206" s="856"/>
      <c r="AV206" s="857"/>
      <c r="AW206" s="857"/>
      <c r="AX206" s="857"/>
      <c r="AY206" s="857"/>
      <c r="AZ206" s="857"/>
      <c r="BA206" s="857"/>
      <c r="BB206" s="857"/>
      <c r="BC206" s="857"/>
      <c r="BD206" s="857"/>
      <c r="BE206" s="857"/>
      <c r="BF206" s="857"/>
      <c r="BG206" s="857"/>
    </row>
    <row r="207" spans="1:59" ht="14.25" customHeight="1">
      <c r="A207" s="857"/>
      <c r="B207" s="857"/>
      <c r="C207" s="857"/>
      <c r="D207" s="857"/>
      <c r="E207" s="857"/>
      <c r="F207" s="857"/>
      <c r="G207" s="857"/>
      <c r="H207" s="857"/>
      <c r="I207" s="857"/>
      <c r="J207" s="857"/>
      <c r="K207" s="857"/>
      <c r="L207" s="857"/>
      <c r="M207" s="857"/>
      <c r="N207" s="857"/>
      <c r="O207" s="857"/>
      <c r="P207" s="857"/>
      <c r="Q207" s="857"/>
      <c r="R207" s="857"/>
      <c r="S207" s="857"/>
      <c r="T207" s="857"/>
      <c r="U207" s="857"/>
      <c r="V207" s="857"/>
      <c r="W207" s="857"/>
      <c r="X207" s="857"/>
      <c r="Y207" s="857"/>
      <c r="Z207" s="857"/>
      <c r="AA207" s="857"/>
      <c r="AB207" s="857"/>
      <c r="AC207" s="857"/>
      <c r="AD207" s="857"/>
      <c r="AE207" s="857"/>
      <c r="AF207" s="857"/>
      <c r="AG207" s="857"/>
      <c r="AH207" s="857"/>
      <c r="AI207" s="857"/>
      <c r="AJ207" s="857"/>
      <c r="AK207" s="857"/>
      <c r="AL207" s="857"/>
      <c r="AM207" s="857"/>
      <c r="AN207" s="857"/>
      <c r="AO207" s="857"/>
      <c r="AP207" s="857"/>
      <c r="AQ207" s="857"/>
      <c r="AR207" s="857"/>
      <c r="AS207" s="857"/>
      <c r="AT207" s="855"/>
      <c r="AU207" s="856"/>
      <c r="AV207" s="857"/>
      <c r="AW207" s="857"/>
      <c r="AX207" s="857"/>
      <c r="AY207" s="857"/>
      <c r="AZ207" s="857"/>
      <c r="BA207" s="857"/>
      <c r="BB207" s="857"/>
      <c r="BC207" s="857"/>
      <c r="BD207" s="857"/>
      <c r="BE207" s="857"/>
      <c r="BF207" s="857"/>
      <c r="BG207" s="857"/>
    </row>
    <row r="208" spans="1:59" ht="14.25" customHeight="1">
      <c r="A208" s="857"/>
      <c r="B208" s="857"/>
      <c r="C208" s="857"/>
      <c r="D208" s="857"/>
      <c r="E208" s="857"/>
      <c r="F208" s="857"/>
      <c r="G208" s="857"/>
      <c r="H208" s="857"/>
      <c r="I208" s="857"/>
      <c r="J208" s="857"/>
      <c r="K208" s="857"/>
      <c r="L208" s="857"/>
      <c r="M208" s="857"/>
      <c r="N208" s="857"/>
      <c r="O208" s="857"/>
      <c r="P208" s="857"/>
      <c r="Q208" s="857"/>
      <c r="R208" s="857"/>
      <c r="S208" s="857"/>
      <c r="T208" s="857"/>
      <c r="U208" s="857"/>
      <c r="V208" s="857"/>
      <c r="W208" s="857"/>
      <c r="X208" s="857"/>
      <c r="Y208" s="857"/>
      <c r="Z208" s="857"/>
      <c r="AA208" s="857"/>
      <c r="AB208" s="857"/>
      <c r="AC208" s="857"/>
      <c r="AD208" s="857"/>
      <c r="AE208" s="857"/>
      <c r="AF208" s="857"/>
      <c r="AG208" s="857"/>
      <c r="AH208" s="857"/>
      <c r="AI208" s="857"/>
      <c r="AJ208" s="857"/>
      <c r="AK208" s="857"/>
      <c r="AL208" s="857"/>
      <c r="AM208" s="857"/>
      <c r="AN208" s="857"/>
      <c r="AO208" s="857"/>
      <c r="AP208" s="857"/>
      <c r="AQ208" s="857"/>
      <c r="AR208" s="857"/>
      <c r="AS208" s="857"/>
      <c r="AT208" s="855"/>
      <c r="AU208" s="856"/>
      <c r="AV208" s="857"/>
      <c r="AW208" s="857"/>
      <c r="AX208" s="857"/>
      <c r="AY208" s="857"/>
      <c r="AZ208" s="857"/>
      <c r="BA208" s="857"/>
      <c r="BB208" s="857"/>
      <c r="BC208" s="857"/>
      <c r="BD208" s="857"/>
      <c r="BE208" s="857"/>
      <c r="BF208" s="857"/>
      <c r="BG208" s="857"/>
    </row>
    <row r="209" spans="1:59" ht="14.25" customHeight="1">
      <c r="A209" s="857"/>
      <c r="B209" s="857"/>
      <c r="C209" s="857"/>
      <c r="D209" s="857"/>
      <c r="E209" s="857"/>
      <c r="F209" s="857"/>
      <c r="G209" s="857"/>
      <c r="H209" s="857"/>
      <c r="I209" s="857"/>
      <c r="J209" s="857"/>
      <c r="K209" s="857"/>
      <c r="L209" s="857"/>
      <c r="M209" s="857"/>
      <c r="N209" s="857"/>
      <c r="O209" s="857"/>
      <c r="P209" s="857"/>
      <c r="Q209" s="857"/>
      <c r="R209" s="857"/>
      <c r="S209" s="857"/>
      <c r="T209" s="857"/>
      <c r="U209" s="857"/>
      <c r="V209" s="857"/>
      <c r="W209" s="857"/>
      <c r="X209" s="857"/>
      <c r="Y209" s="857"/>
      <c r="Z209" s="857"/>
      <c r="AA209" s="857"/>
      <c r="AB209" s="857"/>
      <c r="AC209" s="857"/>
      <c r="AD209" s="857"/>
      <c r="AE209" s="857"/>
      <c r="AF209" s="857"/>
      <c r="AG209" s="857"/>
      <c r="AH209" s="857"/>
      <c r="AI209" s="857"/>
      <c r="AJ209" s="857"/>
      <c r="AK209" s="857"/>
      <c r="AL209" s="857"/>
      <c r="AM209" s="857"/>
      <c r="AN209" s="857"/>
      <c r="AO209" s="857"/>
      <c r="AP209" s="857"/>
      <c r="AQ209" s="857"/>
      <c r="AR209" s="857"/>
      <c r="AS209" s="857"/>
      <c r="AT209" s="855"/>
      <c r="AU209" s="856"/>
      <c r="AV209" s="857"/>
      <c r="AW209" s="857"/>
      <c r="AX209" s="857"/>
      <c r="AY209" s="857"/>
      <c r="AZ209" s="857"/>
      <c r="BA209" s="857"/>
      <c r="BB209" s="857"/>
      <c r="BC209" s="857"/>
      <c r="BD209" s="857"/>
      <c r="BE209" s="857"/>
      <c r="BF209" s="857"/>
      <c r="BG209" s="857"/>
    </row>
    <row r="210" spans="1:59" ht="14.25" customHeight="1">
      <c r="A210" s="857"/>
      <c r="B210" s="857"/>
      <c r="C210" s="857"/>
      <c r="D210" s="857"/>
      <c r="E210" s="857"/>
      <c r="F210" s="857"/>
      <c r="G210" s="857"/>
      <c r="H210" s="857"/>
      <c r="I210" s="857"/>
      <c r="J210" s="857"/>
      <c r="K210" s="857"/>
      <c r="L210" s="857"/>
      <c r="M210" s="857"/>
      <c r="N210" s="857"/>
      <c r="O210" s="857"/>
      <c r="P210" s="857"/>
      <c r="Q210" s="857"/>
      <c r="R210" s="857"/>
      <c r="S210" s="857"/>
      <c r="T210" s="857"/>
      <c r="U210" s="857"/>
      <c r="V210" s="857"/>
      <c r="W210" s="857"/>
      <c r="X210" s="857"/>
      <c r="Y210" s="857"/>
      <c r="Z210" s="857"/>
      <c r="AA210" s="857"/>
      <c r="AB210" s="857"/>
      <c r="AC210" s="857"/>
      <c r="AD210" s="857"/>
      <c r="AE210" s="857"/>
      <c r="AF210" s="857"/>
      <c r="AG210" s="857"/>
      <c r="AH210" s="857"/>
      <c r="AI210" s="857"/>
      <c r="AJ210" s="857"/>
      <c r="AK210" s="857"/>
      <c r="AL210" s="857"/>
      <c r="AM210" s="857"/>
      <c r="AN210" s="857"/>
      <c r="AO210" s="857"/>
      <c r="AP210" s="857"/>
      <c r="AQ210" s="857"/>
      <c r="AR210" s="857"/>
      <c r="AS210" s="857"/>
      <c r="AT210" s="855"/>
      <c r="AU210" s="856"/>
      <c r="AV210" s="857"/>
      <c r="AW210" s="857"/>
      <c r="AX210" s="857"/>
      <c r="AY210" s="857"/>
      <c r="AZ210" s="857"/>
      <c r="BA210" s="857"/>
      <c r="BB210" s="857"/>
      <c r="BC210" s="857"/>
      <c r="BD210" s="857"/>
      <c r="BE210" s="857"/>
      <c r="BF210" s="857"/>
      <c r="BG210" s="857"/>
    </row>
    <row r="211" spans="1:59" ht="14.25" customHeight="1">
      <c r="A211" s="857"/>
      <c r="B211" s="857"/>
      <c r="C211" s="857"/>
      <c r="D211" s="857"/>
      <c r="E211" s="857"/>
      <c r="F211" s="857"/>
      <c r="G211" s="857"/>
      <c r="H211" s="857"/>
      <c r="I211" s="857"/>
      <c r="J211" s="857"/>
      <c r="K211" s="857"/>
      <c r="L211" s="857"/>
      <c r="M211" s="857"/>
      <c r="N211" s="857"/>
      <c r="O211" s="857"/>
      <c r="P211" s="857"/>
      <c r="Q211" s="857"/>
      <c r="R211" s="857"/>
      <c r="S211" s="857"/>
      <c r="T211" s="857"/>
      <c r="U211" s="857"/>
      <c r="V211" s="857"/>
      <c r="W211" s="857"/>
      <c r="X211" s="857"/>
      <c r="Y211" s="857"/>
      <c r="Z211" s="857"/>
      <c r="AA211" s="857"/>
      <c r="AB211" s="857"/>
      <c r="AC211" s="857"/>
      <c r="AD211" s="857"/>
      <c r="AE211" s="857"/>
      <c r="AF211" s="857"/>
      <c r="AG211" s="857"/>
      <c r="AH211" s="857"/>
      <c r="AI211" s="857"/>
      <c r="AJ211" s="857"/>
      <c r="AK211" s="857"/>
      <c r="AL211" s="857"/>
      <c r="AM211" s="857"/>
      <c r="AN211" s="857"/>
      <c r="AO211" s="857"/>
      <c r="AP211" s="857"/>
      <c r="AQ211" s="857"/>
      <c r="AR211" s="857"/>
      <c r="AS211" s="857"/>
      <c r="AT211" s="855"/>
      <c r="AU211" s="856"/>
      <c r="AV211" s="857"/>
      <c r="AW211" s="857"/>
      <c r="AX211" s="857"/>
      <c r="AY211" s="857"/>
      <c r="AZ211" s="857"/>
      <c r="BA211" s="857"/>
      <c r="BB211" s="857"/>
      <c r="BC211" s="857"/>
      <c r="BD211" s="857"/>
      <c r="BE211" s="857"/>
      <c r="BF211" s="857"/>
      <c r="BG211" s="857"/>
    </row>
    <row r="212" spans="1:59" ht="14.25" customHeight="1">
      <c r="A212" s="857"/>
      <c r="B212" s="857"/>
      <c r="C212" s="857"/>
      <c r="D212" s="857"/>
      <c r="E212" s="857"/>
      <c r="F212" s="857"/>
      <c r="G212" s="857"/>
      <c r="H212" s="857"/>
      <c r="I212" s="857"/>
      <c r="J212" s="857"/>
      <c r="K212" s="857"/>
      <c r="L212" s="857"/>
      <c r="M212" s="857"/>
      <c r="N212" s="857"/>
      <c r="O212" s="857"/>
      <c r="P212" s="857"/>
      <c r="Q212" s="857"/>
      <c r="R212" s="857"/>
      <c r="S212" s="857"/>
      <c r="T212" s="857"/>
      <c r="U212" s="857"/>
      <c r="V212" s="857"/>
      <c r="W212" s="857"/>
      <c r="X212" s="857"/>
      <c r="Y212" s="857"/>
      <c r="Z212" s="857"/>
      <c r="AA212" s="857"/>
      <c r="AB212" s="857"/>
      <c r="AC212" s="857"/>
      <c r="AD212" s="857"/>
      <c r="AE212" s="857"/>
      <c r="AF212" s="857"/>
      <c r="AG212" s="857"/>
      <c r="AH212" s="857"/>
      <c r="AI212" s="857"/>
      <c r="AJ212" s="857"/>
      <c r="AK212" s="857"/>
      <c r="AL212" s="857"/>
      <c r="AM212" s="857"/>
      <c r="AN212" s="857"/>
      <c r="AO212" s="857"/>
      <c r="AP212" s="857"/>
      <c r="AQ212" s="857"/>
      <c r="AR212" s="857"/>
      <c r="AS212" s="857"/>
      <c r="AT212" s="855"/>
      <c r="AU212" s="856"/>
      <c r="AV212" s="857"/>
      <c r="AW212" s="857"/>
      <c r="AX212" s="857"/>
      <c r="AY212" s="857"/>
      <c r="AZ212" s="857"/>
      <c r="BA212" s="857"/>
      <c r="BB212" s="857"/>
      <c r="BC212" s="857"/>
      <c r="BD212" s="857"/>
      <c r="BE212" s="857"/>
      <c r="BF212" s="857"/>
      <c r="BG212" s="857"/>
    </row>
    <row r="213" spans="1:59" ht="15.75" customHeight="1">
      <c r="A213" s="857"/>
      <c r="B213" s="857"/>
      <c r="C213" s="857"/>
      <c r="D213" s="857"/>
      <c r="E213" s="857"/>
      <c r="F213" s="857"/>
      <c r="G213" s="857"/>
      <c r="H213" s="857"/>
      <c r="I213" s="857"/>
      <c r="J213" s="857"/>
      <c r="K213" s="857"/>
      <c r="L213" s="857"/>
      <c r="M213" s="857"/>
      <c r="N213" s="857"/>
      <c r="O213" s="857"/>
      <c r="P213" s="857"/>
      <c r="Q213" s="857"/>
      <c r="R213" s="857"/>
      <c r="S213" s="857"/>
      <c r="T213" s="857"/>
      <c r="U213" s="857"/>
      <c r="V213" s="857"/>
      <c r="W213" s="857"/>
      <c r="X213" s="857"/>
      <c r="Y213" s="857"/>
      <c r="Z213" s="857"/>
      <c r="AA213" s="857"/>
      <c r="AB213" s="857"/>
      <c r="AC213" s="857"/>
      <c r="AD213" s="857"/>
      <c r="AE213" s="857"/>
      <c r="AF213" s="857"/>
      <c r="AG213" s="857"/>
      <c r="AH213" s="857"/>
      <c r="AI213" s="857"/>
      <c r="AJ213" s="857"/>
      <c r="AK213" s="857"/>
      <c r="AL213" s="857"/>
      <c r="AM213" s="857"/>
      <c r="AN213" s="857"/>
      <c r="AO213" s="857"/>
      <c r="AP213" s="857"/>
      <c r="AQ213" s="857"/>
      <c r="AR213" s="857"/>
      <c r="AS213" s="857"/>
      <c r="AT213" s="855"/>
      <c r="AV213" s="857"/>
      <c r="AW213" s="857"/>
      <c r="AX213" s="857"/>
      <c r="AY213" s="857"/>
      <c r="AZ213" s="857"/>
      <c r="BA213" s="857"/>
      <c r="BB213" s="857"/>
      <c r="BC213" s="857"/>
      <c r="BD213" s="857"/>
      <c r="BE213" s="857"/>
      <c r="BF213" s="857"/>
      <c r="BG213" s="857"/>
    </row>
    <row r="214" spans="1:59" ht="15.75" customHeight="1">
      <c r="A214" s="857"/>
      <c r="B214" s="857"/>
      <c r="C214" s="857"/>
      <c r="D214" s="857"/>
      <c r="E214" s="857"/>
      <c r="F214" s="857"/>
      <c r="G214" s="857"/>
      <c r="H214" s="857"/>
      <c r="I214" s="857"/>
      <c r="J214" s="857"/>
      <c r="K214" s="857"/>
      <c r="L214" s="857"/>
      <c r="M214" s="857"/>
      <c r="N214" s="857"/>
      <c r="O214" s="857"/>
      <c r="P214" s="857"/>
      <c r="Q214" s="857"/>
      <c r="R214" s="857"/>
      <c r="S214" s="857"/>
      <c r="T214" s="857"/>
      <c r="U214" s="857"/>
      <c r="V214" s="857"/>
      <c r="W214" s="857"/>
      <c r="X214" s="857"/>
      <c r="Y214" s="857"/>
      <c r="Z214" s="857"/>
      <c r="AA214" s="857"/>
      <c r="AB214" s="857"/>
      <c r="AC214" s="857"/>
      <c r="AD214" s="857"/>
      <c r="AE214" s="857"/>
      <c r="AF214" s="857"/>
      <c r="AG214" s="857"/>
      <c r="AH214" s="857"/>
      <c r="AI214" s="857"/>
      <c r="AJ214" s="857"/>
      <c r="AK214" s="857"/>
      <c r="AL214" s="857"/>
      <c r="AM214" s="857"/>
      <c r="AN214" s="857"/>
      <c r="AO214" s="857"/>
      <c r="AP214" s="857"/>
      <c r="AQ214" s="857"/>
      <c r="AR214" s="857"/>
      <c r="AS214" s="857"/>
      <c r="AT214" s="855"/>
      <c r="AV214" s="857"/>
      <c r="AW214" s="857"/>
      <c r="AX214" s="857"/>
      <c r="AY214" s="857"/>
      <c r="AZ214" s="857"/>
      <c r="BA214" s="857"/>
      <c r="BB214" s="857"/>
      <c r="BC214" s="857"/>
      <c r="BD214" s="857"/>
      <c r="BE214" s="857"/>
      <c r="BF214" s="857"/>
      <c r="BG214" s="857"/>
    </row>
    <row r="215" spans="1:59" ht="15.75" customHeight="1">
      <c r="A215" s="857"/>
      <c r="B215" s="857"/>
      <c r="C215" s="857"/>
      <c r="D215" s="857"/>
      <c r="E215" s="857"/>
      <c r="F215" s="857"/>
      <c r="G215" s="857"/>
      <c r="H215" s="857"/>
      <c r="I215" s="857"/>
      <c r="J215" s="857"/>
      <c r="K215" s="857"/>
      <c r="L215" s="857"/>
      <c r="M215" s="857"/>
      <c r="N215" s="857"/>
      <c r="O215" s="857"/>
      <c r="P215" s="857"/>
      <c r="Q215" s="857"/>
      <c r="R215" s="857"/>
      <c r="S215" s="857"/>
      <c r="T215" s="857"/>
      <c r="U215" s="857"/>
      <c r="V215" s="857"/>
      <c r="W215" s="857"/>
      <c r="X215" s="857"/>
      <c r="Y215" s="857"/>
      <c r="Z215" s="857"/>
      <c r="AA215" s="857"/>
      <c r="AB215" s="857"/>
      <c r="AC215" s="857"/>
      <c r="AD215" s="857"/>
      <c r="AE215" s="857"/>
      <c r="AF215" s="857"/>
      <c r="AG215" s="857"/>
      <c r="AH215" s="857"/>
      <c r="AI215" s="857"/>
      <c r="AJ215" s="857"/>
      <c r="AK215" s="857"/>
      <c r="AL215" s="857"/>
      <c r="AM215" s="857"/>
      <c r="AN215" s="857"/>
      <c r="AO215" s="857"/>
      <c r="AP215" s="857"/>
      <c r="AQ215" s="857"/>
      <c r="AR215" s="857"/>
      <c r="AS215" s="857"/>
      <c r="AT215" s="855"/>
      <c r="AV215" s="857"/>
      <c r="AW215" s="857"/>
      <c r="AX215" s="857"/>
      <c r="AY215" s="857"/>
      <c r="AZ215" s="857"/>
      <c r="BA215" s="857"/>
      <c r="BB215" s="857"/>
      <c r="BC215" s="857"/>
      <c r="BD215" s="857"/>
      <c r="BE215" s="857"/>
      <c r="BF215" s="857"/>
      <c r="BG215" s="857"/>
    </row>
    <row r="216" spans="1:59" ht="15.75" customHeight="1">
      <c r="A216" s="857"/>
      <c r="B216" s="857"/>
      <c r="C216" s="857"/>
      <c r="D216" s="857"/>
      <c r="E216" s="857"/>
      <c r="F216" s="857"/>
      <c r="G216" s="857"/>
      <c r="H216" s="857"/>
      <c r="I216" s="857"/>
      <c r="J216" s="857"/>
      <c r="K216" s="857"/>
      <c r="L216" s="857"/>
      <c r="M216" s="857"/>
      <c r="N216" s="857"/>
      <c r="O216" s="857"/>
      <c r="P216" s="857"/>
      <c r="Q216" s="857"/>
      <c r="R216" s="857"/>
      <c r="S216" s="857"/>
      <c r="T216" s="857"/>
      <c r="U216" s="857"/>
      <c r="V216" s="857"/>
      <c r="W216" s="857"/>
      <c r="X216" s="857"/>
      <c r="Y216" s="857"/>
      <c r="Z216" s="857"/>
      <c r="AA216" s="857"/>
      <c r="AB216" s="857"/>
      <c r="AC216" s="857"/>
      <c r="AD216" s="857"/>
      <c r="AE216" s="857"/>
      <c r="AF216" s="857"/>
      <c r="AG216" s="857"/>
      <c r="AH216" s="857"/>
      <c r="AI216" s="857"/>
      <c r="AJ216" s="857"/>
      <c r="AK216" s="857"/>
      <c r="AL216" s="857"/>
      <c r="AM216" s="857"/>
      <c r="AN216" s="857"/>
      <c r="AO216" s="857"/>
      <c r="AP216" s="857"/>
      <c r="AQ216" s="857"/>
      <c r="AR216" s="857"/>
      <c r="AS216" s="857"/>
      <c r="AT216" s="855"/>
      <c r="AV216" s="857"/>
      <c r="AW216" s="857"/>
      <c r="AX216" s="857"/>
      <c r="AY216" s="857"/>
      <c r="AZ216" s="857"/>
      <c r="BA216" s="857"/>
      <c r="BB216" s="857"/>
      <c r="BC216" s="857"/>
      <c r="BD216" s="857"/>
      <c r="BE216" s="857"/>
      <c r="BF216" s="857"/>
      <c r="BG216" s="857"/>
    </row>
    <row r="217" spans="1:59" ht="15.75" customHeight="1">
      <c r="A217" s="857"/>
      <c r="B217" s="857"/>
      <c r="C217" s="857"/>
      <c r="D217" s="857"/>
      <c r="E217" s="857"/>
      <c r="F217" s="857"/>
      <c r="G217" s="857"/>
      <c r="H217" s="857"/>
      <c r="I217" s="857"/>
      <c r="J217" s="857"/>
      <c r="K217" s="857"/>
      <c r="L217" s="857"/>
      <c r="M217" s="857"/>
      <c r="N217" s="857"/>
      <c r="O217" s="857"/>
      <c r="P217" s="857"/>
      <c r="Q217" s="857"/>
      <c r="R217" s="857"/>
      <c r="S217" s="857"/>
      <c r="T217" s="857"/>
      <c r="U217" s="857"/>
      <c r="V217" s="857"/>
      <c r="W217" s="857"/>
      <c r="X217" s="857"/>
      <c r="Y217" s="857"/>
      <c r="Z217" s="857"/>
      <c r="AA217" s="857"/>
      <c r="AB217" s="857"/>
      <c r="AC217" s="857"/>
      <c r="AD217" s="857"/>
      <c r="AE217" s="857"/>
      <c r="AF217" s="857"/>
      <c r="AG217" s="857"/>
      <c r="AH217" s="857"/>
      <c r="AI217" s="857"/>
      <c r="AJ217" s="857"/>
      <c r="AK217" s="857"/>
      <c r="AL217" s="857"/>
      <c r="AM217" s="857"/>
      <c r="AN217" s="857"/>
      <c r="AO217" s="857"/>
      <c r="AP217" s="857"/>
      <c r="AQ217" s="857"/>
      <c r="AR217" s="857"/>
      <c r="AS217" s="857"/>
      <c r="AT217" s="855"/>
      <c r="AV217" s="857"/>
      <c r="AW217" s="857"/>
      <c r="AX217" s="857"/>
      <c r="AY217" s="857"/>
      <c r="AZ217" s="857"/>
      <c r="BA217" s="857"/>
      <c r="BB217" s="857"/>
      <c r="BC217" s="857"/>
      <c r="BD217" s="857"/>
      <c r="BE217" s="857"/>
      <c r="BF217" s="857"/>
      <c r="BG217" s="857"/>
    </row>
    <row r="218" spans="1:59" ht="15.75" customHeight="1">
      <c r="A218" s="857"/>
      <c r="B218" s="857"/>
      <c r="C218" s="857"/>
      <c r="D218" s="857"/>
      <c r="E218" s="857"/>
      <c r="F218" s="857"/>
      <c r="G218" s="857"/>
      <c r="H218" s="857"/>
      <c r="I218" s="857"/>
      <c r="J218" s="857"/>
      <c r="K218" s="857"/>
      <c r="L218" s="857"/>
      <c r="M218" s="857"/>
      <c r="N218" s="857"/>
      <c r="O218" s="857"/>
      <c r="P218" s="857"/>
      <c r="Q218" s="857"/>
      <c r="R218" s="857"/>
      <c r="S218" s="857"/>
      <c r="T218" s="857"/>
      <c r="U218" s="857"/>
      <c r="V218" s="857"/>
      <c r="W218" s="857"/>
      <c r="X218" s="857"/>
      <c r="Y218" s="857"/>
      <c r="Z218" s="857"/>
      <c r="AA218" s="857"/>
      <c r="AB218" s="857"/>
      <c r="AC218" s="857"/>
      <c r="AD218" s="857"/>
      <c r="AE218" s="857"/>
      <c r="AF218" s="857"/>
      <c r="AG218" s="857"/>
      <c r="AH218" s="857"/>
      <c r="AI218" s="857"/>
      <c r="AJ218" s="857"/>
      <c r="AK218" s="857"/>
      <c r="AL218" s="857"/>
      <c r="AM218" s="857"/>
      <c r="AN218" s="857"/>
      <c r="AO218" s="857"/>
      <c r="AP218" s="857"/>
      <c r="AQ218" s="857"/>
      <c r="AR218" s="857"/>
      <c r="AS218" s="857"/>
      <c r="AT218" s="855"/>
      <c r="AV218" s="857"/>
      <c r="AW218" s="857"/>
      <c r="AX218" s="857"/>
      <c r="AY218" s="857"/>
      <c r="AZ218" s="857"/>
      <c r="BA218" s="857"/>
      <c r="BB218" s="857"/>
      <c r="BC218" s="857"/>
      <c r="BD218" s="857"/>
      <c r="BE218" s="857"/>
      <c r="BF218" s="857"/>
      <c r="BG218" s="857"/>
    </row>
    <row r="219" spans="1:59" ht="15.75" customHeight="1">
      <c r="A219" s="857"/>
      <c r="B219" s="857"/>
      <c r="C219" s="857"/>
      <c r="D219" s="857"/>
      <c r="E219" s="857"/>
      <c r="F219" s="857"/>
      <c r="G219" s="857"/>
      <c r="H219" s="857"/>
      <c r="I219" s="857"/>
      <c r="J219" s="857"/>
      <c r="K219" s="857"/>
      <c r="L219" s="857"/>
      <c r="M219" s="857"/>
      <c r="N219" s="857"/>
      <c r="O219" s="857"/>
      <c r="P219" s="857"/>
      <c r="Q219" s="857"/>
      <c r="R219" s="857"/>
      <c r="S219" s="857"/>
      <c r="T219" s="857"/>
      <c r="U219" s="857"/>
      <c r="V219" s="857"/>
      <c r="W219" s="857"/>
      <c r="X219" s="857"/>
      <c r="Y219" s="857"/>
      <c r="Z219" s="857"/>
      <c r="AA219" s="857"/>
      <c r="AB219" s="857"/>
      <c r="AC219" s="857"/>
      <c r="AD219" s="857"/>
      <c r="AE219" s="857"/>
      <c r="AF219" s="857"/>
      <c r="AG219" s="857"/>
      <c r="AH219" s="857"/>
      <c r="AI219" s="857"/>
      <c r="AJ219" s="857"/>
      <c r="AK219" s="857"/>
      <c r="AL219" s="857"/>
      <c r="AM219" s="857"/>
      <c r="AN219" s="857"/>
      <c r="AO219" s="857"/>
      <c r="AP219" s="857"/>
      <c r="AQ219" s="857"/>
      <c r="AR219" s="857"/>
      <c r="AS219" s="857"/>
      <c r="AT219" s="855"/>
      <c r="AV219" s="857"/>
      <c r="AW219" s="857"/>
      <c r="AX219" s="857"/>
      <c r="AY219" s="857"/>
      <c r="AZ219" s="857"/>
      <c r="BA219" s="857"/>
      <c r="BB219" s="857"/>
      <c r="BC219" s="857"/>
      <c r="BD219" s="857"/>
      <c r="BE219" s="857"/>
      <c r="BF219" s="857"/>
      <c r="BG219" s="857"/>
    </row>
    <row r="220" spans="1:59" ht="15.75" customHeight="1">
      <c r="A220" s="857"/>
      <c r="B220" s="857"/>
      <c r="C220" s="857"/>
      <c r="D220" s="857"/>
      <c r="E220" s="857"/>
      <c r="F220" s="857"/>
      <c r="G220" s="857"/>
      <c r="H220" s="857"/>
      <c r="I220" s="857"/>
      <c r="J220" s="857"/>
      <c r="K220" s="857"/>
      <c r="L220" s="857"/>
      <c r="M220" s="857"/>
      <c r="N220" s="857"/>
      <c r="O220" s="857"/>
      <c r="P220" s="857"/>
      <c r="Q220" s="857"/>
      <c r="R220" s="857"/>
      <c r="S220" s="857"/>
      <c r="T220" s="857"/>
      <c r="U220" s="857"/>
      <c r="V220" s="857"/>
      <c r="W220" s="857"/>
      <c r="X220" s="857"/>
      <c r="Y220" s="857"/>
      <c r="Z220" s="857"/>
      <c r="AA220" s="857"/>
      <c r="AB220" s="857"/>
      <c r="AC220" s="857"/>
      <c r="AD220" s="857"/>
      <c r="AE220" s="857"/>
      <c r="AF220" s="857"/>
      <c r="AG220" s="857"/>
      <c r="AH220" s="857"/>
      <c r="AI220" s="857"/>
      <c r="AJ220" s="857"/>
      <c r="AK220" s="857"/>
      <c r="AL220" s="857"/>
      <c r="AM220" s="857"/>
      <c r="AN220" s="857"/>
      <c r="AO220" s="857"/>
      <c r="AP220" s="857"/>
      <c r="AQ220" s="857"/>
      <c r="AR220" s="857"/>
      <c r="AS220" s="857"/>
      <c r="AT220" s="855"/>
      <c r="AV220" s="857"/>
      <c r="AW220" s="857"/>
      <c r="AX220" s="857"/>
      <c r="AY220" s="857"/>
      <c r="AZ220" s="857"/>
      <c r="BA220" s="857"/>
      <c r="BB220" s="857"/>
      <c r="BC220" s="857"/>
      <c r="BD220" s="857"/>
      <c r="BE220" s="857"/>
      <c r="BF220" s="857"/>
      <c r="BG220" s="857"/>
    </row>
    <row r="221" spans="1:59" ht="15.75" customHeight="1">
      <c r="A221" s="857"/>
      <c r="B221" s="857"/>
      <c r="C221" s="857"/>
      <c r="D221" s="857"/>
      <c r="E221" s="857"/>
      <c r="F221" s="857"/>
      <c r="G221" s="857"/>
      <c r="H221" s="857"/>
      <c r="I221" s="857"/>
      <c r="J221" s="857"/>
      <c r="K221" s="857"/>
      <c r="L221" s="857"/>
      <c r="M221" s="857"/>
      <c r="N221" s="857"/>
      <c r="O221" s="857"/>
      <c r="P221" s="857"/>
      <c r="Q221" s="857"/>
      <c r="R221" s="857"/>
      <c r="S221" s="857"/>
      <c r="T221" s="857"/>
      <c r="U221" s="857"/>
      <c r="V221" s="857"/>
      <c r="W221" s="857"/>
      <c r="X221" s="857"/>
      <c r="Y221" s="857"/>
      <c r="Z221" s="857"/>
      <c r="AA221" s="857"/>
      <c r="AB221" s="857"/>
      <c r="AC221" s="857"/>
      <c r="AD221" s="857"/>
      <c r="AE221" s="857"/>
      <c r="AF221" s="857"/>
      <c r="AG221" s="857"/>
      <c r="AH221" s="857"/>
      <c r="AI221" s="857"/>
      <c r="AJ221" s="857"/>
      <c r="AK221" s="857"/>
      <c r="AL221" s="857"/>
      <c r="AM221" s="857"/>
      <c r="AN221" s="857"/>
      <c r="AO221" s="857"/>
      <c r="AP221" s="857"/>
      <c r="AQ221" s="857"/>
      <c r="AR221" s="857"/>
      <c r="AS221" s="857"/>
      <c r="AT221" s="855"/>
      <c r="AV221" s="857"/>
      <c r="AW221" s="857"/>
      <c r="AX221" s="857"/>
      <c r="AY221" s="857"/>
      <c r="AZ221" s="857"/>
      <c r="BA221" s="857"/>
      <c r="BB221" s="857"/>
      <c r="BC221" s="857"/>
      <c r="BD221" s="857"/>
      <c r="BE221" s="857"/>
      <c r="BF221" s="857"/>
      <c r="BG221" s="857"/>
    </row>
    <row r="222" spans="1:59" ht="15.75" customHeight="1">
      <c r="A222" s="857"/>
      <c r="B222" s="857"/>
      <c r="C222" s="857"/>
      <c r="D222" s="857"/>
      <c r="E222" s="857"/>
      <c r="F222" s="857"/>
      <c r="G222" s="857"/>
      <c r="H222" s="857"/>
      <c r="I222" s="857"/>
      <c r="J222" s="857"/>
      <c r="K222" s="857"/>
      <c r="L222" s="857"/>
      <c r="M222" s="857"/>
      <c r="N222" s="857"/>
      <c r="O222" s="857"/>
      <c r="P222" s="857"/>
      <c r="Q222" s="857"/>
      <c r="R222" s="857"/>
      <c r="S222" s="857"/>
      <c r="T222" s="857"/>
      <c r="U222" s="857"/>
      <c r="V222" s="857"/>
      <c r="W222" s="857"/>
      <c r="X222" s="857"/>
      <c r="Y222" s="857"/>
      <c r="Z222" s="857"/>
      <c r="AA222" s="857"/>
      <c r="AB222" s="857"/>
      <c r="AC222" s="857"/>
      <c r="AD222" s="857"/>
      <c r="AE222" s="857"/>
      <c r="AF222" s="857"/>
      <c r="AG222" s="857"/>
      <c r="AH222" s="857"/>
      <c r="AI222" s="857"/>
      <c r="AJ222" s="857"/>
      <c r="AK222" s="857"/>
      <c r="AL222" s="857"/>
      <c r="AM222" s="857"/>
      <c r="AN222" s="857"/>
      <c r="AO222" s="857"/>
      <c r="AP222" s="857"/>
      <c r="AQ222" s="857"/>
      <c r="AR222" s="857"/>
      <c r="AS222" s="857"/>
      <c r="AT222" s="855"/>
      <c r="AV222" s="857"/>
      <c r="AW222" s="857"/>
      <c r="AX222" s="857"/>
      <c r="AY222" s="857"/>
      <c r="AZ222" s="857"/>
      <c r="BA222" s="857"/>
      <c r="BB222" s="857"/>
      <c r="BC222" s="857"/>
      <c r="BD222" s="857"/>
      <c r="BE222" s="857"/>
      <c r="BF222" s="857"/>
      <c r="BG222" s="857"/>
    </row>
    <row r="223" spans="1:59" ht="15.75" customHeight="1">
      <c r="A223" s="857"/>
      <c r="B223" s="857"/>
      <c r="C223" s="857"/>
      <c r="D223" s="857"/>
      <c r="E223" s="857"/>
      <c r="F223" s="857"/>
      <c r="G223" s="857"/>
      <c r="H223" s="857"/>
      <c r="I223" s="857"/>
      <c r="J223" s="857"/>
      <c r="K223" s="857"/>
      <c r="L223" s="857"/>
      <c r="M223" s="857"/>
      <c r="N223" s="857"/>
      <c r="O223" s="857"/>
      <c r="P223" s="857"/>
      <c r="Q223" s="857"/>
      <c r="R223" s="857"/>
      <c r="S223" s="857"/>
      <c r="T223" s="857"/>
      <c r="U223" s="857"/>
      <c r="V223" s="857"/>
      <c r="W223" s="857"/>
      <c r="X223" s="857"/>
      <c r="Y223" s="857"/>
      <c r="Z223" s="857"/>
      <c r="AA223" s="857"/>
      <c r="AB223" s="857"/>
      <c r="AC223" s="857"/>
      <c r="AD223" s="857"/>
      <c r="AE223" s="857"/>
      <c r="AF223" s="857"/>
      <c r="AG223" s="857"/>
      <c r="AH223" s="857"/>
      <c r="AI223" s="857"/>
      <c r="AJ223" s="857"/>
      <c r="AK223" s="857"/>
      <c r="AL223" s="857"/>
      <c r="AM223" s="857"/>
      <c r="AN223" s="857"/>
      <c r="AO223" s="857"/>
      <c r="AP223" s="857"/>
      <c r="AQ223" s="857"/>
      <c r="AR223" s="857"/>
      <c r="AS223" s="857"/>
      <c r="AT223" s="855"/>
      <c r="AV223" s="857"/>
      <c r="AW223" s="857"/>
      <c r="AX223" s="857"/>
      <c r="AY223" s="857"/>
      <c r="AZ223" s="857"/>
      <c r="BA223" s="857"/>
      <c r="BB223" s="857"/>
      <c r="BC223" s="857"/>
      <c r="BD223" s="857"/>
      <c r="BE223" s="857"/>
      <c r="BF223" s="857"/>
      <c r="BG223" s="857"/>
    </row>
    <row r="224" spans="1:59" ht="15.75" customHeight="1">
      <c r="A224" s="857"/>
      <c r="B224" s="857"/>
      <c r="C224" s="857"/>
      <c r="D224" s="857"/>
      <c r="E224" s="857"/>
      <c r="F224" s="857"/>
      <c r="G224" s="857"/>
      <c r="H224" s="857"/>
      <c r="I224" s="857"/>
      <c r="J224" s="857"/>
      <c r="K224" s="857"/>
      <c r="L224" s="857"/>
      <c r="M224" s="857"/>
      <c r="N224" s="857"/>
      <c r="O224" s="857"/>
      <c r="P224" s="857"/>
      <c r="Q224" s="857"/>
      <c r="R224" s="857"/>
      <c r="S224" s="857"/>
      <c r="T224" s="857"/>
      <c r="U224" s="857"/>
      <c r="V224" s="857"/>
      <c r="W224" s="857"/>
      <c r="X224" s="857"/>
      <c r="Y224" s="857"/>
      <c r="Z224" s="857"/>
      <c r="AA224" s="857"/>
      <c r="AB224" s="857"/>
      <c r="AC224" s="857"/>
      <c r="AD224" s="857"/>
      <c r="AE224" s="857"/>
      <c r="AF224" s="857"/>
      <c r="AG224" s="857"/>
      <c r="AH224" s="857"/>
      <c r="AI224" s="857"/>
      <c r="AJ224" s="857"/>
      <c r="AK224" s="857"/>
      <c r="AL224" s="857"/>
      <c r="AM224" s="857"/>
      <c r="AN224" s="857"/>
      <c r="AO224" s="857"/>
      <c r="AP224" s="857"/>
      <c r="AQ224" s="857"/>
      <c r="AR224" s="857"/>
      <c r="AS224" s="857"/>
      <c r="AT224" s="855"/>
      <c r="AV224" s="857"/>
      <c r="AW224" s="857"/>
      <c r="AX224" s="857"/>
      <c r="AY224" s="857"/>
      <c r="AZ224" s="857"/>
      <c r="BA224" s="857"/>
      <c r="BB224" s="857"/>
      <c r="BC224" s="857"/>
      <c r="BD224" s="857"/>
      <c r="BE224" s="857"/>
      <c r="BF224" s="857"/>
      <c r="BG224" s="857"/>
    </row>
    <row r="225" spans="1:59" ht="15.75" customHeight="1">
      <c r="A225" s="857"/>
      <c r="B225" s="857"/>
      <c r="C225" s="857"/>
      <c r="D225" s="857"/>
      <c r="E225" s="857"/>
      <c r="F225" s="857"/>
      <c r="G225" s="857"/>
      <c r="H225" s="857"/>
      <c r="I225" s="857"/>
      <c r="J225" s="857"/>
      <c r="K225" s="857"/>
      <c r="L225" s="857"/>
      <c r="M225" s="857"/>
      <c r="N225" s="857"/>
      <c r="O225" s="857"/>
      <c r="P225" s="857"/>
      <c r="Q225" s="857"/>
      <c r="R225" s="857"/>
      <c r="S225" s="857"/>
      <c r="T225" s="857"/>
      <c r="U225" s="857"/>
      <c r="V225" s="857"/>
      <c r="W225" s="857"/>
      <c r="X225" s="857"/>
      <c r="Y225" s="857"/>
      <c r="Z225" s="857"/>
      <c r="AA225" s="857"/>
      <c r="AB225" s="857"/>
      <c r="AC225" s="857"/>
      <c r="AD225" s="857"/>
      <c r="AE225" s="857"/>
      <c r="AF225" s="857"/>
      <c r="AG225" s="857"/>
      <c r="AH225" s="857"/>
      <c r="AI225" s="857"/>
      <c r="AJ225" s="857"/>
      <c r="AK225" s="857"/>
      <c r="AL225" s="857"/>
      <c r="AM225" s="857"/>
      <c r="AN225" s="857"/>
      <c r="AO225" s="857"/>
      <c r="AP225" s="857"/>
      <c r="AQ225" s="857"/>
      <c r="AR225" s="857"/>
      <c r="AS225" s="857"/>
      <c r="AT225" s="855"/>
      <c r="AV225" s="857"/>
      <c r="AW225" s="857"/>
      <c r="AX225" s="857"/>
      <c r="AY225" s="857"/>
      <c r="AZ225" s="857"/>
      <c r="BA225" s="857"/>
      <c r="BB225" s="857"/>
      <c r="BC225" s="857"/>
      <c r="BD225" s="857"/>
      <c r="BE225" s="857"/>
      <c r="BF225" s="857"/>
      <c r="BG225" s="857"/>
    </row>
    <row r="226" spans="1:59" ht="15.75" customHeight="1">
      <c r="A226" s="857"/>
      <c r="B226" s="857"/>
      <c r="C226" s="857"/>
      <c r="D226" s="857"/>
      <c r="E226" s="857"/>
      <c r="F226" s="857"/>
      <c r="G226" s="857"/>
      <c r="H226" s="857"/>
      <c r="I226" s="857"/>
      <c r="J226" s="857"/>
      <c r="K226" s="857"/>
      <c r="L226" s="857"/>
      <c r="M226" s="857"/>
      <c r="N226" s="857"/>
      <c r="O226" s="857"/>
      <c r="P226" s="857"/>
      <c r="Q226" s="857"/>
      <c r="R226" s="857"/>
      <c r="S226" s="857"/>
      <c r="T226" s="857"/>
      <c r="U226" s="857"/>
      <c r="V226" s="857"/>
      <c r="W226" s="857"/>
      <c r="X226" s="857"/>
      <c r="Y226" s="857"/>
      <c r="Z226" s="857"/>
      <c r="AA226" s="857"/>
      <c r="AB226" s="857"/>
      <c r="AC226" s="857"/>
      <c r="AD226" s="857"/>
      <c r="AE226" s="857"/>
      <c r="AF226" s="857"/>
      <c r="AG226" s="857"/>
      <c r="AH226" s="857"/>
      <c r="AI226" s="857"/>
      <c r="AJ226" s="857"/>
      <c r="AK226" s="857"/>
      <c r="AL226" s="857"/>
      <c r="AM226" s="857"/>
      <c r="AN226" s="857"/>
      <c r="AO226" s="857"/>
      <c r="AP226" s="857"/>
      <c r="AQ226" s="857"/>
      <c r="AR226" s="857"/>
      <c r="AS226" s="857"/>
      <c r="AT226" s="855"/>
      <c r="AV226" s="857"/>
      <c r="AW226" s="857"/>
      <c r="AX226" s="857"/>
      <c r="AY226" s="857"/>
      <c r="AZ226" s="857"/>
      <c r="BA226" s="857"/>
      <c r="BB226" s="857"/>
      <c r="BC226" s="857"/>
      <c r="BD226" s="857"/>
      <c r="BE226" s="857"/>
      <c r="BF226" s="857"/>
      <c r="BG226" s="857"/>
    </row>
    <row r="227" spans="1:59" ht="15.75" customHeight="1">
      <c r="A227" s="857"/>
      <c r="B227" s="857"/>
      <c r="C227" s="857"/>
      <c r="D227" s="857"/>
      <c r="E227" s="857"/>
      <c r="F227" s="857"/>
      <c r="G227" s="857"/>
      <c r="H227" s="857"/>
      <c r="I227" s="857"/>
      <c r="J227" s="857"/>
      <c r="K227" s="857"/>
      <c r="L227" s="857"/>
      <c r="M227" s="857"/>
      <c r="N227" s="857"/>
      <c r="O227" s="857"/>
      <c r="P227" s="857"/>
      <c r="Q227" s="857"/>
      <c r="R227" s="857"/>
      <c r="S227" s="857"/>
      <c r="T227" s="857"/>
      <c r="U227" s="857"/>
      <c r="V227" s="857"/>
      <c r="W227" s="857"/>
      <c r="X227" s="857"/>
      <c r="Y227" s="857"/>
      <c r="Z227" s="857"/>
      <c r="AA227" s="857"/>
      <c r="AB227" s="857"/>
      <c r="AC227" s="857"/>
      <c r="AD227" s="857"/>
      <c r="AE227" s="857"/>
      <c r="AF227" s="857"/>
      <c r="AG227" s="857"/>
      <c r="AH227" s="857"/>
      <c r="AI227" s="857"/>
      <c r="AJ227" s="857"/>
      <c r="AK227" s="857"/>
      <c r="AL227" s="857"/>
      <c r="AM227" s="857"/>
      <c r="AN227" s="857"/>
      <c r="AO227" s="857"/>
      <c r="AP227" s="857"/>
      <c r="AQ227" s="857"/>
      <c r="AR227" s="857"/>
      <c r="AS227" s="857"/>
      <c r="AT227" s="855"/>
      <c r="AV227" s="857"/>
      <c r="AW227" s="857"/>
      <c r="AX227" s="857"/>
      <c r="AY227" s="857"/>
      <c r="AZ227" s="857"/>
      <c r="BA227" s="857"/>
      <c r="BB227" s="857"/>
      <c r="BC227" s="857"/>
      <c r="BD227" s="857"/>
      <c r="BE227" s="857"/>
      <c r="BF227" s="857"/>
      <c r="BG227" s="857"/>
    </row>
    <row r="228" spans="1:59" ht="15.75" customHeight="1">
      <c r="A228" s="857"/>
      <c r="B228" s="857"/>
      <c r="C228" s="857"/>
      <c r="D228" s="857"/>
      <c r="E228" s="857"/>
      <c r="F228" s="857"/>
      <c r="G228" s="857"/>
      <c r="H228" s="857"/>
      <c r="I228" s="857"/>
      <c r="J228" s="857"/>
      <c r="K228" s="857"/>
      <c r="L228" s="857"/>
      <c r="M228" s="857"/>
      <c r="N228" s="857"/>
      <c r="O228" s="857"/>
      <c r="P228" s="857"/>
      <c r="Q228" s="857"/>
      <c r="R228" s="857"/>
      <c r="S228" s="857"/>
      <c r="T228" s="857"/>
      <c r="U228" s="857"/>
      <c r="V228" s="857"/>
      <c r="W228" s="857"/>
      <c r="X228" s="857"/>
      <c r="Y228" s="857"/>
      <c r="Z228" s="857"/>
      <c r="AA228" s="857"/>
      <c r="AB228" s="857"/>
      <c r="AC228" s="857"/>
      <c r="AD228" s="857"/>
      <c r="AE228" s="857"/>
      <c r="AF228" s="857"/>
      <c r="AG228" s="857"/>
      <c r="AH228" s="857"/>
      <c r="AI228" s="857"/>
      <c r="AJ228" s="857"/>
      <c r="AK228" s="857"/>
      <c r="AL228" s="857"/>
      <c r="AM228" s="857"/>
      <c r="AN228" s="857"/>
      <c r="AO228" s="857"/>
      <c r="AP228" s="857"/>
      <c r="AQ228" s="857"/>
      <c r="AR228" s="857"/>
      <c r="AS228" s="857"/>
      <c r="AT228" s="855"/>
      <c r="AV228" s="857"/>
      <c r="AW228" s="857"/>
      <c r="AX228" s="857"/>
      <c r="AY228" s="857"/>
      <c r="AZ228" s="857"/>
      <c r="BA228" s="857"/>
      <c r="BB228" s="857"/>
      <c r="BC228" s="857"/>
      <c r="BD228" s="857"/>
      <c r="BE228" s="857"/>
      <c r="BF228" s="857"/>
      <c r="BG228" s="857"/>
    </row>
    <row r="229" spans="1:59" ht="15.75" customHeight="1">
      <c r="A229" s="857"/>
      <c r="B229" s="857"/>
      <c r="C229" s="857"/>
      <c r="D229" s="857"/>
      <c r="E229" s="857"/>
      <c r="F229" s="857"/>
      <c r="G229" s="857"/>
      <c r="H229" s="857"/>
      <c r="I229" s="857"/>
      <c r="J229" s="857"/>
      <c r="K229" s="857"/>
      <c r="L229" s="857"/>
      <c r="M229" s="857"/>
      <c r="N229" s="857"/>
      <c r="O229" s="857"/>
      <c r="P229" s="857"/>
      <c r="Q229" s="857"/>
      <c r="R229" s="857"/>
      <c r="S229" s="857"/>
      <c r="T229" s="857"/>
      <c r="U229" s="857"/>
      <c r="V229" s="857"/>
      <c r="W229" s="857"/>
      <c r="X229" s="857"/>
      <c r="Y229" s="857"/>
      <c r="Z229" s="857"/>
      <c r="AA229" s="857"/>
      <c r="AB229" s="857"/>
      <c r="AC229" s="857"/>
      <c r="AD229" s="857"/>
      <c r="AE229" s="857"/>
      <c r="AF229" s="857"/>
      <c r="AG229" s="857"/>
      <c r="AH229" s="857"/>
      <c r="AI229" s="857"/>
      <c r="AJ229" s="857"/>
      <c r="AK229" s="857"/>
      <c r="AL229" s="857"/>
      <c r="AM229" s="857"/>
      <c r="AN229" s="857"/>
      <c r="AO229" s="857"/>
      <c r="AP229" s="857"/>
      <c r="AQ229" s="857"/>
      <c r="AR229" s="857"/>
      <c r="AS229" s="857"/>
      <c r="AT229" s="855"/>
      <c r="AV229" s="857"/>
      <c r="AW229" s="857"/>
      <c r="AX229" s="857"/>
      <c r="AY229" s="857"/>
      <c r="AZ229" s="857"/>
      <c r="BA229" s="857"/>
      <c r="BB229" s="857"/>
      <c r="BC229" s="857"/>
      <c r="BD229" s="857"/>
      <c r="BE229" s="857"/>
      <c r="BF229" s="857"/>
      <c r="BG229" s="857"/>
    </row>
    <row r="230" spans="1:59" ht="15.75" customHeight="1">
      <c r="A230" s="857"/>
      <c r="B230" s="857"/>
      <c r="C230" s="857"/>
      <c r="D230" s="857"/>
      <c r="E230" s="857"/>
      <c r="F230" s="857"/>
      <c r="G230" s="857"/>
      <c r="H230" s="857"/>
      <c r="I230" s="857"/>
      <c r="J230" s="857"/>
      <c r="K230" s="857"/>
      <c r="L230" s="857"/>
      <c r="M230" s="857"/>
      <c r="N230" s="857"/>
      <c r="O230" s="857"/>
      <c r="P230" s="857"/>
      <c r="Q230" s="857"/>
      <c r="R230" s="857"/>
      <c r="S230" s="857"/>
      <c r="T230" s="857"/>
      <c r="U230" s="857"/>
      <c r="V230" s="857"/>
      <c r="W230" s="857"/>
      <c r="X230" s="857"/>
      <c r="Y230" s="857"/>
      <c r="Z230" s="857"/>
      <c r="AA230" s="857"/>
      <c r="AB230" s="857"/>
      <c r="AC230" s="857"/>
      <c r="AD230" s="857"/>
      <c r="AE230" s="857"/>
      <c r="AF230" s="857"/>
      <c r="AG230" s="857"/>
      <c r="AH230" s="857"/>
      <c r="AI230" s="857"/>
      <c r="AJ230" s="857"/>
      <c r="AK230" s="857"/>
      <c r="AL230" s="857"/>
      <c r="AM230" s="857"/>
      <c r="AN230" s="857"/>
      <c r="AO230" s="857"/>
      <c r="AP230" s="857"/>
      <c r="AQ230" s="857"/>
      <c r="AR230" s="857"/>
      <c r="AS230" s="857"/>
      <c r="AT230" s="855"/>
      <c r="AV230" s="857"/>
      <c r="AW230" s="857"/>
      <c r="AX230" s="857"/>
      <c r="AY230" s="857"/>
      <c r="AZ230" s="857"/>
      <c r="BA230" s="857"/>
      <c r="BB230" s="857"/>
      <c r="BC230" s="857"/>
      <c r="BD230" s="857"/>
      <c r="BE230" s="857"/>
      <c r="BF230" s="857"/>
      <c r="BG230" s="857"/>
    </row>
    <row r="231" spans="1:59" ht="15.75" customHeight="1">
      <c r="A231" s="857"/>
      <c r="B231" s="857"/>
      <c r="C231" s="857"/>
      <c r="D231" s="857"/>
      <c r="E231" s="857"/>
      <c r="F231" s="857"/>
      <c r="G231" s="857"/>
      <c r="H231" s="857"/>
      <c r="I231" s="857"/>
      <c r="J231" s="857"/>
      <c r="K231" s="857"/>
      <c r="L231" s="857"/>
      <c r="M231" s="857"/>
      <c r="N231" s="857"/>
      <c r="O231" s="857"/>
      <c r="P231" s="857"/>
      <c r="Q231" s="857"/>
      <c r="R231" s="857"/>
      <c r="S231" s="857"/>
      <c r="T231" s="857"/>
      <c r="U231" s="857"/>
      <c r="V231" s="857"/>
      <c r="W231" s="857"/>
      <c r="X231" s="857"/>
      <c r="Y231" s="857"/>
      <c r="Z231" s="857"/>
      <c r="AA231" s="857"/>
      <c r="AB231" s="857"/>
      <c r="AC231" s="857"/>
      <c r="AD231" s="857"/>
      <c r="AE231" s="857"/>
      <c r="AF231" s="857"/>
      <c r="AG231" s="857"/>
      <c r="AH231" s="857"/>
      <c r="AI231" s="857"/>
      <c r="AJ231" s="857"/>
      <c r="AK231" s="857"/>
      <c r="AL231" s="857"/>
      <c r="AM231" s="857"/>
      <c r="AN231" s="857"/>
      <c r="AO231" s="857"/>
      <c r="AP231" s="857"/>
      <c r="AQ231" s="857"/>
      <c r="AR231" s="857"/>
      <c r="AS231" s="857"/>
      <c r="AT231" s="855"/>
      <c r="AV231" s="857"/>
      <c r="AW231" s="857"/>
      <c r="AX231" s="857"/>
      <c r="AY231" s="857"/>
      <c r="AZ231" s="857"/>
      <c r="BA231" s="857"/>
      <c r="BB231" s="857"/>
      <c r="BC231" s="857"/>
      <c r="BD231" s="857"/>
      <c r="BE231" s="857"/>
      <c r="BF231" s="857"/>
      <c r="BG231" s="857"/>
    </row>
    <row r="232" spans="1:59" ht="15.75" customHeight="1">
      <c r="A232" s="857"/>
      <c r="B232" s="857"/>
      <c r="C232" s="857"/>
      <c r="D232" s="857"/>
      <c r="E232" s="857"/>
      <c r="F232" s="857"/>
      <c r="G232" s="857"/>
      <c r="H232" s="857"/>
      <c r="I232" s="857"/>
      <c r="J232" s="857"/>
      <c r="K232" s="857"/>
      <c r="L232" s="857"/>
      <c r="M232" s="857"/>
      <c r="N232" s="857"/>
      <c r="O232" s="857"/>
      <c r="P232" s="857"/>
      <c r="Q232" s="857"/>
      <c r="R232" s="857"/>
      <c r="S232" s="857"/>
      <c r="T232" s="857"/>
      <c r="U232" s="857"/>
      <c r="V232" s="857"/>
      <c r="W232" s="857"/>
      <c r="X232" s="857"/>
      <c r="Y232" s="857"/>
      <c r="Z232" s="857"/>
      <c r="AA232" s="857"/>
      <c r="AB232" s="857"/>
      <c r="AC232" s="857"/>
      <c r="AD232" s="857"/>
      <c r="AE232" s="857"/>
      <c r="AF232" s="857"/>
      <c r="AG232" s="857"/>
      <c r="AH232" s="857"/>
      <c r="AI232" s="857"/>
      <c r="AJ232" s="857"/>
      <c r="AK232" s="857"/>
      <c r="AL232" s="857"/>
      <c r="AM232" s="857"/>
      <c r="AN232" s="857"/>
      <c r="AO232" s="857"/>
      <c r="AP232" s="857"/>
      <c r="AQ232" s="857"/>
      <c r="AR232" s="857"/>
      <c r="AS232" s="857"/>
      <c r="AT232" s="855"/>
      <c r="AV232" s="857"/>
      <c r="AW232" s="857"/>
      <c r="AX232" s="857"/>
      <c r="AY232" s="857"/>
      <c r="AZ232" s="857"/>
      <c r="BA232" s="857"/>
      <c r="BB232" s="857"/>
      <c r="BC232" s="857"/>
      <c r="BD232" s="857"/>
      <c r="BE232" s="857"/>
      <c r="BF232" s="857"/>
      <c r="BG232" s="857"/>
    </row>
    <row r="233" spans="1:59" ht="15.75" customHeight="1">
      <c r="A233" s="857"/>
      <c r="B233" s="857"/>
      <c r="C233" s="857"/>
      <c r="D233" s="857"/>
      <c r="E233" s="857"/>
      <c r="F233" s="857"/>
      <c r="G233" s="857"/>
      <c r="H233" s="857"/>
      <c r="I233" s="857"/>
      <c r="J233" s="857"/>
      <c r="K233" s="857"/>
      <c r="L233" s="857"/>
      <c r="M233" s="857"/>
      <c r="N233" s="857"/>
      <c r="O233" s="857"/>
      <c r="P233" s="857"/>
      <c r="Q233" s="857"/>
      <c r="R233" s="857"/>
      <c r="S233" s="857"/>
      <c r="T233" s="857"/>
      <c r="U233" s="857"/>
      <c r="V233" s="857"/>
      <c r="W233" s="857"/>
      <c r="X233" s="857"/>
      <c r="Y233" s="857"/>
      <c r="Z233" s="857"/>
      <c r="AA233" s="857"/>
      <c r="AB233" s="857"/>
      <c r="AC233" s="857"/>
      <c r="AD233" s="857"/>
      <c r="AE233" s="857"/>
      <c r="AF233" s="857"/>
      <c r="AG233" s="857"/>
      <c r="AH233" s="857"/>
      <c r="AI233" s="857"/>
      <c r="AJ233" s="857"/>
      <c r="AK233" s="857"/>
      <c r="AL233" s="857"/>
      <c r="AM233" s="857"/>
      <c r="AN233" s="857"/>
      <c r="AO233" s="857"/>
      <c r="AP233" s="857"/>
      <c r="AQ233" s="857"/>
      <c r="AR233" s="857"/>
      <c r="AS233" s="857"/>
      <c r="AT233" s="855"/>
      <c r="AV233" s="857"/>
      <c r="AW233" s="857"/>
      <c r="AX233" s="857"/>
      <c r="AY233" s="857"/>
      <c r="AZ233" s="857"/>
      <c r="BA233" s="857"/>
      <c r="BB233" s="857"/>
      <c r="BC233" s="857"/>
      <c r="BD233" s="857"/>
      <c r="BE233" s="857"/>
      <c r="BF233" s="857"/>
      <c r="BG233" s="857"/>
    </row>
    <row r="234" spans="1:59" ht="15.75" customHeight="1">
      <c r="A234" s="857"/>
      <c r="B234" s="857"/>
      <c r="C234" s="857"/>
      <c r="D234" s="857"/>
      <c r="E234" s="857"/>
      <c r="F234" s="857"/>
      <c r="G234" s="857"/>
      <c r="H234" s="857"/>
      <c r="I234" s="857"/>
      <c r="J234" s="857"/>
      <c r="K234" s="857"/>
      <c r="L234" s="857"/>
      <c r="M234" s="857"/>
      <c r="N234" s="857"/>
      <c r="O234" s="857"/>
      <c r="P234" s="857"/>
      <c r="Q234" s="857"/>
      <c r="R234" s="857"/>
      <c r="S234" s="857"/>
      <c r="T234" s="857"/>
      <c r="U234" s="857"/>
      <c r="V234" s="857"/>
      <c r="W234" s="857"/>
      <c r="X234" s="857"/>
      <c r="Y234" s="857"/>
      <c r="Z234" s="857"/>
      <c r="AA234" s="857"/>
      <c r="AB234" s="857"/>
      <c r="AC234" s="857"/>
      <c r="AD234" s="857"/>
      <c r="AE234" s="857"/>
      <c r="AF234" s="857"/>
      <c r="AG234" s="857"/>
      <c r="AH234" s="857"/>
      <c r="AI234" s="857"/>
      <c r="AJ234" s="857"/>
      <c r="AK234" s="857"/>
      <c r="AL234" s="857"/>
      <c r="AM234" s="857"/>
      <c r="AN234" s="857"/>
      <c r="AO234" s="857"/>
      <c r="AP234" s="857"/>
      <c r="AQ234" s="857"/>
      <c r="AR234" s="857"/>
      <c r="AS234" s="857"/>
      <c r="AT234" s="855"/>
      <c r="AV234" s="857"/>
      <c r="AW234" s="857"/>
      <c r="AX234" s="857"/>
      <c r="AY234" s="857"/>
      <c r="AZ234" s="857"/>
      <c r="BA234" s="857"/>
      <c r="BB234" s="857"/>
      <c r="BC234" s="857"/>
      <c r="BD234" s="857"/>
      <c r="BE234" s="857"/>
      <c r="BF234" s="857"/>
      <c r="BG234" s="857"/>
    </row>
    <row r="235" spans="1:59" ht="15.75" customHeight="1">
      <c r="A235" s="857"/>
      <c r="B235" s="857"/>
      <c r="C235" s="857"/>
      <c r="D235" s="857"/>
      <c r="E235" s="857"/>
      <c r="F235" s="857"/>
      <c r="G235" s="857"/>
      <c r="H235" s="857"/>
      <c r="I235" s="857"/>
      <c r="J235" s="857"/>
      <c r="K235" s="857"/>
      <c r="L235" s="857"/>
      <c r="M235" s="857"/>
      <c r="N235" s="857"/>
      <c r="O235" s="857"/>
      <c r="P235" s="857"/>
      <c r="Q235" s="857"/>
      <c r="R235" s="857"/>
      <c r="S235" s="857"/>
      <c r="T235" s="857"/>
      <c r="U235" s="857"/>
      <c r="V235" s="857"/>
      <c r="W235" s="857"/>
      <c r="X235" s="857"/>
      <c r="Y235" s="857"/>
      <c r="Z235" s="857"/>
      <c r="AA235" s="857"/>
      <c r="AB235" s="857"/>
      <c r="AC235" s="857"/>
      <c r="AD235" s="857"/>
      <c r="AE235" s="857"/>
      <c r="AF235" s="857"/>
      <c r="AG235" s="857"/>
      <c r="AH235" s="857"/>
      <c r="AI235" s="857"/>
      <c r="AJ235" s="857"/>
      <c r="AK235" s="857"/>
      <c r="AL235" s="857"/>
      <c r="AM235" s="857"/>
      <c r="AN235" s="857"/>
      <c r="AO235" s="857"/>
      <c r="AP235" s="857"/>
      <c r="AQ235" s="857"/>
      <c r="AR235" s="857"/>
      <c r="AS235" s="857"/>
      <c r="AT235" s="855"/>
      <c r="AV235" s="857"/>
      <c r="AW235" s="857"/>
      <c r="AX235" s="857"/>
      <c r="AY235" s="857"/>
      <c r="AZ235" s="857"/>
      <c r="BA235" s="857"/>
      <c r="BB235" s="857"/>
      <c r="BC235" s="857"/>
      <c r="BD235" s="857"/>
      <c r="BE235" s="857"/>
      <c r="BF235" s="857"/>
      <c r="BG235" s="857"/>
    </row>
    <row r="236" spans="1:59" ht="15.75" customHeight="1">
      <c r="A236" s="857"/>
      <c r="B236" s="857"/>
      <c r="C236" s="857"/>
      <c r="D236" s="857"/>
      <c r="E236" s="857"/>
      <c r="F236" s="857"/>
      <c r="G236" s="857"/>
      <c r="H236" s="857"/>
      <c r="I236" s="857"/>
      <c r="J236" s="857"/>
      <c r="K236" s="857"/>
      <c r="L236" s="857"/>
      <c r="M236" s="857"/>
      <c r="N236" s="857"/>
      <c r="O236" s="857"/>
      <c r="P236" s="857"/>
      <c r="Q236" s="857"/>
      <c r="R236" s="857"/>
      <c r="S236" s="857"/>
      <c r="T236" s="857"/>
      <c r="U236" s="857"/>
      <c r="V236" s="857"/>
      <c r="W236" s="857"/>
      <c r="X236" s="857"/>
      <c r="Y236" s="857"/>
      <c r="Z236" s="857"/>
      <c r="AA236" s="857"/>
      <c r="AB236" s="857"/>
      <c r="AC236" s="857"/>
      <c r="AD236" s="857"/>
      <c r="AE236" s="857"/>
      <c r="AF236" s="857"/>
      <c r="AG236" s="857"/>
      <c r="AH236" s="857"/>
      <c r="AI236" s="857"/>
      <c r="AJ236" s="857"/>
      <c r="AK236" s="857"/>
      <c r="AL236" s="857"/>
      <c r="AM236" s="857"/>
      <c r="AN236" s="857"/>
      <c r="AO236" s="857"/>
      <c r="AP236" s="857"/>
      <c r="AQ236" s="857"/>
      <c r="AR236" s="857"/>
      <c r="AS236" s="857"/>
      <c r="AT236" s="855"/>
      <c r="AV236" s="857"/>
      <c r="AW236" s="857"/>
      <c r="AX236" s="857"/>
      <c r="AY236" s="857"/>
      <c r="AZ236" s="857"/>
      <c r="BA236" s="857"/>
      <c r="BB236" s="857"/>
      <c r="BC236" s="857"/>
      <c r="BD236" s="857"/>
      <c r="BE236" s="857"/>
      <c r="BF236" s="857"/>
      <c r="BG236" s="857"/>
    </row>
    <row r="237" spans="1:59" ht="15.75" customHeight="1">
      <c r="A237" s="857"/>
      <c r="B237" s="857"/>
      <c r="C237" s="857"/>
      <c r="D237" s="857"/>
      <c r="E237" s="857"/>
      <c r="F237" s="857"/>
      <c r="G237" s="857"/>
      <c r="H237" s="857"/>
      <c r="I237" s="857"/>
      <c r="J237" s="857"/>
      <c r="K237" s="857"/>
      <c r="L237" s="857"/>
      <c r="M237" s="857"/>
      <c r="N237" s="857"/>
      <c r="O237" s="857"/>
      <c r="P237" s="857"/>
      <c r="Q237" s="857"/>
      <c r="R237" s="857"/>
      <c r="S237" s="857"/>
      <c r="T237" s="857"/>
      <c r="U237" s="857"/>
      <c r="V237" s="857"/>
      <c r="W237" s="857"/>
      <c r="X237" s="857"/>
      <c r="Y237" s="857"/>
      <c r="Z237" s="857"/>
      <c r="AA237" s="857"/>
      <c r="AB237" s="857"/>
      <c r="AC237" s="857"/>
      <c r="AD237" s="857"/>
      <c r="AE237" s="857"/>
      <c r="AF237" s="857"/>
      <c r="AG237" s="857"/>
      <c r="AH237" s="857"/>
      <c r="AI237" s="857"/>
      <c r="AJ237" s="857"/>
      <c r="AK237" s="857"/>
      <c r="AL237" s="857"/>
      <c r="AM237" s="857"/>
      <c r="AN237" s="857"/>
      <c r="AO237" s="857"/>
      <c r="AP237" s="857"/>
      <c r="AQ237" s="857"/>
      <c r="AR237" s="857"/>
      <c r="AS237" s="857"/>
      <c r="AT237" s="855"/>
      <c r="AV237" s="857"/>
      <c r="AW237" s="857"/>
      <c r="AX237" s="857"/>
      <c r="AY237" s="857"/>
      <c r="AZ237" s="857"/>
      <c r="BA237" s="857"/>
      <c r="BB237" s="857"/>
      <c r="BC237" s="857"/>
      <c r="BD237" s="857"/>
      <c r="BE237" s="857"/>
      <c r="BF237" s="857"/>
      <c r="BG237" s="857"/>
    </row>
    <row r="238" spans="1:59" ht="15.75" customHeight="1">
      <c r="A238" s="857"/>
      <c r="B238" s="857"/>
      <c r="C238" s="857"/>
      <c r="D238" s="857"/>
      <c r="E238" s="857"/>
      <c r="F238" s="857"/>
      <c r="G238" s="857"/>
      <c r="H238" s="857"/>
      <c r="I238" s="857"/>
      <c r="J238" s="857"/>
      <c r="K238" s="857"/>
      <c r="L238" s="857"/>
      <c r="M238" s="857"/>
      <c r="N238" s="857"/>
      <c r="O238" s="857"/>
      <c r="P238" s="857"/>
      <c r="Q238" s="857"/>
      <c r="R238" s="857"/>
      <c r="S238" s="857"/>
      <c r="T238" s="857"/>
      <c r="U238" s="857"/>
      <c r="V238" s="857"/>
      <c r="W238" s="857"/>
      <c r="X238" s="857"/>
      <c r="Y238" s="857"/>
      <c r="Z238" s="857"/>
      <c r="AA238" s="857"/>
      <c r="AB238" s="857"/>
      <c r="AC238" s="857"/>
      <c r="AD238" s="857"/>
      <c r="AE238" s="857"/>
      <c r="AF238" s="857"/>
      <c r="AG238" s="857"/>
      <c r="AH238" s="857"/>
      <c r="AI238" s="857"/>
      <c r="AJ238" s="857"/>
      <c r="AK238" s="857"/>
      <c r="AL238" s="857"/>
      <c r="AM238" s="857"/>
      <c r="AN238" s="857"/>
      <c r="AO238" s="857"/>
      <c r="AP238" s="857"/>
      <c r="AQ238" s="857"/>
      <c r="AR238" s="857"/>
      <c r="AS238" s="857"/>
      <c r="AT238" s="855"/>
      <c r="AV238" s="857"/>
      <c r="AW238" s="857"/>
      <c r="AX238" s="857"/>
      <c r="AY238" s="857"/>
      <c r="AZ238" s="857"/>
      <c r="BA238" s="857"/>
      <c r="BB238" s="857"/>
      <c r="BC238" s="857"/>
      <c r="BD238" s="857"/>
      <c r="BE238" s="857"/>
      <c r="BF238" s="857"/>
      <c r="BG238" s="857"/>
    </row>
    <row r="239" spans="1:59" ht="15.75" customHeight="1">
      <c r="A239" s="857"/>
      <c r="B239" s="857"/>
      <c r="C239" s="857"/>
      <c r="D239" s="857"/>
      <c r="E239" s="857"/>
      <c r="F239" s="857"/>
      <c r="G239" s="857"/>
      <c r="H239" s="857"/>
      <c r="I239" s="857"/>
      <c r="J239" s="857"/>
      <c r="K239" s="857"/>
      <c r="L239" s="857"/>
      <c r="M239" s="857"/>
      <c r="N239" s="857"/>
      <c r="O239" s="857"/>
      <c r="P239" s="857"/>
      <c r="Q239" s="857"/>
      <c r="R239" s="857"/>
      <c r="S239" s="857"/>
      <c r="T239" s="857"/>
      <c r="U239" s="857"/>
      <c r="V239" s="857"/>
      <c r="W239" s="857"/>
      <c r="X239" s="857"/>
      <c r="Y239" s="857"/>
      <c r="Z239" s="857"/>
      <c r="AA239" s="857"/>
      <c r="AB239" s="857"/>
      <c r="AC239" s="857"/>
      <c r="AD239" s="857"/>
      <c r="AE239" s="857"/>
      <c r="AF239" s="857"/>
      <c r="AG239" s="857"/>
      <c r="AH239" s="857"/>
      <c r="AI239" s="857"/>
      <c r="AJ239" s="857"/>
      <c r="AK239" s="857"/>
      <c r="AL239" s="857"/>
      <c r="AM239" s="857"/>
      <c r="AN239" s="857"/>
      <c r="AO239" s="857"/>
      <c r="AP239" s="857"/>
      <c r="AQ239" s="857"/>
      <c r="AR239" s="857"/>
      <c r="AS239" s="857"/>
      <c r="AT239" s="855"/>
      <c r="AV239" s="857"/>
      <c r="AW239" s="857"/>
      <c r="AX239" s="857"/>
      <c r="AY239" s="857"/>
      <c r="AZ239" s="857"/>
      <c r="BA239" s="857"/>
      <c r="BB239" s="857"/>
      <c r="BC239" s="857"/>
      <c r="BD239" s="857"/>
      <c r="BE239" s="857"/>
      <c r="BF239" s="857"/>
      <c r="BG239" s="857"/>
    </row>
    <row r="240" spans="1:59" ht="15.75" customHeight="1">
      <c r="A240" s="857"/>
      <c r="B240" s="857"/>
      <c r="C240" s="857"/>
      <c r="D240" s="857"/>
      <c r="E240" s="857"/>
      <c r="F240" s="857"/>
      <c r="G240" s="857"/>
      <c r="H240" s="857"/>
      <c r="I240" s="857"/>
      <c r="J240" s="857"/>
      <c r="K240" s="857"/>
      <c r="L240" s="857"/>
      <c r="M240" s="857"/>
      <c r="N240" s="857"/>
      <c r="O240" s="857"/>
      <c r="P240" s="857"/>
      <c r="Q240" s="857"/>
      <c r="R240" s="857"/>
      <c r="S240" s="857"/>
      <c r="T240" s="857"/>
      <c r="U240" s="857"/>
      <c r="V240" s="857"/>
      <c r="W240" s="857"/>
      <c r="X240" s="857"/>
      <c r="Y240" s="857"/>
      <c r="Z240" s="857"/>
      <c r="AA240" s="857"/>
      <c r="AB240" s="857"/>
      <c r="AC240" s="857"/>
      <c r="AD240" s="857"/>
      <c r="AE240" s="857"/>
      <c r="AF240" s="857"/>
      <c r="AG240" s="857"/>
      <c r="AH240" s="857"/>
      <c r="AI240" s="857"/>
      <c r="AJ240" s="857"/>
      <c r="AK240" s="857"/>
      <c r="AL240" s="857"/>
      <c r="AM240" s="857"/>
      <c r="AN240" s="857"/>
      <c r="AO240" s="857"/>
      <c r="AP240" s="857"/>
      <c r="AQ240" s="857"/>
      <c r="AR240" s="857"/>
      <c r="AS240" s="857"/>
      <c r="AT240" s="855"/>
      <c r="AV240" s="857"/>
      <c r="AW240" s="857"/>
      <c r="AX240" s="857"/>
      <c r="AY240" s="857"/>
      <c r="AZ240" s="857"/>
      <c r="BA240" s="857"/>
      <c r="BB240" s="857"/>
      <c r="BC240" s="857"/>
      <c r="BD240" s="857"/>
      <c r="BE240" s="857"/>
      <c r="BF240" s="857"/>
      <c r="BG240" s="857"/>
    </row>
    <row r="241" spans="1:59" ht="15.75" customHeight="1">
      <c r="A241" s="857"/>
      <c r="B241" s="857"/>
      <c r="C241" s="857"/>
      <c r="D241" s="857"/>
      <c r="E241" s="857"/>
      <c r="F241" s="857"/>
      <c r="G241" s="857"/>
      <c r="H241" s="857"/>
      <c r="I241" s="857"/>
      <c r="J241" s="857"/>
      <c r="K241" s="857"/>
      <c r="L241" s="857"/>
      <c r="M241" s="857"/>
      <c r="N241" s="857"/>
      <c r="O241" s="857"/>
      <c r="P241" s="857"/>
      <c r="Q241" s="857"/>
      <c r="R241" s="857"/>
      <c r="S241" s="857"/>
      <c r="T241" s="857"/>
      <c r="U241" s="857"/>
      <c r="V241" s="857"/>
      <c r="W241" s="857"/>
      <c r="X241" s="857"/>
      <c r="Y241" s="857"/>
      <c r="Z241" s="857"/>
      <c r="AA241" s="857"/>
      <c r="AB241" s="857"/>
      <c r="AC241" s="857"/>
      <c r="AD241" s="857"/>
      <c r="AE241" s="857"/>
      <c r="AF241" s="857"/>
      <c r="AG241" s="857"/>
      <c r="AH241" s="857"/>
      <c r="AI241" s="857"/>
      <c r="AJ241" s="857"/>
      <c r="AK241" s="857"/>
      <c r="AL241" s="857"/>
      <c r="AM241" s="857"/>
      <c r="AN241" s="857"/>
      <c r="AO241" s="857"/>
      <c r="AP241" s="857"/>
      <c r="AQ241" s="857"/>
      <c r="AR241" s="857"/>
      <c r="AS241" s="857"/>
      <c r="AT241" s="855"/>
      <c r="AV241" s="857"/>
      <c r="AW241" s="857"/>
      <c r="AX241" s="857"/>
      <c r="AY241" s="857"/>
      <c r="AZ241" s="857"/>
      <c r="BA241" s="857"/>
      <c r="BB241" s="857"/>
      <c r="BC241" s="857"/>
      <c r="BD241" s="857"/>
      <c r="BE241" s="857"/>
      <c r="BF241" s="857"/>
      <c r="BG241" s="857"/>
    </row>
    <row r="242" spans="1:59" ht="15.75" customHeight="1">
      <c r="A242" s="857"/>
      <c r="B242" s="857"/>
      <c r="C242" s="857"/>
      <c r="D242" s="857"/>
      <c r="E242" s="857"/>
      <c r="F242" s="857"/>
      <c r="G242" s="857"/>
      <c r="H242" s="857"/>
      <c r="I242" s="857"/>
      <c r="J242" s="857"/>
      <c r="K242" s="857"/>
      <c r="L242" s="857"/>
      <c r="M242" s="857"/>
      <c r="N242" s="857"/>
      <c r="O242" s="857"/>
      <c r="P242" s="857"/>
      <c r="Q242" s="857"/>
      <c r="R242" s="857"/>
      <c r="S242" s="857"/>
      <c r="T242" s="857"/>
      <c r="U242" s="857"/>
      <c r="V242" s="857"/>
      <c r="W242" s="857"/>
      <c r="X242" s="857"/>
      <c r="Y242" s="857"/>
      <c r="Z242" s="857"/>
      <c r="AA242" s="857"/>
      <c r="AB242" s="857"/>
      <c r="AC242" s="857"/>
      <c r="AD242" s="857"/>
      <c r="AE242" s="857"/>
      <c r="AF242" s="857"/>
      <c r="AG242" s="857"/>
      <c r="AH242" s="857"/>
      <c r="AI242" s="857"/>
      <c r="AJ242" s="857"/>
      <c r="AK242" s="857"/>
      <c r="AL242" s="857"/>
      <c r="AM242" s="857"/>
      <c r="AN242" s="857"/>
      <c r="AO242" s="857"/>
      <c r="AP242" s="857"/>
      <c r="AQ242" s="857"/>
      <c r="AR242" s="857"/>
      <c r="AS242" s="857"/>
      <c r="AT242" s="855"/>
      <c r="AV242" s="857"/>
      <c r="AW242" s="857"/>
      <c r="AX242" s="857"/>
      <c r="AY242" s="857"/>
      <c r="AZ242" s="857"/>
      <c r="BA242" s="857"/>
      <c r="BB242" s="857"/>
      <c r="BC242" s="857"/>
      <c r="BD242" s="857"/>
      <c r="BE242" s="857"/>
      <c r="BF242" s="857"/>
      <c r="BG242" s="857"/>
    </row>
    <row r="243" spans="1:59" ht="15.75" customHeight="1">
      <c r="A243" s="857"/>
      <c r="B243" s="857"/>
      <c r="C243" s="857"/>
      <c r="D243" s="857"/>
      <c r="E243" s="857"/>
      <c r="F243" s="857"/>
      <c r="G243" s="857"/>
      <c r="H243" s="857"/>
      <c r="I243" s="857"/>
      <c r="J243" s="857"/>
      <c r="K243" s="857"/>
      <c r="L243" s="857"/>
      <c r="M243" s="857"/>
      <c r="N243" s="857"/>
      <c r="O243" s="857"/>
      <c r="P243" s="857"/>
      <c r="Q243" s="857"/>
      <c r="R243" s="857"/>
      <c r="S243" s="857"/>
      <c r="T243" s="857"/>
      <c r="U243" s="857"/>
      <c r="V243" s="857"/>
      <c r="W243" s="857"/>
      <c r="X243" s="857"/>
      <c r="Y243" s="857"/>
      <c r="Z243" s="857"/>
      <c r="AA243" s="857"/>
      <c r="AB243" s="857"/>
      <c r="AC243" s="857"/>
      <c r="AD243" s="857"/>
      <c r="AE243" s="857"/>
      <c r="AF243" s="857"/>
      <c r="AG243" s="857"/>
      <c r="AH243" s="857"/>
      <c r="AI243" s="857"/>
      <c r="AJ243" s="857"/>
      <c r="AK243" s="857"/>
      <c r="AL243" s="857"/>
      <c r="AM243" s="857"/>
      <c r="AN243" s="857"/>
      <c r="AO243" s="857"/>
      <c r="AP243" s="857"/>
      <c r="AQ243" s="857"/>
      <c r="AR243" s="857"/>
      <c r="AS243" s="857"/>
      <c r="AT243" s="855"/>
      <c r="AV243" s="857"/>
      <c r="AW243" s="857"/>
      <c r="AX243" s="857"/>
      <c r="AY243" s="857"/>
      <c r="AZ243" s="857"/>
      <c r="BA243" s="857"/>
      <c r="BB243" s="857"/>
      <c r="BC243" s="857"/>
      <c r="BD243" s="857"/>
      <c r="BE243" s="857"/>
      <c r="BF243" s="857"/>
      <c r="BG243" s="857"/>
    </row>
    <row r="244" spans="1:59" ht="15.75" customHeight="1">
      <c r="A244" s="857"/>
      <c r="B244" s="857"/>
      <c r="C244" s="857"/>
      <c r="D244" s="857"/>
      <c r="E244" s="857"/>
      <c r="F244" s="857"/>
      <c r="G244" s="857"/>
      <c r="H244" s="857"/>
      <c r="I244" s="857"/>
      <c r="J244" s="857"/>
      <c r="K244" s="857"/>
      <c r="L244" s="857"/>
      <c r="M244" s="857"/>
      <c r="N244" s="857"/>
      <c r="O244" s="857"/>
      <c r="P244" s="857"/>
      <c r="Q244" s="857"/>
      <c r="R244" s="857"/>
      <c r="S244" s="857"/>
      <c r="T244" s="857"/>
      <c r="U244" s="857"/>
      <c r="V244" s="857"/>
      <c r="W244" s="857"/>
      <c r="X244" s="857"/>
      <c r="Y244" s="857"/>
      <c r="Z244" s="857"/>
      <c r="AA244" s="857"/>
      <c r="AB244" s="857"/>
      <c r="AC244" s="857"/>
      <c r="AD244" s="857"/>
      <c r="AE244" s="857"/>
      <c r="AF244" s="857"/>
      <c r="AG244" s="857"/>
      <c r="AH244" s="857"/>
      <c r="AI244" s="857"/>
      <c r="AJ244" s="857"/>
      <c r="AK244" s="857"/>
      <c r="AL244" s="857"/>
      <c r="AM244" s="857"/>
      <c r="AN244" s="857"/>
      <c r="AO244" s="857"/>
      <c r="AP244" s="857"/>
      <c r="AQ244" s="857"/>
      <c r="AR244" s="857"/>
      <c r="AS244" s="857"/>
      <c r="AT244" s="855"/>
      <c r="AV244" s="857"/>
      <c r="AW244" s="857"/>
      <c r="AX244" s="857"/>
      <c r="AY244" s="857"/>
      <c r="AZ244" s="857"/>
      <c r="BA244" s="857"/>
      <c r="BB244" s="857"/>
      <c r="BC244" s="857"/>
      <c r="BD244" s="857"/>
      <c r="BE244" s="857"/>
      <c r="BF244" s="857"/>
      <c r="BG244" s="857"/>
    </row>
    <row r="245" spans="1:59" ht="15.75" customHeight="1">
      <c r="A245" s="857"/>
      <c r="B245" s="857"/>
      <c r="C245" s="857"/>
      <c r="D245" s="857"/>
      <c r="E245" s="857"/>
      <c r="F245" s="857"/>
      <c r="G245" s="857"/>
      <c r="H245" s="857"/>
      <c r="I245" s="857"/>
      <c r="J245" s="857"/>
      <c r="K245" s="857"/>
      <c r="L245" s="857"/>
      <c r="M245" s="857"/>
      <c r="N245" s="857"/>
      <c r="O245" s="857"/>
      <c r="P245" s="857"/>
      <c r="Q245" s="857"/>
      <c r="R245" s="857"/>
      <c r="S245" s="857"/>
      <c r="T245" s="857"/>
      <c r="U245" s="857"/>
      <c r="V245" s="857"/>
      <c r="W245" s="857"/>
      <c r="X245" s="857"/>
      <c r="Y245" s="857"/>
      <c r="Z245" s="857"/>
      <c r="AA245" s="857"/>
      <c r="AB245" s="857"/>
      <c r="AC245" s="857"/>
      <c r="AD245" s="857"/>
      <c r="AE245" s="857"/>
      <c r="AF245" s="857"/>
      <c r="AG245" s="857"/>
      <c r="AH245" s="857"/>
      <c r="AI245" s="857"/>
      <c r="AJ245" s="857"/>
      <c r="AK245" s="857"/>
      <c r="AL245" s="857"/>
      <c r="AM245" s="857"/>
      <c r="AN245" s="857"/>
      <c r="AO245" s="857"/>
      <c r="AP245" s="857"/>
      <c r="AQ245" s="857"/>
      <c r="AR245" s="857"/>
      <c r="AS245" s="857"/>
      <c r="AT245" s="855"/>
      <c r="AV245" s="857"/>
      <c r="AW245" s="857"/>
      <c r="AX245" s="857"/>
      <c r="AY245" s="857"/>
      <c r="AZ245" s="857"/>
      <c r="BA245" s="857"/>
      <c r="BB245" s="857"/>
      <c r="BC245" s="857"/>
      <c r="BD245" s="857"/>
      <c r="BE245" s="857"/>
      <c r="BF245" s="857"/>
      <c r="BG245" s="857"/>
    </row>
    <row r="246" spans="1:59" ht="15.75" customHeight="1">
      <c r="A246" s="857"/>
      <c r="B246" s="857"/>
      <c r="C246" s="857"/>
      <c r="D246" s="857"/>
      <c r="E246" s="857"/>
      <c r="F246" s="857"/>
      <c r="G246" s="857"/>
      <c r="H246" s="857"/>
      <c r="I246" s="857"/>
      <c r="J246" s="857"/>
      <c r="K246" s="857"/>
      <c r="L246" s="857"/>
      <c r="M246" s="857"/>
      <c r="N246" s="857"/>
      <c r="O246" s="857"/>
      <c r="P246" s="857"/>
      <c r="Q246" s="857"/>
      <c r="R246" s="857"/>
      <c r="S246" s="857"/>
      <c r="T246" s="857"/>
      <c r="U246" s="857"/>
      <c r="V246" s="857"/>
      <c r="W246" s="857"/>
      <c r="X246" s="857"/>
      <c r="Y246" s="857"/>
      <c r="Z246" s="857"/>
      <c r="AA246" s="857"/>
      <c r="AB246" s="857"/>
      <c r="AC246" s="857"/>
      <c r="AD246" s="857"/>
      <c r="AE246" s="857"/>
      <c r="AF246" s="857"/>
      <c r="AG246" s="857"/>
      <c r="AH246" s="857"/>
      <c r="AI246" s="857"/>
      <c r="AJ246" s="857"/>
      <c r="AK246" s="857"/>
      <c r="AL246" s="857"/>
      <c r="AM246" s="857"/>
      <c r="AN246" s="857"/>
      <c r="AO246" s="857"/>
      <c r="AP246" s="857"/>
      <c r="AQ246" s="857"/>
      <c r="AR246" s="857"/>
      <c r="AS246" s="857"/>
      <c r="AT246" s="855"/>
      <c r="AV246" s="857"/>
      <c r="AW246" s="857"/>
      <c r="AX246" s="857"/>
      <c r="AY246" s="857"/>
      <c r="AZ246" s="857"/>
      <c r="BA246" s="857"/>
      <c r="BB246" s="857"/>
      <c r="BC246" s="857"/>
      <c r="BD246" s="857"/>
      <c r="BE246" s="857"/>
      <c r="BF246" s="857"/>
      <c r="BG246" s="857"/>
    </row>
    <row r="247" spans="1:59" ht="15.75" customHeight="1">
      <c r="A247" s="857"/>
      <c r="B247" s="857"/>
      <c r="C247" s="857"/>
      <c r="D247" s="857"/>
      <c r="E247" s="857"/>
      <c r="F247" s="857"/>
      <c r="G247" s="857"/>
      <c r="H247" s="857"/>
      <c r="I247" s="857"/>
      <c r="J247" s="857"/>
      <c r="K247" s="857"/>
      <c r="L247" s="857"/>
      <c r="M247" s="857"/>
      <c r="N247" s="857"/>
      <c r="O247" s="857"/>
      <c r="P247" s="857"/>
      <c r="Q247" s="857"/>
      <c r="R247" s="857"/>
      <c r="S247" s="857"/>
      <c r="T247" s="857"/>
      <c r="U247" s="857"/>
      <c r="V247" s="857"/>
      <c r="W247" s="857"/>
      <c r="X247" s="857"/>
      <c r="Y247" s="857"/>
      <c r="Z247" s="857"/>
      <c r="AA247" s="857"/>
      <c r="AB247" s="857"/>
      <c r="AC247" s="857"/>
      <c r="AD247" s="857"/>
      <c r="AE247" s="857"/>
      <c r="AF247" s="857"/>
      <c r="AG247" s="857"/>
      <c r="AH247" s="857"/>
      <c r="AI247" s="857"/>
      <c r="AJ247" s="857"/>
      <c r="AK247" s="857"/>
      <c r="AL247" s="857"/>
      <c r="AM247" s="857"/>
      <c r="AN247" s="857"/>
      <c r="AO247" s="857"/>
      <c r="AP247" s="857"/>
      <c r="AQ247" s="857"/>
      <c r="AR247" s="857"/>
      <c r="AS247" s="857"/>
      <c r="AT247" s="855"/>
      <c r="AV247" s="857"/>
      <c r="AW247" s="857"/>
      <c r="AX247" s="857"/>
      <c r="AY247" s="857"/>
      <c r="AZ247" s="857"/>
      <c r="BA247" s="857"/>
      <c r="BB247" s="857"/>
      <c r="BC247" s="857"/>
      <c r="BD247" s="857"/>
      <c r="BE247" s="857"/>
      <c r="BF247" s="857"/>
      <c r="BG247" s="857"/>
    </row>
    <row r="248" spans="1:59" ht="15.75" customHeight="1">
      <c r="A248" s="857"/>
      <c r="B248" s="857"/>
      <c r="C248" s="857"/>
      <c r="D248" s="857"/>
      <c r="E248" s="857"/>
      <c r="F248" s="857"/>
      <c r="G248" s="857"/>
      <c r="H248" s="857"/>
      <c r="I248" s="857"/>
      <c r="J248" s="857"/>
      <c r="K248" s="857"/>
      <c r="L248" s="857"/>
      <c r="M248" s="857"/>
      <c r="N248" s="857"/>
      <c r="O248" s="857"/>
      <c r="P248" s="857"/>
      <c r="Q248" s="857"/>
      <c r="R248" s="857"/>
      <c r="S248" s="857"/>
      <c r="T248" s="857"/>
      <c r="U248" s="857"/>
      <c r="V248" s="857"/>
      <c r="W248" s="857"/>
      <c r="X248" s="857"/>
      <c r="Y248" s="857"/>
      <c r="Z248" s="857"/>
      <c r="AA248" s="857"/>
      <c r="AB248" s="857"/>
      <c r="AC248" s="857"/>
      <c r="AD248" s="857"/>
      <c r="AE248" s="857"/>
      <c r="AF248" s="857"/>
      <c r="AG248" s="857"/>
      <c r="AH248" s="857"/>
      <c r="AI248" s="857"/>
      <c r="AJ248" s="857"/>
      <c r="AK248" s="857"/>
      <c r="AL248" s="857"/>
      <c r="AM248" s="857"/>
      <c r="AN248" s="857"/>
      <c r="AO248" s="857"/>
      <c r="AP248" s="857"/>
      <c r="AQ248" s="857"/>
      <c r="AR248" s="857"/>
      <c r="AS248" s="857"/>
      <c r="AT248" s="855"/>
      <c r="AV248" s="857"/>
      <c r="AW248" s="857"/>
      <c r="AX248" s="857"/>
      <c r="AY248" s="857"/>
      <c r="AZ248" s="857"/>
      <c r="BA248" s="857"/>
      <c r="BB248" s="857"/>
      <c r="BC248" s="857"/>
      <c r="BD248" s="857"/>
      <c r="BE248" s="857"/>
      <c r="BF248" s="857"/>
      <c r="BG248" s="857"/>
    </row>
    <row r="249" spans="1:59" ht="15.75" customHeight="1">
      <c r="A249" s="857"/>
      <c r="B249" s="857"/>
      <c r="C249" s="857"/>
      <c r="D249" s="857"/>
      <c r="E249" s="857"/>
      <c r="F249" s="857"/>
      <c r="G249" s="857"/>
      <c r="H249" s="857"/>
      <c r="I249" s="857"/>
      <c r="J249" s="857"/>
      <c r="K249" s="857"/>
      <c r="L249" s="857"/>
      <c r="M249" s="857"/>
      <c r="N249" s="857"/>
      <c r="O249" s="857"/>
      <c r="P249" s="857"/>
      <c r="Q249" s="857"/>
      <c r="R249" s="857"/>
      <c r="S249" s="857"/>
      <c r="T249" s="857"/>
      <c r="U249" s="857"/>
      <c r="V249" s="857"/>
      <c r="W249" s="857"/>
      <c r="X249" s="857"/>
      <c r="Y249" s="857"/>
      <c r="Z249" s="857"/>
      <c r="AA249" s="857"/>
      <c r="AB249" s="857"/>
      <c r="AC249" s="857"/>
      <c r="AD249" s="857"/>
      <c r="AE249" s="857"/>
      <c r="AF249" s="857"/>
      <c r="AG249" s="857"/>
      <c r="AH249" s="857"/>
      <c r="AI249" s="857"/>
      <c r="AJ249" s="857"/>
      <c r="AK249" s="857"/>
      <c r="AL249" s="857"/>
      <c r="AM249" s="857"/>
      <c r="AN249" s="857"/>
      <c r="AO249" s="857"/>
      <c r="AP249" s="857"/>
      <c r="AQ249" s="857"/>
      <c r="AR249" s="857"/>
      <c r="AS249" s="857"/>
      <c r="AT249" s="855"/>
      <c r="AV249" s="857"/>
      <c r="AW249" s="857"/>
      <c r="AX249" s="857"/>
      <c r="AY249" s="857"/>
      <c r="AZ249" s="857"/>
      <c r="BA249" s="857"/>
      <c r="BB249" s="857"/>
      <c r="BC249" s="857"/>
      <c r="BD249" s="857"/>
      <c r="BE249" s="857"/>
      <c r="BF249" s="857"/>
      <c r="BG249" s="857"/>
    </row>
    <row r="250" spans="1:59" ht="15.75" customHeight="1">
      <c r="A250" s="857"/>
      <c r="B250" s="857"/>
      <c r="C250" s="857"/>
      <c r="D250" s="857"/>
      <c r="E250" s="857"/>
      <c r="F250" s="857"/>
      <c r="G250" s="857"/>
      <c r="H250" s="857"/>
      <c r="I250" s="857"/>
      <c r="J250" s="857"/>
      <c r="K250" s="857"/>
      <c r="L250" s="857"/>
      <c r="M250" s="857"/>
      <c r="N250" s="857"/>
      <c r="O250" s="857"/>
      <c r="P250" s="857"/>
      <c r="Q250" s="857"/>
      <c r="R250" s="857"/>
      <c r="S250" s="857"/>
      <c r="T250" s="857"/>
      <c r="U250" s="857"/>
      <c r="V250" s="857"/>
      <c r="W250" s="857"/>
      <c r="X250" s="857"/>
      <c r="Y250" s="857"/>
      <c r="Z250" s="857"/>
      <c r="AA250" s="857"/>
      <c r="AB250" s="857"/>
      <c r="AC250" s="857"/>
      <c r="AD250" s="857"/>
      <c r="AE250" s="857"/>
      <c r="AF250" s="857"/>
      <c r="AG250" s="857"/>
      <c r="AH250" s="857"/>
      <c r="AI250" s="857"/>
      <c r="AJ250" s="857"/>
      <c r="AK250" s="857"/>
      <c r="AL250" s="857"/>
      <c r="AM250" s="857"/>
      <c r="AN250" s="857"/>
      <c r="AO250" s="857"/>
      <c r="AP250" s="857"/>
      <c r="AQ250" s="857"/>
      <c r="AR250" s="857"/>
      <c r="AS250" s="857"/>
      <c r="AT250" s="855"/>
      <c r="AV250" s="857"/>
      <c r="AW250" s="857"/>
      <c r="AX250" s="857"/>
      <c r="AY250" s="857"/>
      <c r="AZ250" s="857"/>
      <c r="BA250" s="857"/>
      <c r="BB250" s="857"/>
      <c r="BC250" s="857"/>
      <c r="BD250" s="857"/>
      <c r="BE250" s="857"/>
      <c r="BF250" s="857"/>
      <c r="BG250" s="857"/>
    </row>
    <row r="251" spans="1:59" ht="15.75" customHeight="1">
      <c r="A251" s="857"/>
      <c r="B251" s="857"/>
      <c r="C251" s="857"/>
      <c r="D251" s="857"/>
      <c r="E251" s="857"/>
      <c r="F251" s="857"/>
      <c r="G251" s="857"/>
      <c r="H251" s="857"/>
      <c r="I251" s="857"/>
      <c r="J251" s="857"/>
      <c r="K251" s="857"/>
      <c r="L251" s="857"/>
      <c r="M251" s="857"/>
      <c r="N251" s="857"/>
      <c r="O251" s="857"/>
      <c r="P251" s="857"/>
      <c r="Q251" s="857"/>
      <c r="R251" s="857"/>
      <c r="S251" s="857"/>
      <c r="T251" s="857"/>
      <c r="U251" s="857"/>
      <c r="V251" s="857"/>
      <c r="W251" s="857"/>
      <c r="X251" s="857"/>
      <c r="Y251" s="857"/>
      <c r="Z251" s="857"/>
      <c r="AA251" s="857"/>
      <c r="AB251" s="857"/>
      <c r="AC251" s="857"/>
      <c r="AD251" s="857"/>
      <c r="AE251" s="857"/>
      <c r="AF251" s="857"/>
      <c r="AG251" s="857"/>
      <c r="AH251" s="857"/>
      <c r="AI251" s="857"/>
      <c r="AJ251" s="857"/>
      <c r="AK251" s="857"/>
      <c r="AL251" s="857"/>
      <c r="AM251" s="857"/>
      <c r="AN251" s="857"/>
      <c r="AO251" s="857"/>
      <c r="AP251" s="857"/>
      <c r="AQ251" s="857"/>
      <c r="AR251" s="857"/>
      <c r="AS251" s="857"/>
      <c r="AT251" s="855"/>
      <c r="AV251" s="857"/>
      <c r="AW251" s="857"/>
      <c r="AX251" s="857"/>
      <c r="AY251" s="857"/>
      <c r="AZ251" s="857"/>
      <c r="BA251" s="857"/>
      <c r="BB251" s="857"/>
      <c r="BC251" s="857"/>
      <c r="BD251" s="857"/>
      <c r="BE251" s="857"/>
      <c r="BF251" s="857"/>
      <c r="BG251" s="857"/>
    </row>
    <row r="252" spans="1:59" ht="15.75" customHeight="1">
      <c r="A252" s="857"/>
      <c r="B252" s="857"/>
      <c r="C252" s="857"/>
      <c r="D252" s="857"/>
      <c r="E252" s="857"/>
      <c r="F252" s="857"/>
      <c r="G252" s="857"/>
      <c r="H252" s="857"/>
      <c r="I252" s="857"/>
      <c r="J252" s="857"/>
      <c r="K252" s="857"/>
      <c r="L252" s="857"/>
      <c r="M252" s="857"/>
      <c r="N252" s="857"/>
      <c r="O252" s="857"/>
      <c r="P252" s="857"/>
      <c r="Q252" s="857"/>
      <c r="R252" s="857"/>
      <c r="S252" s="857"/>
      <c r="T252" s="857"/>
      <c r="U252" s="857"/>
      <c r="V252" s="857"/>
      <c r="W252" s="857"/>
      <c r="X252" s="857"/>
      <c r="Y252" s="857"/>
      <c r="Z252" s="857"/>
      <c r="AA252" s="857"/>
      <c r="AB252" s="857"/>
      <c r="AC252" s="857"/>
      <c r="AD252" s="857"/>
      <c r="AE252" s="857"/>
      <c r="AF252" s="857"/>
      <c r="AG252" s="857"/>
      <c r="AH252" s="857"/>
      <c r="AI252" s="857"/>
      <c r="AJ252" s="857"/>
      <c r="AK252" s="857"/>
      <c r="AL252" s="857"/>
      <c r="AM252" s="857"/>
      <c r="AN252" s="857"/>
      <c r="AO252" s="857"/>
      <c r="AP252" s="857"/>
      <c r="AQ252" s="857"/>
      <c r="AR252" s="857"/>
      <c r="AS252" s="857"/>
      <c r="AT252" s="855"/>
      <c r="AV252" s="857"/>
      <c r="AW252" s="857"/>
      <c r="AX252" s="857"/>
      <c r="AY252" s="857"/>
      <c r="AZ252" s="857"/>
      <c r="BA252" s="857"/>
      <c r="BB252" s="857"/>
      <c r="BC252" s="857"/>
      <c r="BD252" s="857"/>
      <c r="BE252" s="857"/>
      <c r="BF252" s="857"/>
      <c r="BG252" s="857"/>
    </row>
    <row r="253" spans="1:59" ht="15.75" customHeight="1">
      <c r="A253" s="857"/>
      <c r="B253" s="857"/>
      <c r="C253" s="857"/>
      <c r="D253" s="857"/>
      <c r="E253" s="857"/>
      <c r="F253" s="857"/>
      <c r="G253" s="857"/>
      <c r="H253" s="857"/>
      <c r="I253" s="857"/>
      <c r="J253" s="857"/>
      <c r="K253" s="857"/>
      <c r="L253" s="857"/>
      <c r="M253" s="857"/>
      <c r="N253" s="857"/>
      <c r="O253" s="857"/>
      <c r="P253" s="857"/>
      <c r="Q253" s="857"/>
      <c r="R253" s="857"/>
      <c r="S253" s="857"/>
      <c r="T253" s="857"/>
      <c r="U253" s="857"/>
      <c r="V253" s="857"/>
      <c r="W253" s="857"/>
      <c r="X253" s="857"/>
      <c r="Y253" s="857"/>
      <c r="Z253" s="857"/>
      <c r="AA253" s="857"/>
      <c r="AB253" s="857"/>
      <c r="AC253" s="857"/>
      <c r="AD253" s="857"/>
      <c r="AE253" s="857"/>
      <c r="AF253" s="857"/>
      <c r="AG253" s="857"/>
      <c r="AH253" s="857"/>
      <c r="AI253" s="857"/>
      <c r="AJ253" s="857"/>
      <c r="AK253" s="857"/>
      <c r="AL253" s="857"/>
      <c r="AM253" s="857"/>
      <c r="AN253" s="857"/>
      <c r="AO253" s="857"/>
      <c r="AP253" s="857"/>
      <c r="AQ253" s="857"/>
      <c r="AR253" s="857"/>
      <c r="AS253" s="857"/>
      <c r="AT253" s="855"/>
      <c r="AV253" s="857"/>
      <c r="AW253" s="857"/>
      <c r="AX253" s="857"/>
      <c r="AY253" s="857"/>
      <c r="AZ253" s="857"/>
      <c r="BA253" s="857"/>
      <c r="BB253" s="857"/>
      <c r="BC253" s="857"/>
      <c r="BD253" s="857"/>
      <c r="BE253" s="857"/>
      <c r="BF253" s="857"/>
      <c r="BG253" s="857"/>
    </row>
    <row r="254" spans="1:59" ht="15.75" customHeight="1">
      <c r="A254" s="857"/>
      <c r="B254" s="857"/>
      <c r="C254" s="857"/>
      <c r="D254" s="857"/>
      <c r="E254" s="857"/>
      <c r="F254" s="857"/>
      <c r="G254" s="857"/>
      <c r="H254" s="857"/>
      <c r="I254" s="857"/>
      <c r="J254" s="857"/>
      <c r="K254" s="857"/>
      <c r="L254" s="857"/>
      <c r="M254" s="857"/>
      <c r="N254" s="857"/>
      <c r="O254" s="857"/>
      <c r="P254" s="857"/>
      <c r="Q254" s="857"/>
      <c r="R254" s="857"/>
      <c r="S254" s="857"/>
      <c r="T254" s="857"/>
      <c r="U254" s="857"/>
      <c r="V254" s="857"/>
      <c r="W254" s="857"/>
      <c r="X254" s="857"/>
      <c r="Y254" s="857"/>
      <c r="Z254" s="857"/>
      <c r="AA254" s="857"/>
      <c r="AB254" s="857"/>
      <c r="AC254" s="857"/>
      <c r="AD254" s="857"/>
      <c r="AE254" s="857"/>
      <c r="AF254" s="857"/>
      <c r="AG254" s="857"/>
      <c r="AH254" s="857"/>
      <c r="AI254" s="857"/>
      <c r="AJ254" s="857"/>
      <c r="AK254" s="857"/>
      <c r="AL254" s="857"/>
      <c r="AM254" s="857"/>
      <c r="AN254" s="857"/>
      <c r="AO254" s="857"/>
      <c r="AP254" s="857"/>
      <c r="AQ254" s="857"/>
      <c r="AR254" s="857"/>
      <c r="AS254" s="857"/>
      <c r="AT254" s="855"/>
      <c r="AV254" s="857"/>
      <c r="AW254" s="857"/>
      <c r="AX254" s="857"/>
      <c r="AY254" s="857"/>
      <c r="AZ254" s="857"/>
      <c r="BA254" s="857"/>
      <c r="BB254" s="857"/>
      <c r="BC254" s="857"/>
      <c r="BD254" s="857"/>
      <c r="BE254" s="857"/>
      <c r="BF254" s="857"/>
      <c r="BG254" s="857"/>
    </row>
    <row r="255" spans="1:59" ht="15.75" customHeight="1">
      <c r="A255" s="857"/>
      <c r="B255" s="857"/>
      <c r="C255" s="857"/>
      <c r="D255" s="857"/>
      <c r="E255" s="857"/>
      <c r="F255" s="857"/>
      <c r="G255" s="857"/>
      <c r="H255" s="857"/>
      <c r="I255" s="857"/>
      <c r="J255" s="857"/>
      <c r="K255" s="857"/>
      <c r="L255" s="857"/>
      <c r="M255" s="857"/>
      <c r="N255" s="857"/>
      <c r="O255" s="857"/>
      <c r="P255" s="857"/>
      <c r="Q255" s="857"/>
      <c r="R255" s="857"/>
      <c r="S255" s="857"/>
      <c r="T255" s="857"/>
      <c r="U255" s="857"/>
      <c r="V255" s="857"/>
      <c r="W255" s="857"/>
      <c r="X255" s="857"/>
      <c r="Y255" s="857"/>
      <c r="Z255" s="857"/>
      <c r="AA255" s="857"/>
      <c r="AB255" s="857"/>
      <c r="AC255" s="857"/>
      <c r="AD255" s="857"/>
      <c r="AE255" s="857"/>
      <c r="AF255" s="857"/>
      <c r="AG255" s="857"/>
      <c r="AH255" s="857"/>
      <c r="AI255" s="857"/>
      <c r="AJ255" s="857"/>
      <c r="AK255" s="857"/>
      <c r="AL255" s="857"/>
      <c r="AM255" s="857"/>
      <c r="AN255" s="857"/>
      <c r="AO255" s="857"/>
      <c r="AP255" s="857"/>
      <c r="AQ255" s="857"/>
      <c r="AR255" s="857"/>
      <c r="AS255" s="857"/>
      <c r="AT255" s="855"/>
      <c r="AV255" s="857"/>
      <c r="AW255" s="857"/>
      <c r="AX255" s="857"/>
      <c r="AY255" s="857"/>
      <c r="AZ255" s="857"/>
      <c r="BA255" s="857"/>
      <c r="BB255" s="857"/>
      <c r="BC255" s="857"/>
      <c r="BD255" s="857"/>
      <c r="BE255" s="857"/>
      <c r="BF255" s="857"/>
      <c r="BG255" s="857"/>
    </row>
    <row r="256" spans="1:59" ht="15.75" customHeight="1">
      <c r="A256" s="857"/>
      <c r="B256" s="857"/>
      <c r="C256" s="857"/>
      <c r="D256" s="857"/>
      <c r="E256" s="857"/>
      <c r="F256" s="857"/>
      <c r="G256" s="857"/>
      <c r="H256" s="857"/>
      <c r="I256" s="857"/>
      <c r="J256" s="857"/>
      <c r="K256" s="857"/>
      <c r="L256" s="857"/>
      <c r="M256" s="857"/>
      <c r="N256" s="857"/>
      <c r="O256" s="857"/>
      <c r="P256" s="857"/>
      <c r="Q256" s="857"/>
      <c r="R256" s="857"/>
      <c r="S256" s="857"/>
      <c r="T256" s="857"/>
      <c r="U256" s="857"/>
      <c r="V256" s="857"/>
      <c r="W256" s="857"/>
      <c r="X256" s="857"/>
      <c r="Y256" s="857"/>
      <c r="Z256" s="857"/>
      <c r="AA256" s="857"/>
      <c r="AB256" s="857"/>
      <c r="AC256" s="857"/>
      <c r="AD256" s="857"/>
      <c r="AE256" s="857"/>
      <c r="AF256" s="857"/>
      <c r="AG256" s="857"/>
      <c r="AH256" s="857"/>
      <c r="AI256" s="857"/>
      <c r="AJ256" s="857"/>
      <c r="AK256" s="857"/>
      <c r="AL256" s="857"/>
      <c r="AM256" s="857"/>
      <c r="AN256" s="857"/>
      <c r="AO256" s="857"/>
      <c r="AP256" s="857"/>
      <c r="AQ256" s="857"/>
      <c r="AR256" s="857"/>
      <c r="AS256" s="857"/>
      <c r="AT256" s="855"/>
      <c r="AV256" s="857"/>
      <c r="AW256" s="857"/>
      <c r="AX256" s="857"/>
      <c r="AY256" s="857"/>
      <c r="AZ256" s="857"/>
      <c r="BA256" s="857"/>
      <c r="BB256" s="857"/>
      <c r="BC256" s="857"/>
      <c r="BD256" s="857"/>
      <c r="BE256" s="857"/>
      <c r="BF256" s="857"/>
      <c r="BG256" s="857"/>
    </row>
    <row r="257" spans="1:59" ht="15.75" customHeight="1">
      <c r="A257" s="857"/>
      <c r="B257" s="857"/>
      <c r="C257" s="857"/>
      <c r="D257" s="857"/>
      <c r="E257" s="857"/>
      <c r="F257" s="857"/>
      <c r="G257" s="857"/>
      <c r="H257" s="857"/>
      <c r="I257" s="857"/>
      <c r="J257" s="857"/>
      <c r="K257" s="857"/>
      <c r="L257" s="857"/>
      <c r="M257" s="857"/>
      <c r="N257" s="857"/>
      <c r="O257" s="857"/>
      <c r="P257" s="857"/>
      <c r="Q257" s="857"/>
      <c r="R257" s="857"/>
      <c r="S257" s="857"/>
      <c r="T257" s="857"/>
      <c r="U257" s="857"/>
      <c r="V257" s="857"/>
      <c r="W257" s="857"/>
      <c r="X257" s="857"/>
      <c r="Y257" s="857"/>
      <c r="Z257" s="857"/>
      <c r="AA257" s="857"/>
      <c r="AB257" s="857"/>
      <c r="AC257" s="857"/>
      <c r="AD257" s="857"/>
      <c r="AE257" s="857"/>
      <c r="AF257" s="857"/>
      <c r="AG257" s="857"/>
      <c r="AH257" s="857"/>
      <c r="AI257" s="857"/>
      <c r="AJ257" s="857"/>
      <c r="AK257" s="857"/>
      <c r="AL257" s="857"/>
      <c r="AM257" s="857"/>
      <c r="AN257" s="857"/>
      <c r="AO257" s="857"/>
      <c r="AP257" s="857"/>
      <c r="AQ257" s="857"/>
      <c r="AR257" s="857"/>
      <c r="AS257" s="857"/>
      <c r="AT257" s="855"/>
      <c r="AV257" s="857"/>
      <c r="AW257" s="857"/>
      <c r="AX257" s="857"/>
      <c r="AY257" s="857"/>
      <c r="AZ257" s="857"/>
      <c r="BA257" s="857"/>
      <c r="BB257" s="857"/>
      <c r="BC257" s="857"/>
      <c r="BD257" s="857"/>
      <c r="BE257" s="857"/>
      <c r="BF257" s="857"/>
      <c r="BG257" s="857"/>
    </row>
    <row r="258" spans="1:59" ht="15.75" customHeight="1">
      <c r="A258" s="857"/>
      <c r="B258" s="857"/>
      <c r="C258" s="857"/>
      <c r="D258" s="857"/>
      <c r="E258" s="857"/>
      <c r="F258" s="857"/>
      <c r="G258" s="857"/>
      <c r="H258" s="857"/>
      <c r="I258" s="857"/>
      <c r="J258" s="857"/>
      <c r="K258" s="857"/>
      <c r="L258" s="857"/>
      <c r="M258" s="857"/>
      <c r="N258" s="857"/>
      <c r="O258" s="857"/>
      <c r="P258" s="857"/>
      <c r="Q258" s="857"/>
      <c r="R258" s="857"/>
      <c r="S258" s="857"/>
      <c r="T258" s="857"/>
      <c r="U258" s="857"/>
      <c r="V258" s="857"/>
      <c r="W258" s="857"/>
      <c r="X258" s="857"/>
      <c r="Y258" s="857"/>
      <c r="Z258" s="857"/>
      <c r="AA258" s="857"/>
      <c r="AB258" s="857"/>
      <c r="AC258" s="857"/>
      <c r="AD258" s="857"/>
      <c r="AE258" s="857"/>
      <c r="AF258" s="857"/>
      <c r="AG258" s="857"/>
      <c r="AH258" s="857"/>
      <c r="AI258" s="857"/>
      <c r="AJ258" s="857"/>
      <c r="AK258" s="857"/>
      <c r="AL258" s="857"/>
      <c r="AM258" s="857"/>
      <c r="AN258" s="857"/>
      <c r="AO258" s="857"/>
      <c r="AP258" s="857"/>
      <c r="AQ258" s="857"/>
      <c r="AR258" s="857"/>
      <c r="AS258" s="857"/>
      <c r="AT258" s="855"/>
      <c r="AV258" s="857"/>
      <c r="AW258" s="857"/>
      <c r="AX258" s="857"/>
      <c r="AY258" s="857"/>
      <c r="AZ258" s="857"/>
      <c r="BA258" s="857"/>
      <c r="BB258" s="857"/>
      <c r="BC258" s="857"/>
      <c r="BD258" s="857"/>
      <c r="BE258" s="857"/>
      <c r="BF258" s="857"/>
      <c r="BG258" s="857"/>
    </row>
    <row r="259" spans="1:59" ht="15.75" customHeight="1">
      <c r="A259" s="857"/>
      <c r="B259" s="857"/>
      <c r="C259" s="857"/>
      <c r="D259" s="857"/>
      <c r="E259" s="857"/>
      <c r="F259" s="857"/>
      <c r="G259" s="857"/>
      <c r="H259" s="857"/>
      <c r="I259" s="857"/>
      <c r="J259" s="857"/>
      <c r="K259" s="857"/>
      <c r="L259" s="857"/>
      <c r="M259" s="857"/>
      <c r="N259" s="857"/>
      <c r="O259" s="857"/>
      <c r="P259" s="857"/>
      <c r="Q259" s="857"/>
      <c r="R259" s="857"/>
      <c r="S259" s="857"/>
      <c r="T259" s="857"/>
      <c r="U259" s="857"/>
      <c r="V259" s="857"/>
      <c r="W259" s="857"/>
      <c r="X259" s="857"/>
      <c r="Y259" s="857"/>
      <c r="Z259" s="857"/>
      <c r="AA259" s="857"/>
      <c r="AB259" s="857"/>
      <c r="AC259" s="857"/>
      <c r="AD259" s="857"/>
      <c r="AE259" s="857"/>
      <c r="AF259" s="857"/>
      <c r="AG259" s="857"/>
      <c r="AH259" s="857"/>
      <c r="AI259" s="857"/>
      <c r="AJ259" s="857"/>
      <c r="AK259" s="857"/>
      <c r="AL259" s="857"/>
      <c r="AM259" s="857"/>
      <c r="AN259" s="857"/>
      <c r="AO259" s="857"/>
      <c r="AP259" s="857"/>
      <c r="AQ259" s="857"/>
      <c r="AR259" s="857"/>
      <c r="AS259" s="857"/>
      <c r="AT259" s="855"/>
      <c r="AV259" s="857"/>
      <c r="AW259" s="857"/>
      <c r="AX259" s="857"/>
      <c r="AY259" s="857"/>
      <c r="AZ259" s="857"/>
      <c r="BA259" s="857"/>
      <c r="BB259" s="857"/>
      <c r="BC259" s="857"/>
      <c r="BD259" s="857"/>
      <c r="BE259" s="857"/>
      <c r="BF259" s="857"/>
      <c r="BG259" s="857"/>
    </row>
    <row r="260" spans="1:59" ht="15.75" customHeight="1">
      <c r="A260" s="857"/>
      <c r="B260" s="857"/>
      <c r="C260" s="857"/>
      <c r="D260" s="857"/>
      <c r="E260" s="857"/>
      <c r="F260" s="857"/>
      <c r="G260" s="857"/>
      <c r="H260" s="857"/>
      <c r="I260" s="857"/>
      <c r="J260" s="857"/>
      <c r="K260" s="857"/>
      <c r="L260" s="857"/>
      <c r="M260" s="857"/>
      <c r="N260" s="857"/>
      <c r="O260" s="857"/>
      <c r="P260" s="857"/>
      <c r="Q260" s="857"/>
      <c r="R260" s="857"/>
      <c r="S260" s="857"/>
      <c r="T260" s="857"/>
      <c r="U260" s="857"/>
      <c r="V260" s="857"/>
      <c r="W260" s="857"/>
      <c r="X260" s="857"/>
      <c r="Y260" s="857"/>
      <c r="Z260" s="857"/>
      <c r="AA260" s="857"/>
      <c r="AB260" s="857"/>
      <c r="AC260" s="857"/>
      <c r="AD260" s="857"/>
      <c r="AE260" s="857"/>
      <c r="AF260" s="857"/>
      <c r="AG260" s="857"/>
      <c r="AH260" s="857"/>
      <c r="AI260" s="857"/>
      <c r="AJ260" s="857"/>
      <c r="AK260" s="857"/>
      <c r="AL260" s="857"/>
      <c r="AM260" s="857"/>
      <c r="AN260" s="857"/>
      <c r="AO260" s="857"/>
      <c r="AP260" s="857"/>
      <c r="AQ260" s="857"/>
      <c r="AR260" s="857"/>
      <c r="AS260" s="857"/>
      <c r="AT260" s="855"/>
      <c r="AV260" s="857"/>
      <c r="AW260" s="857"/>
      <c r="AX260" s="857"/>
      <c r="AY260" s="857"/>
      <c r="AZ260" s="857"/>
      <c r="BA260" s="857"/>
      <c r="BB260" s="857"/>
      <c r="BC260" s="857"/>
      <c r="BD260" s="857"/>
      <c r="BE260" s="857"/>
      <c r="BF260" s="857"/>
      <c r="BG260" s="857"/>
    </row>
    <row r="261" spans="1:59" ht="15.75" customHeight="1">
      <c r="A261" s="857"/>
      <c r="B261" s="857"/>
      <c r="C261" s="857"/>
      <c r="D261" s="857"/>
      <c r="E261" s="857"/>
      <c r="F261" s="857"/>
      <c r="G261" s="857"/>
      <c r="H261" s="857"/>
      <c r="I261" s="857"/>
      <c r="J261" s="857"/>
      <c r="K261" s="857"/>
      <c r="L261" s="857"/>
      <c r="M261" s="857"/>
      <c r="N261" s="857"/>
      <c r="O261" s="857"/>
      <c r="P261" s="857"/>
      <c r="Q261" s="857"/>
      <c r="R261" s="857"/>
      <c r="S261" s="857"/>
      <c r="T261" s="857"/>
      <c r="U261" s="857"/>
      <c r="V261" s="857"/>
      <c r="W261" s="857"/>
      <c r="X261" s="857"/>
      <c r="Y261" s="857"/>
      <c r="Z261" s="857"/>
      <c r="AA261" s="857"/>
      <c r="AB261" s="857"/>
      <c r="AC261" s="857"/>
      <c r="AD261" s="857"/>
      <c r="AE261" s="857"/>
      <c r="AF261" s="857"/>
      <c r="AG261" s="857"/>
      <c r="AH261" s="857"/>
      <c r="AI261" s="857"/>
      <c r="AJ261" s="857"/>
      <c r="AK261" s="857"/>
      <c r="AL261" s="857"/>
      <c r="AM261" s="857"/>
      <c r="AN261" s="857"/>
      <c r="AO261" s="857"/>
      <c r="AP261" s="857"/>
      <c r="AQ261" s="857"/>
      <c r="AR261" s="857"/>
      <c r="AS261" s="857"/>
      <c r="AT261" s="855"/>
      <c r="AV261" s="857"/>
      <c r="AW261" s="857"/>
      <c r="AX261" s="857"/>
      <c r="AY261" s="857"/>
      <c r="AZ261" s="857"/>
      <c r="BA261" s="857"/>
      <c r="BB261" s="857"/>
      <c r="BC261" s="857"/>
      <c r="BD261" s="857"/>
      <c r="BE261" s="857"/>
      <c r="BF261" s="857"/>
      <c r="BG261" s="857"/>
    </row>
    <row r="262" spans="1:59" ht="15.75" customHeight="1">
      <c r="A262" s="857"/>
      <c r="B262" s="857"/>
      <c r="C262" s="857"/>
      <c r="D262" s="857"/>
      <c r="E262" s="857"/>
      <c r="F262" s="857"/>
      <c r="G262" s="857"/>
      <c r="H262" s="857"/>
      <c r="I262" s="857"/>
      <c r="J262" s="857"/>
      <c r="K262" s="857"/>
      <c r="L262" s="857"/>
      <c r="M262" s="857"/>
      <c r="N262" s="857"/>
      <c r="O262" s="857"/>
      <c r="P262" s="857"/>
      <c r="Q262" s="857"/>
      <c r="R262" s="857"/>
      <c r="S262" s="857"/>
      <c r="T262" s="857"/>
      <c r="U262" s="857"/>
      <c r="V262" s="857"/>
      <c r="W262" s="857"/>
      <c r="X262" s="857"/>
      <c r="Y262" s="857"/>
      <c r="Z262" s="857"/>
      <c r="AA262" s="857"/>
      <c r="AB262" s="857"/>
      <c r="AC262" s="857"/>
      <c r="AD262" s="857"/>
      <c r="AE262" s="857"/>
      <c r="AF262" s="857"/>
      <c r="AG262" s="857"/>
      <c r="AH262" s="857"/>
      <c r="AI262" s="857"/>
      <c r="AJ262" s="857"/>
      <c r="AK262" s="857"/>
      <c r="AL262" s="857"/>
      <c r="AM262" s="857"/>
      <c r="AN262" s="857"/>
      <c r="AO262" s="857"/>
      <c r="AP262" s="857"/>
      <c r="AQ262" s="857"/>
      <c r="AR262" s="857"/>
      <c r="AS262" s="857"/>
      <c r="AT262" s="855"/>
      <c r="AV262" s="857"/>
      <c r="AW262" s="857"/>
      <c r="AX262" s="857"/>
      <c r="AY262" s="857"/>
      <c r="AZ262" s="857"/>
      <c r="BA262" s="857"/>
      <c r="BB262" s="857"/>
      <c r="BC262" s="857"/>
      <c r="BD262" s="857"/>
      <c r="BE262" s="857"/>
      <c r="BF262" s="857"/>
      <c r="BG262" s="857"/>
    </row>
    <row r="263" spans="1:59" ht="15.75" customHeight="1">
      <c r="A263" s="857"/>
      <c r="B263" s="857"/>
      <c r="C263" s="857"/>
      <c r="D263" s="857"/>
      <c r="E263" s="857"/>
      <c r="F263" s="857"/>
      <c r="G263" s="857"/>
      <c r="H263" s="857"/>
      <c r="I263" s="857"/>
      <c r="J263" s="857"/>
      <c r="K263" s="857"/>
      <c r="L263" s="857"/>
      <c r="M263" s="857"/>
      <c r="N263" s="857"/>
      <c r="O263" s="857"/>
      <c r="P263" s="857"/>
      <c r="Q263" s="857"/>
      <c r="R263" s="857"/>
      <c r="S263" s="857"/>
      <c r="T263" s="857"/>
      <c r="U263" s="857"/>
      <c r="V263" s="857"/>
      <c r="W263" s="857"/>
      <c r="X263" s="857"/>
      <c r="Y263" s="857"/>
      <c r="Z263" s="857"/>
      <c r="AA263" s="857"/>
      <c r="AB263" s="857"/>
      <c r="AC263" s="857"/>
      <c r="AD263" s="857"/>
      <c r="AE263" s="857"/>
      <c r="AF263" s="857"/>
      <c r="AG263" s="857"/>
      <c r="AH263" s="857"/>
      <c r="AI263" s="857"/>
      <c r="AJ263" s="857"/>
      <c r="AK263" s="857"/>
      <c r="AL263" s="857"/>
      <c r="AM263" s="857"/>
      <c r="AN263" s="857"/>
      <c r="AO263" s="857"/>
      <c r="AP263" s="857"/>
      <c r="AQ263" s="857"/>
      <c r="AR263" s="857"/>
      <c r="AS263" s="857"/>
      <c r="AT263" s="855"/>
      <c r="AV263" s="857"/>
      <c r="AW263" s="857"/>
      <c r="AX263" s="857"/>
      <c r="AY263" s="857"/>
      <c r="AZ263" s="857"/>
      <c r="BA263" s="857"/>
      <c r="BB263" s="857"/>
      <c r="BC263" s="857"/>
      <c r="BD263" s="857"/>
      <c r="BE263" s="857"/>
      <c r="BF263" s="857"/>
      <c r="BG263" s="857"/>
    </row>
    <row r="264" spans="1:59" ht="15.75" customHeight="1">
      <c r="A264" s="857"/>
      <c r="B264" s="857"/>
      <c r="C264" s="857"/>
      <c r="D264" s="857"/>
      <c r="E264" s="857"/>
      <c r="F264" s="857"/>
      <c r="G264" s="857"/>
      <c r="H264" s="857"/>
      <c r="I264" s="857"/>
      <c r="J264" s="857"/>
      <c r="K264" s="857"/>
      <c r="L264" s="857"/>
      <c r="M264" s="857"/>
      <c r="N264" s="857"/>
      <c r="O264" s="857"/>
      <c r="P264" s="857"/>
      <c r="Q264" s="857"/>
      <c r="R264" s="857"/>
      <c r="S264" s="857"/>
      <c r="T264" s="857"/>
      <c r="U264" s="857"/>
      <c r="V264" s="857"/>
      <c r="W264" s="857"/>
      <c r="X264" s="857"/>
      <c r="Y264" s="857"/>
      <c r="Z264" s="857"/>
      <c r="AA264" s="857"/>
      <c r="AB264" s="857"/>
      <c r="AC264" s="857"/>
      <c r="AD264" s="857"/>
      <c r="AE264" s="857"/>
      <c r="AF264" s="857"/>
      <c r="AG264" s="857"/>
      <c r="AH264" s="857"/>
      <c r="AI264" s="857"/>
      <c r="AJ264" s="857"/>
      <c r="AK264" s="857"/>
      <c r="AL264" s="857"/>
      <c r="AM264" s="857"/>
      <c r="AN264" s="857"/>
      <c r="AO264" s="857"/>
      <c r="AP264" s="857"/>
      <c r="AQ264" s="857"/>
      <c r="AR264" s="857"/>
      <c r="AS264" s="857"/>
      <c r="AT264" s="855"/>
      <c r="AV264" s="857"/>
      <c r="AW264" s="857"/>
      <c r="AX264" s="857"/>
      <c r="AY264" s="857"/>
      <c r="AZ264" s="857"/>
      <c r="BA264" s="857"/>
      <c r="BB264" s="857"/>
      <c r="BC264" s="857"/>
      <c r="BD264" s="857"/>
      <c r="BE264" s="857"/>
      <c r="BF264" s="857"/>
      <c r="BG264" s="857"/>
    </row>
    <row r="265" spans="1:59" ht="15.75" customHeight="1">
      <c r="A265" s="857"/>
      <c r="B265" s="857"/>
      <c r="C265" s="857"/>
      <c r="D265" s="857"/>
      <c r="E265" s="857"/>
      <c r="F265" s="857"/>
      <c r="G265" s="857"/>
      <c r="H265" s="857"/>
      <c r="I265" s="857"/>
      <c r="J265" s="857"/>
      <c r="K265" s="857"/>
      <c r="L265" s="857"/>
      <c r="M265" s="857"/>
      <c r="N265" s="857"/>
      <c r="O265" s="857"/>
      <c r="P265" s="857"/>
      <c r="Q265" s="857"/>
      <c r="R265" s="857"/>
      <c r="S265" s="857"/>
      <c r="T265" s="857"/>
      <c r="U265" s="857"/>
      <c r="V265" s="857"/>
      <c r="W265" s="857"/>
      <c r="X265" s="857"/>
      <c r="Y265" s="857"/>
      <c r="Z265" s="857"/>
      <c r="AA265" s="857"/>
      <c r="AB265" s="857"/>
      <c r="AC265" s="857"/>
      <c r="AD265" s="857"/>
      <c r="AE265" s="857"/>
      <c r="AF265" s="857"/>
      <c r="AG265" s="857"/>
      <c r="AH265" s="857"/>
      <c r="AI265" s="857"/>
      <c r="AJ265" s="857"/>
      <c r="AK265" s="857"/>
      <c r="AL265" s="857"/>
      <c r="AM265" s="857"/>
      <c r="AN265" s="857"/>
      <c r="AO265" s="857"/>
      <c r="AP265" s="857"/>
      <c r="AQ265" s="857"/>
      <c r="AR265" s="857"/>
      <c r="AS265" s="857"/>
      <c r="AT265" s="855"/>
      <c r="AV265" s="857"/>
      <c r="AW265" s="857"/>
      <c r="AX265" s="857"/>
      <c r="AY265" s="857"/>
      <c r="AZ265" s="857"/>
      <c r="BA265" s="857"/>
      <c r="BB265" s="857"/>
      <c r="BC265" s="857"/>
      <c r="BD265" s="857"/>
      <c r="BE265" s="857"/>
      <c r="BF265" s="857"/>
      <c r="BG265" s="857"/>
    </row>
    <row r="266" spans="1:59" ht="15.75" customHeight="1">
      <c r="A266" s="857"/>
      <c r="B266" s="857"/>
      <c r="C266" s="857"/>
      <c r="D266" s="857"/>
      <c r="E266" s="857"/>
      <c r="F266" s="857"/>
      <c r="G266" s="857"/>
      <c r="H266" s="857"/>
      <c r="I266" s="857"/>
      <c r="J266" s="857"/>
      <c r="K266" s="857"/>
      <c r="L266" s="857"/>
      <c r="M266" s="857"/>
      <c r="N266" s="857"/>
      <c r="O266" s="857"/>
      <c r="P266" s="857"/>
      <c r="Q266" s="857"/>
      <c r="R266" s="857"/>
      <c r="S266" s="857"/>
      <c r="T266" s="857"/>
      <c r="U266" s="857"/>
      <c r="V266" s="857"/>
      <c r="W266" s="857"/>
      <c r="X266" s="857"/>
      <c r="Y266" s="857"/>
      <c r="Z266" s="857"/>
      <c r="AA266" s="857"/>
      <c r="AB266" s="857"/>
      <c r="AC266" s="857"/>
      <c r="AD266" s="857"/>
      <c r="AE266" s="857"/>
      <c r="AF266" s="857"/>
      <c r="AG266" s="857"/>
      <c r="AH266" s="857"/>
      <c r="AI266" s="857"/>
      <c r="AJ266" s="857"/>
      <c r="AK266" s="857"/>
      <c r="AL266" s="857"/>
      <c r="AM266" s="857"/>
      <c r="AN266" s="857"/>
      <c r="AO266" s="857"/>
      <c r="AP266" s="857"/>
      <c r="AQ266" s="857"/>
      <c r="AR266" s="857"/>
      <c r="AS266" s="857"/>
      <c r="AT266" s="855"/>
      <c r="AV266" s="857"/>
      <c r="AW266" s="857"/>
      <c r="AX266" s="857"/>
      <c r="AY266" s="857"/>
      <c r="AZ266" s="857"/>
      <c r="BA266" s="857"/>
      <c r="BB266" s="857"/>
      <c r="BC266" s="857"/>
      <c r="BD266" s="857"/>
      <c r="BE266" s="857"/>
      <c r="BF266" s="857"/>
      <c r="BG266" s="857"/>
    </row>
    <row r="267" spans="1:59" ht="15.75" customHeight="1">
      <c r="A267" s="857"/>
      <c r="B267" s="857"/>
      <c r="C267" s="857"/>
      <c r="D267" s="857"/>
      <c r="E267" s="857"/>
      <c r="F267" s="857"/>
      <c r="G267" s="857"/>
      <c r="H267" s="857"/>
      <c r="I267" s="857"/>
      <c r="J267" s="857"/>
      <c r="K267" s="857"/>
      <c r="L267" s="857"/>
      <c r="M267" s="857"/>
      <c r="N267" s="857"/>
      <c r="O267" s="857"/>
      <c r="P267" s="857"/>
      <c r="Q267" s="857"/>
      <c r="R267" s="857"/>
      <c r="S267" s="857"/>
      <c r="T267" s="857"/>
      <c r="U267" s="857"/>
      <c r="V267" s="857"/>
      <c r="W267" s="857"/>
      <c r="X267" s="857"/>
      <c r="Y267" s="857"/>
      <c r="Z267" s="857"/>
      <c r="AA267" s="857"/>
      <c r="AB267" s="857"/>
      <c r="AC267" s="857"/>
      <c r="AD267" s="857"/>
      <c r="AE267" s="857"/>
      <c r="AF267" s="857"/>
      <c r="AG267" s="857"/>
      <c r="AH267" s="857"/>
      <c r="AI267" s="857"/>
      <c r="AJ267" s="857"/>
      <c r="AK267" s="857"/>
      <c r="AL267" s="857"/>
      <c r="AM267" s="857"/>
      <c r="AN267" s="857"/>
      <c r="AO267" s="857"/>
      <c r="AP267" s="857"/>
      <c r="AQ267" s="857"/>
      <c r="AR267" s="857"/>
      <c r="AS267" s="857"/>
      <c r="AT267" s="855"/>
      <c r="AV267" s="857"/>
      <c r="AW267" s="857"/>
      <c r="AX267" s="857"/>
      <c r="AY267" s="857"/>
      <c r="AZ267" s="857"/>
      <c r="BA267" s="857"/>
      <c r="BB267" s="857"/>
      <c r="BC267" s="857"/>
      <c r="BD267" s="857"/>
      <c r="BE267" s="857"/>
      <c r="BF267" s="857"/>
      <c r="BG267" s="857"/>
    </row>
    <row r="268" spans="1:59" ht="15.75" customHeight="1">
      <c r="A268" s="857"/>
      <c r="B268" s="857"/>
      <c r="C268" s="857"/>
      <c r="D268" s="857"/>
      <c r="E268" s="857"/>
      <c r="F268" s="857"/>
      <c r="G268" s="857"/>
      <c r="H268" s="857"/>
      <c r="I268" s="857"/>
      <c r="J268" s="857"/>
      <c r="K268" s="857"/>
      <c r="L268" s="857"/>
      <c r="M268" s="857"/>
      <c r="N268" s="857"/>
      <c r="O268" s="857"/>
      <c r="P268" s="857"/>
      <c r="Q268" s="857"/>
      <c r="R268" s="857"/>
      <c r="S268" s="857"/>
      <c r="T268" s="857"/>
      <c r="U268" s="857"/>
      <c r="V268" s="857"/>
      <c r="W268" s="857"/>
      <c r="X268" s="857"/>
      <c r="Y268" s="857"/>
      <c r="Z268" s="857"/>
      <c r="AA268" s="857"/>
      <c r="AB268" s="857"/>
      <c r="AC268" s="857"/>
      <c r="AD268" s="857"/>
      <c r="AE268" s="857"/>
      <c r="AF268" s="857"/>
      <c r="AG268" s="857"/>
      <c r="AH268" s="857"/>
      <c r="AI268" s="857"/>
      <c r="AJ268" s="857"/>
      <c r="AK268" s="857"/>
      <c r="AL268" s="857"/>
      <c r="AM268" s="857"/>
      <c r="AN268" s="857"/>
      <c r="AO268" s="857"/>
      <c r="AP268" s="857"/>
      <c r="AQ268" s="857"/>
      <c r="AR268" s="857"/>
      <c r="AS268" s="857"/>
      <c r="AT268" s="855"/>
      <c r="AV268" s="857"/>
      <c r="AW268" s="857"/>
      <c r="AX268" s="857"/>
      <c r="AY268" s="857"/>
      <c r="AZ268" s="857"/>
      <c r="BA268" s="857"/>
      <c r="BB268" s="857"/>
      <c r="BC268" s="857"/>
      <c r="BD268" s="857"/>
      <c r="BE268" s="857"/>
      <c r="BF268" s="857"/>
      <c r="BG268" s="857"/>
    </row>
    <row r="269" spans="1:59" ht="15.75" customHeight="1">
      <c r="A269" s="857"/>
      <c r="B269" s="857"/>
      <c r="C269" s="857"/>
      <c r="D269" s="857"/>
      <c r="E269" s="857"/>
      <c r="F269" s="857"/>
      <c r="G269" s="857"/>
      <c r="H269" s="857"/>
      <c r="I269" s="857"/>
      <c r="J269" s="857"/>
      <c r="K269" s="857"/>
      <c r="L269" s="857"/>
      <c r="M269" s="857"/>
      <c r="N269" s="857"/>
      <c r="O269" s="857"/>
      <c r="P269" s="857"/>
      <c r="Q269" s="857"/>
      <c r="R269" s="857"/>
      <c r="S269" s="857"/>
      <c r="T269" s="857"/>
      <c r="U269" s="857"/>
      <c r="V269" s="857"/>
      <c r="W269" s="857"/>
      <c r="X269" s="857"/>
      <c r="Y269" s="857"/>
      <c r="Z269" s="857"/>
      <c r="AA269" s="857"/>
      <c r="AB269" s="857"/>
      <c r="AC269" s="857"/>
      <c r="AD269" s="857"/>
      <c r="AE269" s="857"/>
      <c r="AF269" s="857"/>
      <c r="AG269" s="857"/>
      <c r="AH269" s="857"/>
      <c r="AI269" s="857"/>
      <c r="AJ269" s="857"/>
      <c r="AK269" s="857"/>
      <c r="AL269" s="857"/>
      <c r="AM269" s="857"/>
      <c r="AN269" s="857"/>
      <c r="AO269" s="857"/>
      <c r="AP269" s="857"/>
      <c r="AQ269" s="857"/>
      <c r="AR269" s="857"/>
      <c r="AS269" s="857"/>
      <c r="AT269" s="855"/>
      <c r="AV269" s="857"/>
      <c r="AW269" s="857"/>
      <c r="AX269" s="857"/>
      <c r="AY269" s="857"/>
      <c r="AZ269" s="857"/>
      <c r="BA269" s="857"/>
      <c r="BB269" s="857"/>
      <c r="BC269" s="857"/>
      <c r="BD269" s="857"/>
      <c r="BE269" s="857"/>
      <c r="BF269" s="857"/>
      <c r="BG269" s="857"/>
    </row>
    <row r="270" spans="1:59" ht="15.75" customHeight="1">
      <c r="A270" s="857"/>
      <c r="B270" s="857"/>
      <c r="C270" s="857"/>
      <c r="D270" s="857"/>
      <c r="E270" s="857"/>
      <c r="F270" s="857"/>
      <c r="G270" s="857"/>
      <c r="H270" s="857"/>
      <c r="I270" s="857"/>
      <c r="J270" s="857"/>
      <c r="K270" s="857"/>
      <c r="L270" s="857"/>
      <c r="M270" s="857"/>
      <c r="N270" s="857"/>
      <c r="O270" s="857"/>
      <c r="P270" s="857"/>
      <c r="Q270" s="857"/>
      <c r="R270" s="857"/>
      <c r="S270" s="857"/>
      <c r="T270" s="857"/>
      <c r="U270" s="857"/>
      <c r="V270" s="857"/>
      <c r="W270" s="857"/>
      <c r="X270" s="857"/>
      <c r="Y270" s="857"/>
      <c r="Z270" s="857"/>
      <c r="AA270" s="857"/>
      <c r="AB270" s="857"/>
      <c r="AC270" s="857"/>
      <c r="AD270" s="857"/>
      <c r="AE270" s="857"/>
      <c r="AF270" s="857"/>
      <c r="AG270" s="857"/>
      <c r="AH270" s="857"/>
      <c r="AI270" s="857"/>
      <c r="AJ270" s="857"/>
      <c r="AK270" s="857"/>
      <c r="AL270" s="857"/>
      <c r="AM270" s="857"/>
      <c r="AN270" s="857"/>
      <c r="AO270" s="857"/>
      <c r="AP270" s="857"/>
      <c r="AQ270" s="857"/>
      <c r="AR270" s="857"/>
      <c r="AS270" s="857"/>
      <c r="AT270" s="855"/>
      <c r="AV270" s="857"/>
      <c r="AW270" s="857"/>
      <c r="AX270" s="857"/>
      <c r="AY270" s="857"/>
      <c r="AZ270" s="857"/>
      <c r="BA270" s="857"/>
      <c r="BB270" s="857"/>
      <c r="BC270" s="857"/>
      <c r="BD270" s="857"/>
      <c r="BE270" s="857"/>
      <c r="BF270" s="857"/>
      <c r="BG270" s="857"/>
    </row>
    <row r="271" spans="1:59" ht="15.75" customHeight="1">
      <c r="A271" s="857"/>
      <c r="B271" s="857"/>
      <c r="C271" s="857"/>
      <c r="D271" s="857"/>
      <c r="E271" s="857"/>
      <c r="F271" s="857"/>
      <c r="G271" s="857"/>
      <c r="H271" s="857"/>
      <c r="I271" s="857"/>
      <c r="J271" s="857"/>
      <c r="K271" s="857"/>
      <c r="L271" s="857"/>
      <c r="M271" s="857"/>
      <c r="N271" s="857"/>
      <c r="O271" s="857"/>
      <c r="P271" s="857"/>
      <c r="Q271" s="857"/>
      <c r="R271" s="857"/>
      <c r="S271" s="857"/>
      <c r="T271" s="857"/>
      <c r="U271" s="857"/>
      <c r="V271" s="857"/>
      <c r="W271" s="857"/>
      <c r="X271" s="857"/>
      <c r="Y271" s="857"/>
      <c r="Z271" s="857"/>
      <c r="AA271" s="857"/>
      <c r="AB271" s="857"/>
      <c r="AC271" s="857"/>
      <c r="AD271" s="857"/>
      <c r="AE271" s="857"/>
      <c r="AF271" s="857"/>
      <c r="AG271" s="857"/>
      <c r="AH271" s="857"/>
      <c r="AI271" s="857"/>
      <c r="AJ271" s="857"/>
      <c r="AK271" s="857"/>
      <c r="AL271" s="857"/>
      <c r="AM271" s="857"/>
      <c r="AN271" s="857"/>
      <c r="AO271" s="857"/>
      <c r="AP271" s="857"/>
      <c r="AQ271" s="857"/>
      <c r="AR271" s="857"/>
      <c r="AS271" s="857"/>
      <c r="AT271" s="855"/>
      <c r="AV271" s="857"/>
      <c r="AW271" s="857"/>
      <c r="AX271" s="857"/>
      <c r="AY271" s="857"/>
      <c r="AZ271" s="857"/>
      <c r="BA271" s="857"/>
      <c r="BB271" s="857"/>
      <c r="BC271" s="857"/>
      <c r="BD271" s="857"/>
      <c r="BE271" s="857"/>
      <c r="BF271" s="857"/>
      <c r="BG271" s="857"/>
    </row>
    <row r="272" spans="1:59" ht="15.75" customHeight="1">
      <c r="A272" s="857"/>
      <c r="B272" s="857"/>
      <c r="C272" s="857"/>
      <c r="D272" s="857"/>
      <c r="E272" s="857"/>
      <c r="F272" s="857"/>
      <c r="G272" s="857"/>
      <c r="H272" s="857"/>
      <c r="I272" s="857"/>
      <c r="J272" s="857"/>
      <c r="K272" s="857"/>
      <c r="L272" s="857"/>
      <c r="M272" s="857"/>
      <c r="N272" s="857"/>
      <c r="O272" s="857"/>
      <c r="P272" s="857"/>
      <c r="Q272" s="857"/>
      <c r="R272" s="857"/>
      <c r="S272" s="857"/>
      <c r="T272" s="857"/>
      <c r="U272" s="857"/>
      <c r="V272" s="857"/>
      <c r="W272" s="857"/>
      <c r="X272" s="857"/>
      <c r="Y272" s="857"/>
      <c r="Z272" s="857"/>
      <c r="AA272" s="857"/>
      <c r="AB272" s="857"/>
      <c r="AC272" s="857"/>
      <c r="AD272" s="857"/>
      <c r="AE272" s="857"/>
      <c r="AF272" s="857"/>
      <c r="AG272" s="857"/>
      <c r="AH272" s="857"/>
      <c r="AI272" s="857"/>
      <c r="AJ272" s="857"/>
      <c r="AK272" s="857"/>
      <c r="AL272" s="857"/>
      <c r="AM272" s="857"/>
      <c r="AN272" s="857"/>
      <c r="AO272" s="857"/>
      <c r="AP272" s="857"/>
      <c r="AQ272" s="857"/>
      <c r="AR272" s="857"/>
      <c r="AS272" s="857"/>
      <c r="AT272" s="855"/>
      <c r="AV272" s="857"/>
      <c r="AW272" s="857"/>
      <c r="AX272" s="857"/>
      <c r="AY272" s="857"/>
      <c r="AZ272" s="857"/>
      <c r="BA272" s="857"/>
      <c r="BB272" s="857"/>
      <c r="BC272" s="857"/>
      <c r="BD272" s="857"/>
      <c r="BE272" s="857"/>
      <c r="BF272" s="857"/>
      <c r="BG272" s="857"/>
    </row>
    <row r="273" spans="1:59" ht="15.75" customHeight="1">
      <c r="A273" s="857"/>
      <c r="B273" s="857"/>
      <c r="C273" s="857"/>
      <c r="D273" s="857"/>
      <c r="E273" s="857"/>
      <c r="F273" s="857"/>
      <c r="G273" s="857"/>
      <c r="H273" s="857"/>
      <c r="I273" s="857"/>
      <c r="J273" s="857"/>
      <c r="K273" s="857"/>
      <c r="L273" s="857"/>
      <c r="M273" s="857"/>
      <c r="N273" s="857"/>
      <c r="O273" s="857"/>
      <c r="P273" s="857"/>
      <c r="Q273" s="857"/>
      <c r="R273" s="857"/>
      <c r="S273" s="857"/>
      <c r="T273" s="857"/>
      <c r="U273" s="857"/>
      <c r="V273" s="857"/>
      <c r="W273" s="857"/>
      <c r="X273" s="857"/>
      <c r="Y273" s="857"/>
      <c r="Z273" s="857"/>
      <c r="AA273" s="857"/>
      <c r="AB273" s="857"/>
      <c r="AC273" s="857"/>
      <c r="AD273" s="857"/>
      <c r="AE273" s="857"/>
      <c r="AF273" s="857"/>
      <c r="AG273" s="857"/>
      <c r="AH273" s="857"/>
      <c r="AI273" s="857"/>
      <c r="AJ273" s="857"/>
      <c r="AK273" s="857"/>
      <c r="AL273" s="857"/>
      <c r="AM273" s="857"/>
      <c r="AN273" s="857"/>
      <c r="AO273" s="857"/>
      <c r="AP273" s="857"/>
      <c r="AQ273" s="857"/>
      <c r="AR273" s="857"/>
      <c r="AS273" s="857"/>
      <c r="AT273" s="855"/>
      <c r="AV273" s="857"/>
      <c r="AW273" s="857"/>
      <c r="AX273" s="857"/>
      <c r="AY273" s="857"/>
      <c r="AZ273" s="857"/>
      <c r="BA273" s="857"/>
      <c r="BB273" s="857"/>
      <c r="BC273" s="857"/>
      <c r="BD273" s="857"/>
      <c r="BE273" s="857"/>
      <c r="BF273" s="857"/>
      <c r="BG273" s="857"/>
    </row>
    <row r="274" spans="1:59" ht="15.75" customHeight="1">
      <c r="A274" s="857"/>
      <c r="B274" s="857"/>
      <c r="C274" s="857"/>
      <c r="D274" s="857"/>
      <c r="E274" s="857"/>
      <c r="F274" s="857"/>
      <c r="G274" s="857"/>
      <c r="H274" s="857"/>
      <c r="I274" s="857"/>
      <c r="J274" s="857"/>
      <c r="K274" s="857"/>
      <c r="L274" s="857"/>
      <c r="M274" s="857"/>
      <c r="N274" s="857"/>
      <c r="O274" s="857"/>
      <c r="P274" s="857"/>
      <c r="Q274" s="857"/>
      <c r="R274" s="857"/>
      <c r="S274" s="857"/>
      <c r="T274" s="857"/>
      <c r="U274" s="857"/>
      <c r="V274" s="857"/>
      <c r="W274" s="857"/>
      <c r="X274" s="857"/>
      <c r="Y274" s="857"/>
      <c r="Z274" s="857"/>
      <c r="AA274" s="857"/>
      <c r="AB274" s="857"/>
      <c r="AC274" s="857"/>
      <c r="AD274" s="857"/>
      <c r="AE274" s="857"/>
      <c r="AF274" s="857"/>
      <c r="AG274" s="857"/>
      <c r="AH274" s="857"/>
      <c r="AI274" s="857"/>
      <c r="AJ274" s="857"/>
      <c r="AK274" s="857"/>
      <c r="AL274" s="857"/>
      <c r="AM274" s="857"/>
      <c r="AN274" s="857"/>
      <c r="AO274" s="857"/>
      <c r="AP274" s="857"/>
      <c r="AQ274" s="857"/>
      <c r="AR274" s="857"/>
      <c r="AS274" s="857"/>
      <c r="AT274" s="855"/>
      <c r="AV274" s="857"/>
      <c r="AW274" s="857"/>
      <c r="AX274" s="857"/>
      <c r="AY274" s="857"/>
      <c r="AZ274" s="857"/>
      <c r="BA274" s="857"/>
      <c r="BB274" s="857"/>
      <c r="BC274" s="857"/>
      <c r="BD274" s="857"/>
      <c r="BE274" s="857"/>
      <c r="BF274" s="857"/>
      <c r="BG274" s="857"/>
    </row>
    <row r="275" spans="1:59" ht="15.75" customHeight="1">
      <c r="A275" s="857"/>
      <c r="B275" s="857"/>
      <c r="C275" s="857"/>
      <c r="D275" s="857"/>
      <c r="E275" s="857"/>
      <c r="F275" s="857"/>
      <c r="G275" s="857"/>
      <c r="H275" s="857"/>
      <c r="I275" s="857"/>
      <c r="J275" s="857"/>
      <c r="K275" s="857"/>
      <c r="L275" s="857"/>
      <c r="M275" s="857"/>
      <c r="N275" s="857"/>
      <c r="O275" s="857"/>
      <c r="P275" s="857"/>
      <c r="Q275" s="857"/>
      <c r="R275" s="857"/>
      <c r="S275" s="857"/>
      <c r="T275" s="857"/>
      <c r="U275" s="857"/>
      <c r="V275" s="857"/>
      <c r="W275" s="857"/>
      <c r="X275" s="857"/>
      <c r="Y275" s="857"/>
      <c r="Z275" s="857"/>
      <c r="AA275" s="857"/>
      <c r="AB275" s="857"/>
      <c r="AC275" s="857"/>
      <c r="AD275" s="857"/>
      <c r="AE275" s="857"/>
      <c r="AF275" s="857"/>
      <c r="AG275" s="857"/>
      <c r="AH275" s="857"/>
      <c r="AI275" s="857"/>
      <c r="AJ275" s="857"/>
      <c r="AK275" s="857"/>
      <c r="AL275" s="857"/>
      <c r="AM275" s="857"/>
      <c r="AN275" s="857"/>
      <c r="AO275" s="857"/>
      <c r="AP275" s="857"/>
      <c r="AQ275" s="857"/>
      <c r="AR275" s="857"/>
      <c r="AS275" s="857"/>
      <c r="AT275" s="855"/>
      <c r="AV275" s="857"/>
      <c r="AW275" s="857"/>
      <c r="AX275" s="857"/>
      <c r="AY275" s="857"/>
      <c r="AZ275" s="857"/>
      <c r="BA275" s="857"/>
      <c r="BB275" s="857"/>
      <c r="BC275" s="857"/>
      <c r="BD275" s="857"/>
      <c r="BE275" s="857"/>
      <c r="BF275" s="857"/>
      <c r="BG275" s="857"/>
    </row>
    <row r="276" spans="1:59" ht="15.75" customHeight="1">
      <c r="A276" s="857"/>
      <c r="B276" s="857"/>
      <c r="C276" s="857"/>
      <c r="D276" s="857"/>
      <c r="E276" s="857"/>
      <c r="F276" s="857"/>
      <c r="G276" s="857"/>
      <c r="H276" s="857"/>
      <c r="I276" s="857"/>
      <c r="J276" s="857"/>
      <c r="K276" s="857"/>
      <c r="L276" s="857"/>
      <c r="M276" s="857"/>
      <c r="N276" s="857"/>
      <c r="O276" s="857"/>
      <c r="P276" s="857"/>
      <c r="Q276" s="857"/>
      <c r="R276" s="857"/>
      <c r="S276" s="857"/>
      <c r="T276" s="857"/>
      <c r="U276" s="857"/>
      <c r="V276" s="857"/>
      <c r="W276" s="857"/>
      <c r="X276" s="857"/>
      <c r="Y276" s="857"/>
      <c r="Z276" s="857"/>
      <c r="AA276" s="857"/>
      <c r="AB276" s="857"/>
      <c r="AC276" s="857"/>
      <c r="AD276" s="857"/>
      <c r="AE276" s="857"/>
      <c r="AF276" s="857"/>
      <c r="AG276" s="857"/>
      <c r="AH276" s="857"/>
      <c r="AI276" s="857"/>
      <c r="AJ276" s="857"/>
      <c r="AK276" s="857"/>
      <c r="AL276" s="857"/>
      <c r="AM276" s="857"/>
      <c r="AN276" s="857"/>
      <c r="AO276" s="857"/>
      <c r="AP276" s="857"/>
      <c r="AQ276" s="857"/>
      <c r="AR276" s="857"/>
      <c r="AS276" s="857"/>
      <c r="AT276" s="855"/>
      <c r="AV276" s="857"/>
      <c r="AW276" s="857"/>
      <c r="AX276" s="857"/>
      <c r="AY276" s="857"/>
      <c r="AZ276" s="857"/>
      <c r="BA276" s="857"/>
      <c r="BB276" s="857"/>
      <c r="BC276" s="857"/>
      <c r="BD276" s="857"/>
      <c r="BE276" s="857"/>
      <c r="BF276" s="857"/>
      <c r="BG276" s="857"/>
    </row>
    <row r="277" spans="1:59" ht="15.75" customHeight="1">
      <c r="A277" s="857"/>
      <c r="B277" s="857"/>
      <c r="C277" s="857"/>
      <c r="D277" s="857"/>
      <c r="E277" s="857"/>
      <c r="F277" s="857"/>
      <c r="G277" s="857"/>
      <c r="H277" s="857"/>
      <c r="I277" s="857"/>
      <c r="J277" s="857"/>
      <c r="K277" s="857"/>
      <c r="L277" s="857"/>
      <c r="M277" s="857"/>
      <c r="N277" s="857"/>
      <c r="O277" s="857"/>
      <c r="P277" s="857"/>
      <c r="Q277" s="857"/>
      <c r="R277" s="857"/>
      <c r="S277" s="857"/>
      <c r="T277" s="857"/>
      <c r="U277" s="857"/>
      <c r="V277" s="857"/>
      <c r="W277" s="857"/>
      <c r="X277" s="857"/>
      <c r="Y277" s="857"/>
      <c r="Z277" s="857"/>
      <c r="AA277" s="857"/>
      <c r="AB277" s="857"/>
      <c r="AC277" s="857"/>
      <c r="AD277" s="857"/>
      <c r="AE277" s="857"/>
      <c r="AF277" s="857"/>
      <c r="AG277" s="857"/>
      <c r="AH277" s="857"/>
      <c r="AI277" s="857"/>
      <c r="AJ277" s="857"/>
      <c r="AK277" s="857"/>
      <c r="AL277" s="857"/>
      <c r="AM277" s="857"/>
      <c r="AN277" s="857"/>
      <c r="AO277" s="857"/>
      <c r="AP277" s="857"/>
      <c r="AQ277" s="857"/>
      <c r="AR277" s="857"/>
      <c r="AS277" s="857"/>
      <c r="AT277" s="855"/>
      <c r="AV277" s="857"/>
      <c r="AW277" s="857"/>
      <c r="AX277" s="857"/>
      <c r="AY277" s="857"/>
      <c r="AZ277" s="857"/>
      <c r="BA277" s="857"/>
      <c r="BB277" s="857"/>
      <c r="BC277" s="857"/>
      <c r="BD277" s="857"/>
      <c r="BE277" s="857"/>
      <c r="BF277" s="857"/>
      <c r="BG277" s="857"/>
    </row>
    <row r="278" spans="1:59" ht="15.75" customHeight="1">
      <c r="A278" s="857"/>
      <c r="B278" s="857"/>
      <c r="C278" s="857"/>
      <c r="D278" s="857"/>
      <c r="E278" s="857"/>
      <c r="F278" s="857"/>
      <c r="G278" s="857"/>
      <c r="H278" s="857"/>
      <c r="I278" s="857"/>
      <c r="J278" s="857"/>
      <c r="K278" s="857"/>
      <c r="L278" s="857"/>
      <c r="M278" s="857"/>
      <c r="N278" s="857"/>
      <c r="O278" s="857"/>
      <c r="P278" s="857"/>
      <c r="Q278" s="857"/>
      <c r="R278" s="857"/>
      <c r="S278" s="857"/>
      <c r="T278" s="857"/>
      <c r="U278" s="857"/>
      <c r="V278" s="857"/>
      <c r="W278" s="857"/>
      <c r="X278" s="857"/>
      <c r="Y278" s="857"/>
      <c r="Z278" s="857"/>
      <c r="AA278" s="857"/>
      <c r="AB278" s="857"/>
      <c r="AC278" s="857"/>
      <c r="AD278" s="857"/>
      <c r="AE278" s="857"/>
      <c r="AF278" s="857"/>
      <c r="AG278" s="857"/>
      <c r="AH278" s="857"/>
      <c r="AI278" s="857"/>
      <c r="AJ278" s="857"/>
      <c r="AK278" s="857"/>
      <c r="AL278" s="857"/>
      <c r="AM278" s="857"/>
      <c r="AN278" s="857"/>
      <c r="AO278" s="857"/>
      <c r="AP278" s="857"/>
      <c r="AQ278" s="857"/>
      <c r="AR278" s="857"/>
      <c r="AS278" s="857"/>
      <c r="AT278" s="855"/>
      <c r="AV278" s="857"/>
      <c r="AW278" s="857"/>
      <c r="AX278" s="857"/>
      <c r="AY278" s="857"/>
      <c r="AZ278" s="857"/>
      <c r="BA278" s="857"/>
      <c r="BB278" s="857"/>
      <c r="BC278" s="857"/>
      <c r="BD278" s="857"/>
      <c r="BE278" s="857"/>
      <c r="BF278" s="857"/>
      <c r="BG278" s="857"/>
    </row>
    <row r="279" spans="1:59" ht="15.75" customHeight="1">
      <c r="A279" s="857"/>
      <c r="B279" s="857"/>
      <c r="C279" s="857"/>
      <c r="D279" s="857"/>
      <c r="E279" s="857"/>
      <c r="F279" s="857"/>
      <c r="G279" s="857"/>
      <c r="H279" s="857"/>
      <c r="I279" s="857"/>
      <c r="J279" s="857"/>
      <c r="K279" s="857"/>
      <c r="L279" s="857"/>
      <c r="M279" s="857"/>
      <c r="N279" s="857"/>
      <c r="O279" s="857"/>
      <c r="P279" s="857"/>
      <c r="Q279" s="857"/>
      <c r="R279" s="857"/>
      <c r="S279" s="857"/>
      <c r="T279" s="857"/>
      <c r="U279" s="857"/>
      <c r="V279" s="857"/>
      <c r="W279" s="857"/>
      <c r="X279" s="857"/>
      <c r="Y279" s="857"/>
      <c r="Z279" s="857"/>
      <c r="AA279" s="857"/>
      <c r="AB279" s="857"/>
      <c r="AC279" s="857"/>
      <c r="AD279" s="857"/>
      <c r="AE279" s="857"/>
      <c r="AF279" s="857"/>
      <c r="AG279" s="857"/>
      <c r="AH279" s="857"/>
      <c r="AI279" s="857"/>
      <c r="AJ279" s="857"/>
      <c r="AK279" s="857"/>
      <c r="AL279" s="857"/>
      <c r="AM279" s="857"/>
      <c r="AN279" s="857"/>
      <c r="AO279" s="857"/>
      <c r="AP279" s="857"/>
      <c r="AQ279" s="857"/>
      <c r="AR279" s="857"/>
      <c r="AS279" s="857"/>
      <c r="AT279" s="855"/>
      <c r="AV279" s="857"/>
      <c r="AW279" s="857"/>
      <c r="AX279" s="857"/>
      <c r="AY279" s="857"/>
      <c r="AZ279" s="857"/>
      <c r="BA279" s="857"/>
      <c r="BB279" s="857"/>
      <c r="BC279" s="857"/>
      <c r="BD279" s="857"/>
      <c r="BE279" s="857"/>
      <c r="BF279" s="857"/>
      <c r="BG279" s="857"/>
    </row>
    <row r="280" spans="1:59" ht="15.75" customHeight="1">
      <c r="A280" s="857"/>
      <c r="B280" s="857"/>
      <c r="C280" s="857"/>
      <c r="D280" s="857"/>
      <c r="E280" s="857"/>
      <c r="F280" s="857"/>
      <c r="G280" s="857"/>
      <c r="H280" s="857"/>
      <c r="I280" s="857"/>
      <c r="J280" s="857"/>
      <c r="K280" s="857"/>
      <c r="L280" s="857"/>
      <c r="M280" s="857"/>
      <c r="N280" s="857"/>
      <c r="O280" s="857"/>
      <c r="P280" s="857"/>
      <c r="Q280" s="857"/>
      <c r="R280" s="857"/>
      <c r="S280" s="857"/>
      <c r="T280" s="857"/>
      <c r="U280" s="857"/>
      <c r="V280" s="857"/>
      <c r="W280" s="857"/>
      <c r="X280" s="857"/>
      <c r="Y280" s="857"/>
      <c r="Z280" s="857"/>
      <c r="AA280" s="857"/>
      <c r="AB280" s="857"/>
      <c r="AC280" s="857"/>
      <c r="AD280" s="857"/>
      <c r="AE280" s="857"/>
      <c r="AF280" s="857"/>
      <c r="AG280" s="857"/>
      <c r="AH280" s="857"/>
      <c r="AI280" s="857"/>
      <c r="AJ280" s="857"/>
      <c r="AK280" s="857"/>
      <c r="AL280" s="857"/>
      <c r="AM280" s="857"/>
      <c r="AN280" s="857"/>
      <c r="AO280" s="857"/>
      <c r="AP280" s="857"/>
      <c r="AQ280" s="857"/>
      <c r="AR280" s="857"/>
      <c r="AS280" s="857"/>
      <c r="AT280" s="855"/>
      <c r="AV280" s="857"/>
      <c r="AW280" s="857"/>
      <c r="AX280" s="857"/>
      <c r="AY280" s="857"/>
      <c r="AZ280" s="857"/>
      <c r="BA280" s="857"/>
      <c r="BB280" s="857"/>
      <c r="BC280" s="857"/>
      <c r="BD280" s="857"/>
      <c r="BE280" s="857"/>
      <c r="BF280" s="857"/>
      <c r="BG280" s="857"/>
    </row>
    <row r="281" spans="1:59" ht="15.75" customHeight="1">
      <c r="A281" s="857"/>
      <c r="B281" s="857"/>
      <c r="C281" s="857"/>
      <c r="D281" s="857"/>
      <c r="E281" s="857"/>
      <c r="F281" s="857"/>
      <c r="G281" s="857"/>
      <c r="H281" s="857"/>
      <c r="I281" s="857"/>
      <c r="J281" s="857"/>
      <c r="K281" s="857"/>
      <c r="L281" s="857"/>
      <c r="M281" s="857"/>
      <c r="N281" s="857"/>
      <c r="O281" s="857"/>
      <c r="P281" s="857"/>
      <c r="Q281" s="857"/>
      <c r="R281" s="857"/>
      <c r="S281" s="857"/>
      <c r="T281" s="857"/>
      <c r="U281" s="857"/>
      <c r="V281" s="857"/>
      <c r="W281" s="857"/>
      <c r="X281" s="857"/>
      <c r="Y281" s="857"/>
      <c r="Z281" s="857"/>
      <c r="AA281" s="857"/>
      <c r="AB281" s="857"/>
      <c r="AC281" s="857"/>
      <c r="AD281" s="857"/>
      <c r="AE281" s="857"/>
      <c r="AF281" s="857"/>
      <c r="AG281" s="857"/>
      <c r="AH281" s="857"/>
      <c r="AI281" s="857"/>
      <c r="AJ281" s="857"/>
      <c r="AK281" s="857"/>
      <c r="AL281" s="857"/>
      <c r="AM281" s="857"/>
      <c r="AN281" s="857"/>
      <c r="AO281" s="857"/>
      <c r="AP281" s="857"/>
      <c r="AQ281" s="857"/>
      <c r="AR281" s="857"/>
      <c r="AS281" s="857"/>
      <c r="AT281" s="855"/>
      <c r="AV281" s="857"/>
      <c r="AW281" s="857"/>
      <c r="AX281" s="857"/>
      <c r="AY281" s="857"/>
      <c r="AZ281" s="857"/>
      <c r="BA281" s="857"/>
      <c r="BB281" s="857"/>
      <c r="BC281" s="857"/>
      <c r="BD281" s="857"/>
      <c r="BE281" s="857"/>
      <c r="BF281" s="857"/>
      <c r="BG281" s="857"/>
    </row>
    <row r="282" spans="1:59" ht="15.75" customHeight="1">
      <c r="A282" s="857"/>
      <c r="B282" s="857"/>
      <c r="C282" s="857"/>
      <c r="D282" s="857"/>
      <c r="E282" s="857"/>
      <c r="F282" s="857"/>
      <c r="G282" s="857"/>
      <c r="H282" s="857"/>
      <c r="I282" s="857"/>
      <c r="J282" s="857"/>
      <c r="K282" s="857"/>
      <c r="L282" s="857"/>
      <c r="M282" s="857"/>
      <c r="N282" s="857"/>
      <c r="O282" s="857"/>
      <c r="P282" s="857"/>
      <c r="Q282" s="857"/>
      <c r="R282" s="857"/>
      <c r="S282" s="857"/>
      <c r="T282" s="857"/>
      <c r="U282" s="857"/>
      <c r="V282" s="857"/>
      <c r="W282" s="857"/>
      <c r="X282" s="857"/>
      <c r="Y282" s="857"/>
      <c r="Z282" s="857"/>
      <c r="AA282" s="857"/>
      <c r="AB282" s="857"/>
      <c r="AC282" s="857"/>
      <c r="AD282" s="857"/>
      <c r="AE282" s="857"/>
      <c r="AF282" s="857"/>
      <c r="AG282" s="857"/>
      <c r="AH282" s="857"/>
      <c r="AI282" s="857"/>
      <c r="AJ282" s="857"/>
      <c r="AK282" s="857"/>
      <c r="AL282" s="857"/>
      <c r="AM282" s="857"/>
      <c r="AN282" s="857"/>
      <c r="AO282" s="857"/>
      <c r="AP282" s="857"/>
      <c r="AQ282" s="857"/>
      <c r="AR282" s="857"/>
      <c r="AS282" s="857"/>
      <c r="AT282" s="855"/>
      <c r="AV282" s="857"/>
      <c r="AW282" s="857"/>
      <c r="AX282" s="857"/>
      <c r="AY282" s="857"/>
      <c r="AZ282" s="857"/>
      <c r="BA282" s="857"/>
      <c r="BB282" s="857"/>
      <c r="BC282" s="857"/>
      <c r="BD282" s="857"/>
      <c r="BE282" s="857"/>
      <c r="BF282" s="857"/>
      <c r="BG282" s="857"/>
    </row>
    <row r="283" spans="1:59" ht="15.75" customHeight="1">
      <c r="A283" s="857"/>
      <c r="B283" s="857"/>
      <c r="C283" s="857"/>
      <c r="D283" s="857"/>
      <c r="E283" s="857"/>
      <c r="F283" s="857"/>
      <c r="G283" s="857"/>
      <c r="H283" s="857"/>
      <c r="I283" s="857"/>
      <c r="J283" s="857"/>
      <c r="K283" s="857"/>
      <c r="L283" s="857"/>
      <c r="M283" s="857"/>
      <c r="N283" s="857"/>
      <c r="O283" s="857"/>
      <c r="P283" s="857"/>
      <c r="Q283" s="857"/>
      <c r="R283" s="857"/>
      <c r="S283" s="857"/>
      <c r="T283" s="857"/>
      <c r="U283" s="857"/>
      <c r="V283" s="857"/>
      <c r="W283" s="857"/>
      <c r="X283" s="857"/>
      <c r="Y283" s="857"/>
      <c r="Z283" s="857"/>
      <c r="AA283" s="857"/>
      <c r="AB283" s="857"/>
      <c r="AC283" s="857"/>
      <c r="AD283" s="857"/>
      <c r="AE283" s="857"/>
      <c r="AF283" s="857"/>
      <c r="AG283" s="857"/>
      <c r="AH283" s="857"/>
      <c r="AI283" s="857"/>
      <c r="AJ283" s="857"/>
      <c r="AK283" s="857"/>
      <c r="AL283" s="857"/>
      <c r="AM283" s="857"/>
      <c r="AN283" s="857"/>
      <c r="AO283" s="857"/>
      <c r="AP283" s="857"/>
      <c r="AQ283" s="857"/>
      <c r="AR283" s="857"/>
      <c r="AS283" s="857"/>
      <c r="AT283" s="855"/>
      <c r="AV283" s="857"/>
      <c r="AW283" s="857"/>
      <c r="AX283" s="857"/>
      <c r="AY283" s="857"/>
      <c r="AZ283" s="857"/>
      <c r="BA283" s="857"/>
      <c r="BB283" s="857"/>
      <c r="BC283" s="857"/>
      <c r="BD283" s="857"/>
      <c r="BE283" s="857"/>
      <c r="BF283" s="857"/>
      <c r="BG283" s="857"/>
    </row>
    <row r="284" spans="1:59" ht="15.75" customHeight="1">
      <c r="A284" s="857"/>
      <c r="B284" s="857"/>
      <c r="C284" s="857"/>
      <c r="D284" s="857"/>
      <c r="E284" s="857"/>
      <c r="F284" s="857"/>
      <c r="G284" s="857"/>
      <c r="H284" s="857"/>
      <c r="I284" s="857"/>
      <c r="J284" s="857"/>
      <c r="K284" s="857"/>
      <c r="L284" s="857"/>
      <c r="M284" s="857"/>
      <c r="N284" s="857"/>
      <c r="O284" s="857"/>
      <c r="P284" s="857"/>
      <c r="Q284" s="857"/>
      <c r="R284" s="857"/>
      <c r="S284" s="857"/>
      <c r="T284" s="857"/>
      <c r="U284" s="857"/>
      <c r="V284" s="857"/>
      <c r="W284" s="857"/>
      <c r="X284" s="857"/>
      <c r="Y284" s="857"/>
      <c r="Z284" s="857"/>
      <c r="AA284" s="857"/>
      <c r="AB284" s="857"/>
      <c r="AC284" s="857"/>
      <c r="AD284" s="857"/>
      <c r="AE284" s="857"/>
      <c r="AF284" s="857"/>
      <c r="AG284" s="857"/>
      <c r="AH284" s="857"/>
      <c r="AI284" s="857"/>
      <c r="AJ284" s="857"/>
      <c r="AK284" s="857"/>
      <c r="AL284" s="857"/>
      <c r="AM284" s="857"/>
      <c r="AN284" s="857"/>
      <c r="AO284" s="857"/>
      <c r="AP284" s="857"/>
      <c r="AQ284" s="857"/>
      <c r="AR284" s="857"/>
      <c r="AS284" s="857"/>
      <c r="AT284" s="855"/>
      <c r="AV284" s="857"/>
      <c r="AW284" s="857"/>
      <c r="AX284" s="857"/>
      <c r="AY284" s="857"/>
      <c r="AZ284" s="857"/>
      <c r="BA284" s="857"/>
      <c r="BB284" s="857"/>
      <c r="BC284" s="857"/>
      <c r="BD284" s="857"/>
      <c r="BE284" s="857"/>
      <c r="BF284" s="857"/>
      <c r="BG284" s="857"/>
    </row>
    <row r="285" spans="1:59" ht="15.75" customHeight="1">
      <c r="A285" s="857"/>
      <c r="B285" s="857"/>
      <c r="C285" s="857"/>
      <c r="D285" s="857"/>
      <c r="E285" s="857"/>
      <c r="F285" s="857"/>
      <c r="G285" s="857"/>
      <c r="H285" s="857"/>
      <c r="I285" s="857"/>
      <c r="J285" s="857"/>
      <c r="K285" s="857"/>
      <c r="L285" s="857"/>
      <c r="M285" s="857"/>
      <c r="N285" s="857"/>
      <c r="O285" s="857"/>
      <c r="P285" s="857"/>
      <c r="Q285" s="857"/>
      <c r="R285" s="857"/>
      <c r="S285" s="857"/>
      <c r="T285" s="857"/>
      <c r="U285" s="857"/>
      <c r="V285" s="857"/>
      <c r="W285" s="857"/>
      <c r="X285" s="857"/>
      <c r="Y285" s="857"/>
      <c r="Z285" s="857"/>
      <c r="AA285" s="857"/>
      <c r="AB285" s="857"/>
      <c r="AC285" s="857"/>
      <c r="AD285" s="857"/>
      <c r="AE285" s="857"/>
      <c r="AF285" s="857"/>
      <c r="AG285" s="857"/>
      <c r="AH285" s="857"/>
      <c r="AI285" s="857"/>
      <c r="AJ285" s="857"/>
      <c r="AK285" s="857"/>
      <c r="AL285" s="857"/>
      <c r="AM285" s="857"/>
      <c r="AN285" s="857"/>
      <c r="AO285" s="857"/>
      <c r="AP285" s="857"/>
      <c r="AQ285" s="857"/>
      <c r="AR285" s="857"/>
      <c r="AS285" s="857"/>
      <c r="AT285" s="855"/>
      <c r="AV285" s="857"/>
      <c r="AW285" s="857"/>
      <c r="AX285" s="857"/>
      <c r="AY285" s="857"/>
      <c r="AZ285" s="857"/>
      <c r="BA285" s="857"/>
      <c r="BB285" s="857"/>
      <c r="BC285" s="857"/>
      <c r="BD285" s="857"/>
      <c r="BE285" s="857"/>
      <c r="BF285" s="857"/>
      <c r="BG285" s="857"/>
    </row>
    <row r="286" spans="1:59" ht="15.75" customHeight="1">
      <c r="A286" s="857"/>
      <c r="B286" s="857"/>
      <c r="C286" s="857"/>
      <c r="D286" s="857"/>
      <c r="E286" s="857"/>
      <c r="F286" s="857"/>
      <c r="G286" s="857"/>
      <c r="H286" s="857"/>
      <c r="I286" s="857"/>
      <c r="J286" s="857"/>
      <c r="K286" s="857"/>
      <c r="L286" s="857"/>
      <c r="M286" s="857"/>
      <c r="N286" s="857"/>
      <c r="O286" s="857"/>
      <c r="P286" s="857"/>
      <c r="Q286" s="857"/>
      <c r="R286" s="857"/>
      <c r="S286" s="857"/>
      <c r="T286" s="857"/>
      <c r="U286" s="857"/>
      <c r="V286" s="857"/>
      <c r="W286" s="857"/>
      <c r="X286" s="857"/>
      <c r="Y286" s="857"/>
      <c r="Z286" s="857"/>
      <c r="AA286" s="857"/>
      <c r="AB286" s="857"/>
      <c r="AC286" s="857"/>
      <c r="AD286" s="857"/>
      <c r="AE286" s="857"/>
      <c r="AF286" s="857"/>
      <c r="AG286" s="857"/>
      <c r="AH286" s="857"/>
      <c r="AI286" s="857"/>
      <c r="AJ286" s="857"/>
      <c r="AK286" s="857"/>
      <c r="AL286" s="857"/>
      <c r="AM286" s="857"/>
      <c r="AN286" s="857"/>
      <c r="AO286" s="857"/>
      <c r="AP286" s="857"/>
      <c r="AQ286" s="857"/>
      <c r="AR286" s="857"/>
      <c r="AS286" s="857"/>
      <c r="AT286" s="855"/>
      <c r="AV286" s="857"/>
      <c r="AW286" s="857"/>
      <c r="AX286" s="857"/>
      <c r="AY286" s="857"/>
      <c r="AZ286" s="857"/>
      <c r="BA286" s="857"/>
      <c r="BB286" s="857"/>
      <c r="BC286" s="857"/>
      <c r="BD286" s="857"/>
      <c r="BE286" s="857"/>
      <c r="BF286" s="857"/>
      <c r="BG286" s="857"/>
    </row>
    <row r="287" spans="1:59" ht="15.75" customHeight="1">
      <c r="A287" s="857"/>
      <c r="B287" s="857"/>
      <c r="C287" s="857"/>
      <c r="D287" s="857"/>
      <c r="E287" s="857"/>
      <c r="F287" s="857"/>
      <c r="G287" s="857"/>
      <c r="H287" s="857"/>
      <c r="I287" s="857"/>
      <c r="J287" s="857"/>
      <c r="K287" s="857"/>
      <c r="L287" s="857"/>
      <c r="M287" s="857"/>
      <c r="N287" s="857"/>
      <c r="O287" s="857"/>
      <c r="P287" s="857"/>
      <c r="Q287" s="857"/>
      <c r="R287" s="857"/>
      <c r="S287" s="857"/>
      <c r="T287" s="857"/>
      <c r="U287" s="857"/>
      <c r="V287" s="857"/>
      <c r="W287" s="857"/>
      <c r="X287" s="857"/>
      <c r="Y287" s="857"/>
      <c r="Z287" s="857"/>
      <c r="AA287" s="857"/>
      <c r="AB287" s="857"/>
      <c r="AC287" s="857"/>
      <c r="AD287" s="857"/>
      <c r="AE287" s="857"/>
      <c r="AF287" s="857"/>
      <c r="AG287" s="857"/>
      <c r="AH287" s="857"/>
      <c r="AI287" s="857"/>
      <c r="AJ287" s="857"/>
      <c r="AK287" s="857"/>
      <c r="AL287" s="857"/>
      <c r="AM287" s="857"/>
      <c r="AN287" s="857"/>
      <c r="AO287" s="857"/>
      <c r="AP287" s="857"/>
      <c r="AQ287" s="857"/>
      <c r="AR287" s="857"/>
      <c r="AS287" s="857"/>
      <c r="AT287" s="855"/>
      <c r="AV287" s="857"/>
      <c r="AW287" s="857"/>
      <c r="AX287" s="857"/>
      <c r="AY287" s="857"/>
      <c r="AZ287" s="857"/>
      <c r="BA287" s="857"/>
      <c r="BB287" s="857"/>
      <c r="BC287" s="857"/>
      <c r="BD287" s="857"/>
      <c r="BE287" s="857"/>
      <c r="BF287" s="857"/>
      <c r="BG287" s="857"/>
    </row>
    <row r="288" spans="1:59" ht="15.75" customHeight="1">
      <c r="A288" s="857"/>
      <c r="B288" s="857"/>
      <c r="C288" s="857"/>
      <c r="D288" s="857"/>
      <c r="E288" s="857"/>
      <c r="F288" s="857"/>
      <c r="G288" s="857"/>
      <c r="H288" s="857"/>
      <c r="I288" s="857"/>
      <c r="J288" s="857"/>
      <c r="K288" s="857"/>
      <c r="L288" s="857"/>
      <c r="M288" s="857"/>
      <c r="N288" s="857"/>
      <c r="O288" s="857"/>
      <c r="P288" s="857"/>
      <c r="Q288" s="857"/>
      <c r="R288" s="857"/>
      <c r="S288" s="857"/>
      <c r="T288" s="857"/>
      <c r="U288" s="857"/>
      <c r="V288" s="857"/>
      <c r="W288" s="857"/>
      <c r="X288" s="857"/>
      <c r="Y288" s="857"/>
      <c r="Z288" s="857"/>
      <c r="AA288" s="857"/>
      <c r="AB288" s="857"/>
      <c r="AC288" s="857"/>
      <c r="AD288" s="857"/>
      <c r="AE288" s="857"/>
      <c r="AF288" s="857"/>
      <c r="AG288" s="857"/>
      <c r="AH288" s="857"/>
      <c r="AI288" s="857"/>
      <c r="AJ288" s="857"/>
      <c r="AK288" s="857"/>
      <c r="AL288" s="857"/>
      <c r="AM288" s="857"/>
      <c r="AN288" s="857"/>
      <c r="AO288" s="857"/>
      <c r="AP288" s="857"/>
      <c r="AQ288" s="857"/>
      <c r="AR288" s="857"/>
      <c r="AS288" s="857"/>
      <c r="AT288" s="855"/>
      <c r="AV288" s="857"/>
      <c r="AW288" s="857"/>
      <c r="AX288" s="857"/>
      <c r="AY288" s="857"/>
      <c r="AZ288" s="857"/>
      <c r="BA288" s="857"/>
      <c r="BB288" s="857"/>
      <c r="BC288" s="857"/>
      <c r="BD288" s="857"/>
      <c r="BE288" s="857"/>
      <c r="BF288" s="857"/>
      <c r="BG288" s="857"/>
    </row>
    <row r="289" spans="1:59" ht="15.75" customHeight="1">
      <c r="A289" s="857"/>
      <c r="B289" s="857"/>
      <c r="C289" s="857"/>
      <c r="D289" s="857"/>
      <c r="E289" s="857"/>
      <c r="F289" s="857"/>
      <c r="G289" s="857"/>
      <c r="H289" s="857"/>
      <c r="I289" s="857"/>
      <c r="J289" s="857"/>
      <c r="K289" s="857"/>
      <c r="L289" s="857"/>
      <c r="M289" s="857"/>
      <c r="N289" s="857"/>
      <c r="O289" s="857"/>
      <c r="P289" s="857"/>
      <c r="Q289" s="857"/>
      <c r="R289" s="857"/>
      <c r="S289" s="857"/>
      <c r="T289" s="857"/>
      <c r="U289" s="857"/>
      <c r="V289" s="857"/>
      <c r="W289" s="857"/>
      <c r="X289" s="857"/>
      <c r="Y289" s="857"/>
      <c r="Z289" s="857"/>
      <c r="AA289" s="857"/>
      <c r="AB289" s="857"/>
      <c r="AC289" s="857"/>
      <c r="AD289" s="857"/>
      <c r="AE289" s="857"/>
      <c r="AF289" s="857"/>
      <c r="AG289" s="857"/>
      <c r="AH289" s="857"/>
      <c r="AI289" s="857"/>
      <c r="AJ289" s="857"/>
      <c r="AK289" s="857"/>
      <c r="AL289" s="857"/>
      <c r="AM289" s="857"/>
      <c r="AN289" s="857"/>
      <c r="AO289" s="857"/>
      <c r="AP289" s="857"/>
      <c r="AQ289" s="857"/>
      <c r="AR289" s="857"/>
      <c r="AS289" s="857"/>
      <c r="AT289" s="855"/>
      <c r="AV289" s="857"/>
      <c r="AW289" s="857"/>
      <c r="AX289" s="857"/>
      <c r="AY289" s="857"/>
      <c r="AZ289" s="857"/>
      <c r="BA289" s="857"/>
      <c r="BB289" s="857"/>
      <c r="BC289" s="857"/>
      <c r="BD289" s="857"/>
      <c r="BE289" s="857"/>
      <c r="BF289" s="857"/>
      <c r="BG289" s="857"/>
    </row>
    <row r="290" spans="1:59" ht="15.75" customHeight="1">
      <c r="A290" s="857"/>
      <c r="B290" s="857"/>
      <c r="C290" s="857"/>
      <c r="D290" s="857"/>
      <c r="E290" s="857"/>
      <c r="F290" s="857"/>
      <c r="G290" s="857"/>
      <c r="H290" s="857"/>
      <c r="I290" s="857"/>
      <c r="J290" s="857"/>
      <c r="K290" s="857"/>
      <c r="L290" s="857"/>
      <c r="M290" s="857"/>
      <c r="N290" s="857"/>
      <c r="O290" s="857"/>
      <c r="P290" s="857"/>
      <c r="Q290" s="857"/>
      <c r="R290" s="857"/>
      <c r="S290" s="857"/>
      <c r="T290" s="857"/>
      <c r="U290" s="857"/>
      <c r="V290" s="857"/>
      <c r="W290" s="857"/>
      <c r="X290" s="857"/>
      <c r="Y290" s="857"/>
      <c r="Z290" s="857"/>
      <c r="AA290" s="857"/>
      <c r="AB290" s="857"/>
      <c r="AC290" s="857"/>
      <c r="AD290" s="857"/>
      <c r="AE290" s="857"/>
      <c r="AF290" s="857"/>
      <c r="AG290" s="857"/>
      <c r="AH290" s="857"/>
      <c r="AI290" s="857"/>
      <c r="AJ290" s="857"/>
      <c r="AK290" s="857"/>
      <c r="AL290" s="857"/>
      <c r="AM290" s="857"/>
      <c r="AN290" s="857"/>
      <c r="AO290" s="857"/>
      <c r="AP290" s="857"/>
      <c r="AQ290" s="857"/>
      <c r="AR290" s="857"/>
      <c r="AS290" s="857"/>
      <c r="AT290" s="855"/>
      <c r="AV290" s="857"/>
      <c r="AW290" s="857"/>
      <c r="AX290" s="857"/>
      <c r="AY290" s="857"/>
      <c r="AZ290" s="857"/>
      <c r="BA290" s="857"/>
      <c r="BB290" s="857"/>
      <c r="BC290" s="857"/>
      <c r="BD290" s="857"/>
      <c r="BE290" s="857"/>
      <c r="BF290" s="857"/>
      <c r="BG290" s="857"/>
    </row>
    <row r="291" spans="1:59" ht="15.75" customHeight="1">
      <c r="A291" s="857"/>
      <c r="B291" s="857"/>
      <c r="C291" s="857"/>
      <c r="D291" s="857"/>
      <c r="E291" s="857"/>
      <c r="F291" s="857"/>
      <c r="G291" s="857"/>
      <c r="H291" s="857"/>
      <c r="I291" s="857"/>
      <c r="J291" s="857"/>
      <c r="K291" s="857"/>
      <c r="L291" s="857"/>
      <c r="M291" s="857"/>
      <c r="N291" s="857"/>
      <c r="O291" s="857"/>
      <c r="P291" s="857"/>
      <c r="Q291" s="857"/>
      <c r="R291" s="857"/>
      <c r="S291" s="857"/>
      <c r="T291" s="857"/>
      <c r="U291" s="857"/>
      <c r="V291" s="857"/>
      <c r="W291" s="857"/>
      <c r="X291" s="857"/>
      <c r="Y291" s="857"/>
      <c r="Z291" s="857"/>
      <c r="AA291" s="857"/>
      <c r="AB291" s="857"/>
      <c r="AC291" s="857"/>
      <c r="AD291" s="857"/>
      <c r="AE291" s="857"/>
      <c r="AF291" s="857"/>
      <c r="AG291" s="857"/>
      <c r="AH291" s="857"/>
      <c r="AI291" s="857"/>
      <c r="AJ291" s="857"/>
      <c r="AK291" s="857"/>
      <c r="AL291" s="857"/>
      <c r="AM291" s="857"/>
      <c r="AN291" s="857"/>
      <c r="AO291" s="857"/>
      <c r="AP291" s="857"/>
      <c r="AQ291" s="857"/>
      <c r="AR291" s="857"/>
      <c r="AS291" s="857"/>
      <c r="AT291" s="855"/>
      <c r="AV291" s="857"/>
      <c r="AW291" s="857"/>
      <c r="AX291" s="857"/>
      <c r="AY291" s="857"/>
      <c r="AZ291" s="857"/>
      <c r="BA291" s="857"/>
      <c r="BB291" s="857"/>
      <c r="BC291" s="857"/>
      <c r="BD291" s="857"/>
      <c r="BE291" s="857"/>
      <c r="BF291" s="857"/>
      <c r="BG291" s="857"/>
    </row>
    <row r="292" spans="1:59" ht="15.75" customHeight="1">
      <c r="A292" s="857"/>
      <c r="B292" s="857"/>
      <c r="C292" s="857"/>
      <c r="D292" s="857"/>
      <c r="E292" s="857"/>
      <c r="F292" s="857"/>
      <c r="G292" s="857"/>
      <c r="H292" s="857"/>
      <c r="I292" s="857"/>
      <c r="J292" s="857"/>
      <c r="K292" s="857"/>
      <c r="L292" s="857"/>
      <c r="M292" s="857"/>
      <c r="N292" s="857"/>
      <c r="O292" s="857"/>
      <c r="P292" s="857"/>
      <c r="Q292" s="857"/>
      <c r="R292" s="857"/>
      <c r="S292" s="857"/>
      <c r="T292" s="857"/>
      <c r="U292" s="857"/>
      <c r="V292" s="857"/>
      <c r="W292" s="857"/>
      <c r="X292" s="857"/>
      <c r="Y292" s="857"/>
      <c r="Z292" s="857"/>
      <c r="AA292" s="857"/>
      <c r="AB292" s="857"/>
      <c r="AC292" s="857"/>
      <c r="AD292" s="857"/>
      <c r="AE292" s="857"/>
      <c r="AF292" s="857"/>
      <c r="AG292" s="857"/>
      <c r="AH292" s="857"/>
      <c r="AI292" s="857"/>
      <c r="AJ292" s="857"/>
      <c r="AK292" s="857"/>
      <c r="AL292" s="857"/>
      <c r="AM292" s="857"/>
      <c r="AN292" s="857"/>
      <c r="AO292" s="857"/>
      <c r="AP292" s="857"/>
      <c r="AQ292" s="857"/>
      <c r="AR292" s="857"/>
      <c r="AS292" s="857"/>
      <c r="AT292" s="855"/>
      <c r="AV292" s="857"/>
      <c r="AW292" s="857"/>
      <c r="AX292" s="857"/>
      <c r="AY292" s="857"/>
      <c r="AZ292" s="857"/>
      <c r="BA292" s="857"/>
      <c r="BB292" s="857"/>
      <c r="BC292" s="857"/>
      <c r="BD292" s="857"/>
      <c r="BE292" s="857"/>
      <c r="BF292" s="857"/>
      <c r="BG292" s="857"/>
    </row>
    <row r="293" spans="1:59" ht="15.75" customHeight="1">
      <c r="A293" s="857"/>
      <c r="B293" s="857"/>
      <c r="C293" s="857"/>
      <c r="D293" s="857"/>
      <c r="E293" s="857"/>
      <c r="F293" s="857"/>
      <c r="G293" s="857"/>
      <c r="H293" s="857"/>
      <c r="I293" s="857"/>
      <c r="J293" s="857"/>
      <c r="K293" s="857"/>
      <c r="L293" s="857"/>
      <c r="M293" s="857"/>
      <c r="N293" s="857"/>
      <c r="O293" s="857"/>
      <c r="P293" s="857"/>
      <c r="Q293" s="857"/>
      <c r="R293" s="857"/>
      <c r="S293" s="857"/>
      <c r="T293" s="857"/>
      <c r="U293" s="857"/>
      <c r="V293" s="857"/>
      <c r="W293" s="857"/>
      <c r="X293" s="857"/>
      <c r="Y293" s="857"/>
      <c r="Z293" s="857"/>
      <c r="AA293" s="857"/>
      <c r="AB293" s="857"/>
      <c r="AC293" s="857"/>
      <c r="AD293" s="857"/>
      <c r="AE293" s="857"/>
      <c r="AF293" s="857"/>
      <c r="AG293" s="857"/>
      <c r="AH293" s="857"/>
      <c r="AI293" s="857"/>
      <c r="AJ293" s="857"/>
      <c r="AK293" s="857"/>
      <c r="AL293" s="857"/>
      <c r="AM293" s="857"/>
      <c r="AN293" s="857"/>
      <c r="AO293" s="857"/>
      <c r="AP293" s="857"/>
      <c r="AQ293" s="857"/>
      <c r="AR293" s="857"/>
      <c r="AS293" s="857"/>
      <c r="AT293" s="855"/>
      <c r="AV293" s="857"/>
      <c r="AW293" s="857"/>
      <c r="AX293" s="857"/>
      <c r="AY293" s="857"/>
      <c r="AZ293" s="857"/>
      <c r="BA293" s="857"/>
      <c r="BB293" s="857"/>
      <c r="BC293" s="857"/>
      <c r="BD293" s="857"/>
      <c r="BE293" s="857"/>
      <c r="BF293" s="857"/>
      <c r="BG293" s="857"/>
    </row>
    <row r="294" spans="1:59" ht="15.75" customHeight="1">
      <c r="A294" s="857"/>
      <c r="B294" s="857"/>
      <c r="C294" s="857"/>
      <c r="D294" s="857"/>
      <c r="E294" s="857"/>
      <c r="F294" s="857"/>
      <c r="G294" s="857"/>
      <c r="H294" s="857"/>
      <c r="I294" s="857"/>
      <c r="J294" s="857"/>
      <c r="K294" s="857"/>
      <c r="L294" s="857"/>
      <c r="M294" s="857"/>
      <c r="N294" s="857"/>
      <c r="O294" s="857"/>
      <c r="P294" s="857"/>
      <c r="Q294" s="857"/>
      <c r="R294" s="857"/>
      <c r="S294" s="857"/>
      <c r="T294" s="857"/>
      <c r="U294" s="857"/>
      <c r="V294" s="857"/>
      <c r="W294" s="857"/>
      <c r="X294" s="857"/>
      <c r="Y294" s="857"/>
      <c r="Z294" s="857"/>
      <c r="AA294" s="857"/>
      <c r="AB294" s="857"/>
      <c r="AC294" s="857"/>
      <c r="AD294" s="857"/>
      <c r="AE294" s="857"/>
      <c r="AF294" s="857"/>
      <c r="AG294" s="857"/>
      <c r="AH294" s="857"/>
      <c r="AI294" s="857"/>
      <c r="AJ294" s="857"/>
      <c r="AK294" s="857"/>
      <c r="AL294" s="857"/>
      <c r="AM294" s="857"/>
      <c r="AN294" s="857"/>
      <c r="AO294" s="857"/>
      <c r="AP294" s="857"/>
      <c r="AQ294" s="857"/>
      <c r="AR294" s="857"/>
      <c r="AS294" s="857"/>
      <c r="AT294" s="855"/>
      <c r="AV294" s="857"/>
      <c r="AW294" s="857"/>
      <c r="AX294" s="857"/>
      <c r="AY294" s="857"/>
      <c r="AZ294" s="857"/>
      <c r="BA294" s="857"/>
      <c r="BB294" s="857"/>
      <c r="BC294" s="857"/>
      <c r="BD294" s="857"/>
      <c r="BE294" s="857"/>
      <c r="BF294" s="857"/>
      <c r="BG294" s="857"/>
    </row>
    <row r="295" spans="1:59" ht="15.75" customHeight="1">
      <c r="A295" s="857"/>
      <c r="B295" s="857"/>
      <c r="C295" s="857"/>
      <c r="D295" s="857"/>
      <c r="E295" s="857"/>
      <c r="F295" s="857"/>
      <c r="G295" s="857"/>
      <c r="H295" s="857"/>
      <c r="I295" s="857"/>
      <c r="J295" s="857"/>
      <c r="K295" s="857"/>
      <c r="L295" s="857"/>
      <c r="M295" s="857"/>
      <c r="N295" s="857"/>
      <c r="O295" s="857"/>
      <c r="P295" s="857"/>
      <c r="Q295" s="857"/>
      <c r="R295" s="857"/>
      <c r="S295" s="857"/>
      <c r="T295" s="857"/>
      <c r="U295" s="857"/>
      <c r="V295" s="857"/>
      <c r="W295" s="857"/>
      <c r="X295" s="857"/>
      <c r="Y295" s="857"/>
      <c r="Z295" s="857"/>
      <c r="AA295" s="857"/>
      <c r="AB295" s="857"/>
      <c r="AC295" s="857"/>
      <c r="AD295" s="857"/>
      <c r="AE295" s="857"/>
      <c r="AF295" s="857"/>
      <c r="AG295" s="857"/>
      <c r="AH295" s="857"/>
      <c r="AI295" s="857"/>
      <c r="AJ295" s="857"/>
      <c r="AK295" s="857"/>
      <c r="AL295" s="857"/>
      <c r="AM295" s="857"/>
      <c r="AN295" s="857"/>
      <c r="AO295" s="857"/>
      <c r="AP295" s="857"/>
      <c r="AQ295" s="857"/>
      <c r="AR295" s="857"/>
      <c r="AS295" s="857"/>
      <c r="AT295" s="855"/>
      <c r="AV295" s="857"/>
      <c r="AW295" s="857"/>
      <c r="AX295" s="857"/>
      <c r="AY295" s="857"/>
      <c r="AZ295" s="857"/>
      <c r="BA295" s="857"/>
      <c r="BB295" s="857"/>
      <c r="BC295" s="857"/>
      <c r="BD295" s="857"/>
      <c r="BE295" s="857"/>
      <c r="BF295" s="857"/>
      <c r="BG295" s="857"/>
    </row>
    <row r="296" spans="1:59" ht="15.75" customHeight="1">
      <c r="A296" s="857"/>
      <c r="B296" s="857"/>
      <c r="C296" s="857"/>
      <c r="D296" s="857"/>
      <c r="E296" s="857"/>
      <c r="F296" s="857"/>
      <c r="G296" s="857"/>
      <c r="H296" s="857"/>
      <c r="I296" s="857"/>
      <c r="J296" s="857"/>
      <c r="K296" s="857"/>
      <c r="L296" s="857"/>
      <c r="M296" s="857"/>
      <c r="N296" s="857"/>
      <c r="O296" s="857"/>
      <c r="P296" s="857"/>
      <c r="Q296" s="857"/>
      <c r="R296" s="857"/>
      <c r="S296" s="857"/>
      <c r="T296" s="857"/>
      <c r="U296" s="857"/>
      <c r="V296" s="857"/>
      <c r="W296" s="857"/>
      <c r="X296" s="857"/>
      <c r="Y296" s="857"/>
      <c r="Z296" s="857"/>
      <c r="AA296" s="857"/>
      <c r="AB296" s="857"/>
      <c r="AC296" s="857"/>
      <c r="AD296" s="857"/>
      <c r="AE296" s="857"/>
      <c r="AF296" s="857"/>
      <c r="AG296" s="857"/>
      <c r="AH296" s="857"/>
      <c r="AI296" s="857"/>
      <c r="AJ296" s="857"/>
      <c r="AK296" s="857"/>
      <c r="AL296" s="857"/>
      <c r="AM296" s="857"/>
      <c r="AN296" s="857"/>
      <c r="AO296" s="857"/>
      <c r="AP296" s="857"/>
      <c r="AQ296" s="857"/>
      <c r="AR296" s="857"/>
      <c r="AS296" s="857"/>
      <c r="AT296" s="855"/>
      <c r="AV296" s="857"/>
      <c r="AW296" s="857"/>
      <c r="AX296" s="857"/>
      <c r="AY296" s="857"/>
      <c r="AZ296" s="857"/>
      <c r="BA296" s="857"/>
      <c r="BB296" s="857"/>
      <c r="BC296" s="857"/>
      <c r="BD296" s="857"/>
      <c r="BE296" s="857"/>
      <c r="BF296" s="857"/>
      <c r="BG296" s="857"/>
    </row>
    <row r="297" spans="1:59" ht="15.75" customHeight="1">
      <c r="A297" s="857"/>
      <c r="B297" s="857"/>
      <c r="C297" s="857"/>
      <c r="D297" s="857"/>
      <c r="E297" s="857"/>
      <c r="F297" s="857"/>
      <c r="G297" s="857"/>
      <c r="H297" s="857"/>
      <c r="I297" s="857"/>
      <c r="J297" s="857"/>
      <c r="K297" s="857"/>
      <c r="L297" s="857"/>
      <c r="M297" s="857"/>
      <c r="N297" s="857"/>
      <c r="O297" s="857"/>
      <c r="P297" s="857"/>
      <c r="Q297" s="857"/>
      <c r="R297" s="857"/>
      <c r="S297" s="857"/>
      <c r="T297" s="857"/>
      <c r="U297" s="857"/>
      <c r="V297" s="857"/>
      <c r="W297" s="857"/>
      <c r="X297" s="857"/>
      <c r="Y297" s="857"/>
      <c r="Z297" s="857"/>
      <c r="AA297" s="857"/>
      <c r="AB297" s="857"/>
      <c r="AC297" s="857"/>
      <c r="AD297" s="857"/>
      <c r="AE297" s="857"/>
      <c r="AF297" s="857"/>
      <c r="AG297" s="857"/>
      <c r="AH297" s="857"/>
      <c r="AI297" s="857"/>
      <c r="AJ297" s="857"/>
      <c r="AK297" s="857"/>
      <c r="AL297" s="857"/>
      <c r="AM297" s="857"/>
      <c r="AN297" s="857"/>
      <c r="AO297" s="857"/>
      <c r="AP297" s="857"/>
      <c r="AQ297" s="857"/>
      <c r="AR297" s="857"/>
      <c r="AS297" s="857"/>
      <c r="AT297" s="855"/>
      <c r="AV297" s="857"/>
      <c r="AW297" s="857"/>
      <c r="AX297" s="857"/>
      <c r="AY297" s="857"/>
      <c r="AZ297" s="857"/>
      <c r="BA297" s="857"/>
      <c r="BB297" s="857"/>
      <c r="BC297" s="857"/>
      <c r="BD297" s="857"/>
      <c r="BE297" s="857"/>
      <c r="BF297" s="857"/>
      <c r="BG297" s="857"/>
    </row>
    <row r="298" spans="1:59" ht="15.75" customHeight="1">
      <c r="A298" s="857"/>
      <c r="B298" s="857"/>
      <c r="C298" s="857"/>
      <c r="D298" s="857"/>
      <c r="E298" s="857"/>
      <c r="F298" s="857"/>
      <c r="G298" s="857"/>
      <c r="H298" s="857"/>
      <c r="I298" s="857"/>
      <c r="J298" s="857"/>
      <c r="K298" s="857"/>
      <c r="L298" s="857"/>
      <c r="M298" s="857"/>
      <c r="N298" s="857"/>
      <c r="O298" s="857"/>
      <c r="P298" s="857"/>
      <c r="Q298" s="857"/>
      <c r="R298" s="857"/>
      <c r="S298" s="857"/>
      <c r="T298" s="857"/>
      <c r="U298" s="857"/>
      <c r="V298" s="857"/>
      <c r="W298" s="857"/>
      <c r="X298" s="857"/>
      <c r="Y298" s="857"/>
      <c r="Z298" s="857"/>
      <c r="AA298" s="857"/>
      <c r="AB298" s="857"/>
      <c r="AC298" s="857"/>
      <c r="AD298" s="857"/>
      <c r="AE298" s="857"/>
      <c r="AF298" s="857"/>
      <c r="AG298" s="857"/>
      <c r="AH298" s="857"/>
      <c r="AI298" s="857"/>
      <c r="AJ298" s="857"/>
      <c r="AK298" s="857"/>
      <c r="AL298" s="857"/>
      <c r="AM298" s="857"/>
      <c r="AN298" s="857"/>
      <c r="AO298" s="857"/>
      <c r="AP298" s="857"/>
      <c r="AQ298" s="857"/>
      <c r="AR298" s="857"/>
      <c r="AS298" s="857"/>
      <c r="AT298" s="855"/>
      <c r="AV298" s="857"/>
      <c r="AW298" s="857"/>
      <c r="AX298" s="857"/>
      <c r="AY298" s="857"/>
      <c r="AZ298" s="857"/>
      <c r="BA298" s="857"/>
      <c r="BB298" s="857"/>
      <c r="BC298" s="857"/>
      <c r="BD298" s="857"/>
      <c r="BE298" s="857"/>
      <c r="BF298" s="857"/>
      <c r="BG298" s="857"/>
    </row>
    <row r="299" spans="1:59" ht="15.75" customHeight="1">
      <c r="A299" s="857"/>
      <c r="B299" s="857"/>
      <c r="C299" s="857"/>
      <c r="D299" s="857"/>
      <c r="E299" s="857"/>
      <c r="F299" s="857"/>
      <c r="G299" s="857"/>
      <c r="H299" s="857"/>
      <c r="I299" s="857"/>
      <c r="J299" s="857"/>
      <c r="K299" s="857"/>
      <c r="L299" s="857"/>
      <c r="M299" s="857"/>
      <c r="N299" s="857"/>
      <c r="O299" s="857"/>
      <c r="P299" s="857"/>
      <c r="Q299" s="857"/>
      <c r="R299" s="857"/>
      <c r="S299" s="857"/>
      <c r="T299" s="857"/>
      <c r="U299" s="857"/>
      <c r="V299" s="857"/>
      <c r="W299" s="857"/>
      <c r="X299" s="857"/>
      <c r="Y299" s="857"/>
      <c r="Z299" s="857"/>
      <c r="AA299" s="857"/>
      <c r="AB299" s="857"/>
      <c r="AC299" s="857"/>
      <c r="AD299" s="857"/>
      <c r="AE299" s="857"/>
      <c r="AF299" s="857"/>
      <c r="AG299" s="857"/>
      <c r="AH299" s="857"/>
      <c r="AI299" s="857"/>
      <c r="AJ299" s="857"/>
      <c r="AK299" s="857"/>
      <c r="AL299" s="857"/>
      <c r="AM299" s="857"/>
      <c r="AN299" s="857"/>
      <c r="AO299" s="857"/>
      <c r="AP299" s="857"/>
      <c r="AQ299" s="857"/>
      <c r="AR299" s="857"/>
      <c r="AS299" s="857"/>
      <c r="AT299" s="855"/>
      <c r="AV299" s="857"/>
      <c r="AW299" s="857"/>
      <c r="AX299" s="857"/>
      <c r="AY299" s="857"/>
      <c r="AZ299" s="857"/>
      <c r="BA299" s="857"/>
      <c r="BB299" s="857"/>
      <c r="BC299" s="857"/>
      <c r="BD299" s="857"/>
      <c r="BE299" s="857"/>
      <c r="BF299" s="857"/>
      <c r="BG299" s="857"/>
    </row>
    <row r="300" spans="1:59" ht="15.75" customHeight="1">
      <c r="A300" s="857"/>
      <c r="B300" s="857"/>
      <c r="C300" s="857"/>
      <c r="D300" s="857"/>
      <c r="E300" s="857"/>
      <c r="F300" s="857"/>
      <c r="G300" s="857"/>
      <c r="H300" s="857"/>
      <c r="I300" s="857"/>
      <c r="J300" s="857"/>
      <c r="K300" s="857"/>
      <c r="L300" s="857"/>
      <c r="M300" s="857"/>
      <c r="N300" s="857"/>
      <c r="O300" s="857"/>
      <c r="P300" s="857"/>
      <c r="Q300" s="857"/>
      <c r="R300" s="857"/>
      <c r="S300" s="857"/>
      <c r="T300" s="857"/>
      <c r="U300" s="857"/>
      <c r="V300" s="857"/>
      <c r="W300" s="857"/>
      <c r="X300" s="857"/>
      <c r="Y300" s="857"/>
      <c r="Z300" s="857"/>
      <c r="AA300" s="857"/>
      <c r="AB300" s="857"/>
      <c r="AC300" s="857"/>
      <c r="AD300" s="857"/>
      <c r="AE300" s="857"/>
      <c r="AF300" s="857"/>
      <c r="AG300" s="857"/>
      <c r="AH300" s="857"/>
      <c r="AI300" s="857"/>
      <c r="AJ300" s="857"/>
      <c r="AK300" s="857"/>
      <c r="AL300" s="857"/>
      <c r="AM300" s="857"/>
      <c r="AN300" s="857"/>
      <c r="AO300" s="857"/>
      <c r="AP300" s="857"/>
      <c r="AQ300" s="857"/>
      <c r="AR300" s="857"/>
      <c r="AS300" s="857"/>
      <c r="AT300" s="855"/>
      <c r="AV300" s="857"/>
      <c r="AW300" s="857"/>
      <c r="AX300" s="857"/>
      <c r="AY300" s="857"/>
      <c r="AZ300" s="857"/>
      <c r="BA300" s="857"/>
      <c r="BB300" s="857"/>
      <c r="BC300" s="857"/>
      <c r="BD300" s="857"/>
      <c r="BE300" s="857"/>
      <c r="BF300" s="857"/>
      <c r="BG300" s="857"/>
    </row>
    <row r="301" spans="1:59" ht="15.75" customHeight="1">
      <c r="A301" s="857"/>
      <c r="B301" s="857"/>
      <c r="C301" s="857"/>
      <c r="D301" s="857"/>
      <c r="E301" s="857"/>
      <c r="F301" s="857"/>
      <c r="G301" s="857"/>
      <c r="H301" s="857"/>
      <c r="I301" s="857"/>
      <c r="J301" s="857"/>
      <c r="K301" s="857"/>
      <c r="L301" s="857"/>
      <c r="M301" s="857"/>
      <c r="N301" s="857"/>
      <c r="O301" s="857"/>
      <c r="P301" s="857"/>
      <c r="Q301" s="857"/>
      <c r="R301" s="857"/>
      <c r="S301" s="857"/>
      <c r="T301" s="857"/>
      <c r="U301" s="857"/>
      <c r="V301" s="857"/>
      <c r="W301" s="857"/>
      <c r="X301" s="857"/>
      <c r="Y301" s="857"/>
      <c r="Z301" s="857"/>
      <c r="AA301" s="857"/>
      <c r="AB301" s="857"/>
      <c r="AC301" s="857"/>
      <c r="AD301" s="857"/>
      <c r="AE301" s="857"/>
      <c r="AF301" s="857"/>
      <c r="AG301" s="857"/>
      <c r="AH301" s="857"/>
      <c r="AI301" s="857"/>
      <c r="AJ301" s="857"/>
      <c r="AK301" s="857"/>
      <c r="AL301" s="857"/>
      <c r="AM301" s="857"/>
      <c r="AN301" s="857"/>
      <c r="AO301" s="857"/>
      <c r="AP301" s="857"/>
      <c r="AQ301" s="857"/>
      <c r="AR301" s="857"/>
      <c r="AS301" s="857"/>
      <c r="AT301" s="855"/>
      <c r="AV301" s="857"/>
      <c r="AW301" s="857"/>
      <c r="AX301" s="857"/>
      <c r="AY301" s="857"/>
      <c r="AZ301" s="857"/>
      <c r="BA301" s="857"/>
      <c r="BB301" s="857"/>
      <c r="BC301" s="857"/>
      <c r="BD301" s="857"/>
      <c r="BE301" s="857"/>
      <c r="BF301" s="857"/>
      <c r="BG301" s="857"/>
    </row>
    <row r="302" spans="1:59" ht="15.75" customHeight="1">
      <c r="A302" s="857"/>
      <c r="B302" s="857"/>
      <c r="C302" s="857"/>
      <c r="D302" s="857"/>
      <c r="E302" s="857"/>
      <c r="F302" s="857"/>
      <c r="G302" s="857"/>
      <c r="H302" s="857"/>
      <c r="I302" s="857"/>
      <c r="J302" s="857"/>
      <c r="K302" s="857"/>
      <c r="L302" s="857"/>
      <c r="M302" s="857"/>
      <c r="N302" s="857"/>
      <c r="O302" s="857"/>
      <c r="P302" s="857"/>
      <c r="Q302" s="857"/>
      <c r="R302" s="857"/>
      <c r="S302" s="857"/>
      <c r="T302" s="857"/>
      <c r="U302" s="857"/>
      <c r="V302" s="857"/>
      <c r="W302" s="857"/>
      <c r="X302" s="857"/>
      <c r="Y302" s="857"/>
      <c r="Z302" s="857"/>
      <c r="AA302" s="857"/>
      <c r="AB302" s="857"/>
      <c r="AC302" s="857"/>
      <c r="AD302" s="857"/>
      <c r="AE302" s="857"/>
      <c r="AF302" s="857"/>
      <c r="AG302" s="857"/>
      <c r="AH302" s="857"/>
      <c r="AI302" s="857"/>
      <c r="AJ302" s="857"/>
      <c r="AK302" s="857"/>
      <c r="AL302" s="857"/>
      <c r="AM302" s="857"/>
      <c r="AN302" s="857"/>
      <c r="AO302" s="857"/>
      <c r="AP302" s="857"/>
      <c r="AQ302" s="857"/>
      <c r="AR302" s="857"/>
      <c r="AS302" s="857"/>
      <c r="AT302" s="855"/>
      <c r="AV302" s="857"/>
      <c r="AW302" s="857"/>
      <c r="AX302" s="857"/>
      <c r="AY302" s="857"/>
      <c r="AZ302" s="857"/>
      <c r="BA302" s="857"/>
      <c r="BB302" s="857"/>
      <c r="BC302" s="857"/>
      <c r="BD302" s="857"/>
      <c r="BE302" s="857"/>
      <c r="BF302" s="857"/>
      <c r="BG302" s="857"/>
    </row>
    <row r="303" spans="1:59" ht="15.75" customHeight="1">
      <c r="A303" s="857"/>
      <c r="B303" s="857"/>
      <c r="C303" s="857"/>
      <c r="D303" s="857"/>
      <c r="E303" s="857"/>
      <c r="F303" s="857"/>
      <c r="G303" s="857"/>
      <c r="H303" s="857"/>
      <c r="I303" s="857"/>
      <c r="J303" s="857"/>
      <c r="K303" s="857"/>
      <c r="L303" s="857"/>
      <c r="M303" s="857"/>
      <c r="N303" s="857"/>
      <c r="O303" s="857"/>
      <c r="P303" s="857"/>
      <c r="Q303" s="857"/>
      <c r="R303" s="857"/>
      <c r="S303" s="857"/>
      <c r="T303" s="857"/>
      <c r="U303" s="857"/>
      <c r="V303" s="857"/>
      <c r="W303" s="857"/>
      <c r="X303" s="857"/>
      <c r="Y303" s="857"/>
      <c r="Z303" s="857"/>
      <c r="AA303" s="857"/>
      <c r="AB303" s="857"/>
      <c r="AC303" s="857"/>
      <c r="AD303" s="857"/>
      <c r="AE303" s="857"/>
      <c r="AF303" s="857"/>
      <c r="AG303" s="857"/>
      <c r="AH303" s="857"/>
      <c r="AI303" s="857"/>
      <c r="AJ303" s="857"/>
      <c r="AK303" s="857"/>
      <c r="AL303" s="857"/>
      <c r="AM303" s="857"/>
      <c r="AN303" s="857"/>
      <c r="AO303" s="857"/>
      <c r="AP303" s="857"/>
      <c r="AQ303" s="857"/>
      <c r="AR303" s="857"/>
      <c r="AS303" s="857"/>
      <c r="AT303" s="855"/>
      <c r="AV303" s="857"/>
      <c r="AW303" s="857"/>
      <c r="AX303" s="857"/>
      <c r="AY303" s="857"/>
      <c r="AZ303" s="857"/>
      <c r="BA303" s="857"/>
      <c r="BB303" s="857"/>
      <c r="BC303" s="857"/>
      <c r="BD303" s="857"/>
      <c r="BE303" s="857"/>
      <c r="BF303" s="857"/>
      <c r="BG303" s="857"/>
    </row>
    <row r="304" spans="1:59" ht="15.75" customHeight="1">
      <c r="A304" s="857"/>
      <c r="B304" s="857"/>
      <c r="C304" s="857"/>
      <c r="D304" s="857"/>
      <c r="E304" s="857"/>
      <c r="F304" s="857"/>
      <c r="G304" s="857"/>
      <c r="H304" s="857"/>
      <c r="I304" s="857"/>
      <c r="J304" s="857"/>
      <c r="K304" s="857"/>
      <c r="L304" s="857"/>
      <c r="M304" s="857"/>
      <c r="N304" s="857"/>
      <c r="O304" s="857"/>
      <c r="P304" s="857"/>
      <c r="Q304" s="857"/>
      <c r="R304" s="857"/>
      <c r="S304" s="857"/>
      <c r="T304" s="857"/>
      <c r="U304" s="857"/>
      <c r="V304" s="857"/>
      <c r="W304" s="857"/>
      <c r="X304" s="857"/>
      <c r="Y304" s="857"/>
      <c r="Z304" s="857"/>
      <c r="AA304" s="857"/>
      <c r="AB304" s="857"/>
      <c r="AC304" s="857"/>
      <c r="AD304" s="857"/>
      <c r="AE304" s="857"/>
      <c r="AF304" s="857"/>
      <c r="AG304" s="857"/>
      <c r="AH304" s="857"/>
      <c r="AI304" s="857"/>
      <c r="AJ304" s="857"/>
      <c r="AK304" s="857"/>
      <c r="AL304" s="857"/>
      <c r="AM304" s="857"/>
      <c r="AN304" s="857"/>
      <c r="AO304" s="857"/>
      <c r="AP304" s="857"/>
      <c r="AQ304" s="857"/>
      <c r="AR304" s="857"/>
      <c r="AS304" s="857"/>
      <c r="AT304" s="855"/>
      <c r="AV304" s="857"/>
      <c r="AW304" s="857"/>
      <c r="AX304" s="857"/>
      <c r="AY304" s="857"/>
      <c r="AZ304" s="857"/>
      <c r="BA304" s="857"/>
      <c r="BB304" s="857"/>
      <c r="BC304" s="857"/>
      <c r="BD304" s="857"/>
      <c r="BE304" s="857"/>
      <c r="BF304" s="857"/>
      <c r="BG304" s="857"/>
    </row>
    <row r="305" spans="1:59" ht="15.75" customHeight="1">
      <c r="A305" s="857"/>
      <c r="B305" s="857"/>
      <c r="C305" s="857"/>
      <c r="D305" s="857"/>
      <c r="E305" s="857"/>
      <c r="F305" s="857"/>
      <c r="G305" s="857"/>
      <c r="H305" s="857"/>
      <c r="I305" s="857"/>
      <c r="J305" s="857"/>
      <c r="K305" s="857"/>
      <c r="L305" s="857"/>
      <c r="M305" s="857"/>
      <c r="N305" s="857"/>
      <c r="O305" s="857"/>
      <c r="P305" s="857"/>
      <c r="Q305" s="857"/>
      <c r="R305" s="857"/>
      <c r="S305" s="857"/>
      <c r="T305" s="857"/>
      <c r="U305" s="857"/>
      <c r="V305" s="857"/>
      <c r="W305" s="857"/>
      <c r="X305" s="857"/>
      <c r="Y305" s="857"/>
      <c r="Z305" s="857"/>
      <c r="AA305" s="857"/>
      <c r="AB305" s="857"/>
      <c r="AC305" s="857"/>
      <c r="AD305" s="857"/>
      <c r="AE305" s="857"/>
      <c r="AF305" s="857"/>
      <c r="AG305" s="857"/>
      <c r="AH305" s="857"/>
      <c r="AI305" s="857"/>
      <c r="AJ305" s="857"/>
      <c r="AK305" s="857"/>
      <c r="AL305" s="857"/>
      <c r="AM305" s="857"/>
      <c r="AN305" s="857"/>
      <c r="AO305" s="857"/>
      <c r="AP305" s="857"/>
      <c r="AQ305" s="857"/>
      <c r="AR305" s="857"/>
      <c r="AS305" s="857"/>
      <c r="AT305" s="855"/>
      <c r="AV305" s="857"/>
      <c r="AW305" s="857"/>
      <c r="AX305" s="857"/>
      <c r="AY305" s="857"/>
      <c r="AZ305" s="857"/>
      <c r="BA305" s="857"/>
      <c r="BB305" s="857"/>
      <c r="BC305" s="857"/>
      <c r="BD305" s="857"/>
      <c r="BE305" s="857"/>
      <c r="BF305" s="857"/>
      <c r="BG305" s="857"/>
    </row>
    <row r="306" spans="1:59" ht="15.75" customHeight="1">
      <c r="A306" s="857"/>
      <c r="B306" s="857"/>
      <c r="C306" s="857"/>
      <c r="D306" s="857"/>
      <c r="E306" s="857"/>
      <c r="F306" s="857"/>
      <c r="G306" s="857"/>
      <c r="H306" s="857"/>
      <c r="I306" s="857"/>
      <c r="J306" s="857"/>
      <c r="K306" s="857"/>
      <c r="L306" s="857"/>
      <c r="M306" s="857"/>
      <c r="N306" s="857"/>
      <c r="O306" s="857"/>
      <c r="P306" s="857"/>
      <c r="Q306" s="857"/>
      <c r="R306" s="857"/>
      <c r="S306" s="857"/>
      <c r="T306" s="857"/>
      <c r="U306" s="857"/>
      <c r="V306" s="857"/>
      <c r="W306" s="857"/>
      <c r="X306" s="857"/>
      <c r="Y306" s="857"/>
      <c r="Z306" s="857"/>
      <c r="AA306" s="857"/>
      <c r="AB306" s="857"/>
      <c r="AC306" s="857"/>
      <c r="AD306" s="857"/>
      <c r="AE306" s="857"/>
      <c r="AF306" s="857"/>
      <c r="AG306" s="857"/>
      <c r="AH306" s="857"/>
      <c r="AI306" s="857"/>
      <c r="AJ306" s="857"/>
      <c r="AK306" s="857"/>
      <c r="AL306" s="857"/>
      <c r="AM306" s="857"/>
      <c r="AN306" s="857"/>
      <c r="AO306" s="857"/>
      <c r="AP306" s="857"/>
      <c r="AQ306" s="857"/>
      <c r="AR306" s="857"/>
      <c r="AS306" s="857"/>
      <c r="AT306" s="855"/>
      <c r="AV306" s="857"/>
      <c r="AW306" s="857"/>
      <c r="AX306" s="857"/>
      <c r="AY306" s="857"/>
      <c r="AZ306" s="857"/>
      <c r="BA306" s="857"/>
      <c r="BB306" s="857"/>
      <c r="BC306" s="857"/>
      <c r="BD306" s="857"/>
      <c r="BE306" s="857"/>
      <c r="BF306" s="857"/>
      <c r="BG306" s="857"/>
    </row>
    <row r="307" spans="1:59" ht="15.75" customHeight="1">
      <c r="A307" s="857"/>
      <c r="B307" s="857"/>
      <c r="C307" s="857"/>
      <c r="D307" s="857"/>
      <c r="E307" s="857"/>
      <c r="F307" s="857"/>
      <c r="G307" s="857"/>
      <c r="H307" s="857"/>
      <c r="I307" s="857"/>
      <c r="J307" s="857"/>
      <c r="K307" s="857"/>
      <c r="L307" s="857"/>
      <c r="M307" s="857"/>
      <c r="N307" s="857"/>
      <c r="O307" s="857"/>
      <c r="P307" s="857"/>
      <c r="Q307" s="857"/>
      <c r="R307" s="857"/>
      <c r="S307" s="857"/>
      <c r="T307" s="857"/>
      <c r="U307" s="857"/>
      <c r="V307" s="857"/>
      <c r="W307" s="857"/>
      <c r="X307" s="857"/>
      <c r="Y307" s="857"/>
      <c r="Z307" s="857"/>
      <c r="AA307" s="857"/>
      <c r="AB307" s="857"/>
      <c r="AC307" s="857"/>
      <c r="AD307" s="857"/>
      <c r="AE307" s="857"/>
      <c r="AF307" s="857"/>
      <c r="AG307" s="857"/>
      <c r="AH307" s="857"/>
      <c r="AI307" s="857"/>
      <c r="AJ307" s="857"/>
      <c r="AK307" s="857"/>
      <c r="AL307" s="857"/>
      <c r="AM307" s="857"/>
      <c r="AN307" s="857"/>
      <c r="AO307" s="857"/>
      <c r="AP307" s="857"/>
      <c r="AQ307" s="857"/>
      <c r="AR307" s="857"/>
      <c r="AS307" s="857"/>
      <c r="AT307" s="855"/>
      <c r="AV307" s="857"/>
      <c r="AW307" s="857"/>
      <c r="AX307" s="857"/>
      <c r="AY307" s="857"/>
      <c r="AZ307" s="857"/>
      <c r="BA307" s="857"/>
      <c r="BB307" s="857"/>
      <c r="BC307" s="857"/>
      <c r="BD307" s="857"/>
      <c r="BE307" s="857"/>
      <c r="BF307" s="857"/>
      <c r="BG307" s="857"/>
    </row>
    <row r="308" spans="1:59" ht="15.75" customHeight="1">
      <c r="A308" s="857"/>
      <c r="B308" s="857"/>
      <c r="C308" s="857"/>
      <c r="D308" s="857"/>
      <c r="E308" s="857"/>
      <c r="F308" s="857"/>
      <c r="G308" s="857"/>
      <c r="H308" s="857"/>
      <c r="I308" s="857"/>
      <c r="J308" s="857"/>
      <c r="K308" s="857"/>
      <c r="L308" s="857"/>
      <c r="M308" s="857"/>
      <c r="N308" s="857"/>
      <c r="O308" s="857"/>
      <c r="P308" s="857"/>
      <c r="Q308" s="857"/>
      <c r="R308" s="857"/>
      <c r="S308" s="857"/>
      <c r="T308" s="857"/>
      <c r="U308" s="857"/>
      <c r="V308" s="857"/>
      <c r="W308" s="857"/>
      <c r="X308" s="857"/>
      <c r="Y308" s="857"/>
      <c r="Z308" s="857"/>
      <c r="AA308" s="857"/>
      <c r="AB308" s="857"/>
      <c r="AC308" s="857"/>
      <c r="AD308" s="857"/>
      <c r="AE308" s="857"/>
      <c r="AF308" s="857"/>
      <c r="AG308" s="857"/>
      <c r="AH308" s="857"/>
      <c r="AI308" s="857"/>
      <c r="AJ308" s="857"/>
      <c r="AK308" s="857"/>
      <c r="AL308" s="857"/>
      <c r="AM308" s="857"/>
      <c r="AN308" s="857"/>
      <c r="AO308" s="857"/>
      <c r="AP308" s="857"/>
      <c r="AQ308" s="857"/>
      <c r="AR308" s="857"/>
      <c r="AS308" s="857"/>
      <c r="AT308" s="855"/>
      <c r="AV308" s="857"/>
      <c r="AW308" s="857"/>
      <c r="AX308" s="857"/>
      <c r="AY308" s="857"/>
      <c r="AZ308" s="857"/>
      <c r="BA308" s="857"/>
      <c r="BB308" s="857"/>
      <c r="BC308" s="857"/>
      <c r="BD308" s="857"/>
      <c r="BE308" s="857"/>
      <c r="BF308" s="857"/>
      <c r="BG308" s="857"/>
    </row>
    <row r="309" spans="1:59" ht="15.75" customHeight="1">
      <c r="A309" s="857"/>
      <c r="B309" s="857"/>
      <c r="C309" s="857"/>
      <c r="D309" s="857"/>
      <c r="E309" s="857"/>
      <c r="F309" s="857"/>
      <c r="G309" s="857"/>
      <c r="H309" s="857"/>
      <c r="I309" s="857"/>
      <c r="J309" s="857"/>
      <c r="K309" s="857"/>
      <c r="L309" s="857"/>
      <c r="M309" s="857"/>
      <c r="N309" s="857"/>
      <c r="O309" s="857"/>
      <c r="P309" s="857"/>
      <c r="Q309" s="857"/>
      <c r="R309" s="857"/>
      <c r="S309" s="857"/>
      <c r="T309" s="857"/>
      <c r="U309" s="857"/>
      <c r="V309" s="857"/>
      <c r="W309" s="857"/>
      <c r="X309" s="857"/>
      <c r="Y309" s="857"/>
      <c r="Z309" s="857"/>
      <c r="AA309" s="857"/>
      <c r="AB309" s="857"/>
      <c r="AC309" s="857"/>
      <c r="AD309" s="857"/>
      <c r="AE309" s="857"/>
      <c r="AF309" s="857"/>
      <c r="AG309" s="857"/>
      <c r="AH309" s="857"/>
      <c r="AI309" s="857"/>
      <c r="AJ309" s="857"/>
      <c r="AK309" s="857"/>
      <c r="AL309" s="857"/>
      <c r="AM309" s="857"/>
      <c r="AN309" s="857"/>
      <c r="AO309" s="857"/>
      <c r="AP309" s="857"/>
      <c r="AQ309" s="857"/>
      <c r="AR309" s="857"/>
      <c r="AS309" s="857"/>
      <c r="AT309" s="855"/>
      <c r="AV309" s="857"/>
      <c r="AW309" s="857"/>
      <c r="AX309" s="857"/>
      <c r="AY309" s="857"/>
      <c r="AZ309" s="857"/>
      <c r="BA309" s="857"/>
      <c r="BB309" s="857"/>
      <c r="BC309" s="857"/>
      <c r="BD309" s="857"/>
      <c r="BE309" s="857"/>
      <c r="BF309" s="857"/>
      <c r="BG309" s="857"/>
    </row>
    <row r="310" spans="1:59" ht="15.75" customHeight="1">
      <c r="A310" s="857"/>
      <c r="B310" s="857"/>
      <c r="C310" s="857"/>
      <c r="D310" s="857"/>
      <c r="E310" s="857"/>
      <c r="F310" s="857"/>
      <c r="G310" s="857"/>
      <c r="H310" s="857"/>
      <c r="I310" s="857"/>
      <c r="J310" s="857"/>
      <c r="K310" s="857"/>
      <c r="L310" s="857"/>
      <c r="M310" s="857"/>
      <c r="N310" s="857"/>
      <c r="O310" s="857"/>
      <c r="P310" s="857"/>
      <c r="Q310" s="857"/>
      <c r="R310" s="857"/>
      <c r="S310" s="857"/>
      <c r="T310" s="857"/>
      <c r="U310" s="857"/>
      <c r="V310" s="857"/>
      <c r="W310" s="857"/>
      <c r="X310" s="857"/>
      <c r="Y310" s="857"/>
      <c r="Z310" s="857"/>
      <c r="AA310" s="857"/>
      <c r="AB310" s="857"/>
      <c r="AC310" s="857"/>
      <c r="AD310" s="857"/>
      <c r="AE310" s="857"/>
      <c r="AF310" s="857"/>
      <c r="AG310" s="857"/>
      <c r="AH310" s="857"/>
      <c r="AI310" s="857"/>
      <c r="AJ310" s="857"/>
      <c r="AK310" s="857"/>
      <c r="AL310" s="857"/>
      <c r="AM310" s="857"/>
      <c r="AN310" s="857"/>
      <c r="AO310" s="857"/>
      <c r="AP310" s="857"/>
      <c r="AQ310" s="857"/>
      <c r="AR310" s="857"/>
      <c r="AS310" s="857"/>
      <c r="AT310" s="855"/>
      <c r="AV310" s="857"/>
      <c r="AW310" s="857"/>
      <c r="AX310" s="857"/>
      <c r="AY310" s="857"/>
      <c r="AZ310" s="857"/>
      <c r="BA310" s="857"/>
      <c r="BB310" s="857"/>
      <c r="BC310" s="857"/>
      <c r="BD310" s="857"/>
      <c r="BE310" s="857"/>
      <c r="BF310" s="857"/>
      <c r="BG310" s="857"/>
    </row>
    <row r="311" spans="1:59" ht="15.75" customHeight="1">
      <c r="A311" s="857"/>
      <c r="B311" s="857"/>
      <c r="C311" s="857"/>
      <c r="D311" s="857"/>
      <c r="E311" s="857"/>
      <c r="F311" s="857"/>
      <c r="G311" s="857"/>
      <c r="H311" s="857"/>
      <c r="I311" s="857"/>
      <c r="J311" s="857"/>
      <c r="K311" s="857"/>
      <c r="L311" s="857"/>
      <c r="M311" s="857"/>
      <c r="N311" s="857"/>
      <c r="O311" s="857"/>
      <c r="P311" s="857"/>
      <c r="Q311" s="857"/>
      <c r="R311" s="857"/>
      <c r="S311" s="857"/>
      <c r="T311" s="857"/>
      <c r="U311" s="857"/>
      <c r="V311" s="857"/>
      <c r="W311" s="857"/>
      <c r="X311" s="857"/>
      <c r="Y311" s="857"/>
      <c r="Z311" s="857"/>
      <c r="AA311" s="857"/>
      <c r="AB311" s="857"/>
      <c r="AC311" s="857"/>
      <c r="AD311" s="857"/>
      <c r="AE311" s="857"/>
      <c r="AF311" s="857"/>
      <c r="AG311" s="857"/>
      <c r="AH311" s="857"/>
      <c r="AI311" s="857"/>
      <c r="AJ311" s="857"/>
      <c r="AK311" s="857"/>
      <c r="AL311" s="857"/>
      <c r="AM311" s="857"/>
      <c r="AN311" s="857"/>
      <c r="AO311" s="857"/>
      <c r="AP311" s="857"/>
      <c r="AQ311" s="857"/>
      <c r="AR311" s="857"/>
      <c r="AS311" s="857"/>
      <c r="AT311" s="855"/>
      <c r="AV311" s="857"/>
      <c r="AW311" s="857"/>
      <c r="AX311" s="857"/>
      <c r="AY311" s="857"/>
      <c r="AZ311" s="857"/>
      <c r="BA311" s="857"/>
      <c r="BB311" s="857"/>
      <c r="BC311" s="857"/>
      <c r="BD311" s="857"/>
      <c r="BE311" s="857"/>
      <c r="BF311" s="857"/>
      <c r="BG311" s="857"/>
    </row>
    <row r="312" spans="1:59" ht="15.75" customHeight="1">
      <c r="A312" s="857"/>
      <c r="B312" s="857"/>
      <c r="C312" s="857"/>
      <c r="D312" s="857"/>
      <c r="E312" s="857"/>
      <c r="F312" s="857"/>
      <c r="G312" s="857"/>
      <c r="H312" s="857"/>
      <c r="I312" s="857"/>
      <c r="J312" s="857"/>
      <c r="K312" s="857"/>
      <c r="L312" s="857"/>
      <c r="M312" s="857"/>
      <c r="N312" s="857"/>
      <c r="O312" s="857"/>
      <c r="P312" s="857"/>
      <c r="Q312" s="857"/>
      <c r="R312" s="857"/>
      <c r="S312" s="857"/>
      <c r="T312" s="857"/>
      <c r="U312" s="857"/>
      <c r="V312" s="857"/>
      <c r="W312" s="857"/>
      <c r="X312" s="857"/>
      <c r="Y312" s="857"/>
      <c r="Z312" s="857"/>
      <c r="AA312" s="857"/>
      <c r="AB312" s="857"/>
      <c r="AC312" s="857"/>
      <c r="AD312" s="857"/>
      <c r="AE312" s="857"/>
      <c r="AF312" s="857"/>
      <c r="AG312" s="857"/>
      <c r="AH312" s="857"/>
      <c r="AI312" s="857"/>
      <c r="AJ312" s="857"/>
      <c r="AK312" s="857"/>
      <c r="AL312" s="857"/>
      <c r="AM312" s="857"/>
      <c r="AN312" s="857"/>
      <c r="AO312" s="857"/>
      <c r="AP312" s="857"/>
      <c r="AQ312" s="857"/>
      <c r="AR312" s="857"/>
      <c r="AS312" s="857"/>
      <c r="AT312" s="855"/>
      <c r="AV312" s="857"/>
      <c r="AW312" s="857"/>
      <c r="AX312" s="857"/>
      <c r="AY312" s="857"/>
      <c r="AZ312" s="857"/>
      <c r="BA312" s="857"/>
      <c r="BB312" s="857"/>
      <c r="BC312" s="857"/>
      <c r="BD312" s="857"/>
      <c r="BE312" s="857"/>
      <c r="BF312" s="857"/>
      <c r="BG312" s="857"/>
    </row>
    <row r="313" spans="1:59" ht="15.75" customHeight="1">
      <c r="A313" s="857"/>
      <c r="B313" s="857"/>
      <c r="C313" s="857"/>
      <c r="D313" s="857"/>
      <c r="E313" s="857"/>
      <c r="F313" s="857"/>
      <c r="G313" s="857"/>
      <c r="H313" s="857"/>
      <c r="I313" s="857"/>
      <c r="J313" s="857"/>
      <c r="K313" s="857"/>
      <c r="L313" s="857"/>
      <c r="M313" s="857"/>
      <c r="N313" s="857"/>
      <c r="O313" s="857"/>
      <c r="P313" s="857"/>
      <c r="Q313" s="857"/>
      <c r="R313" s="857"/>
      <c r="S313" s="857"/>
      <c r="T313" s="857"/>
      <c r="U313" s="857"/>
      <c r="V313" s="857"/>
      <c r="W313" s="857"/>
      <c r="X313" s="857"/>
      <c r="Y313" s="857"/>
      <c r="Z313" s="857"/>
      <c r="AA313" s="857"/>
      <c r="AB313" s="857"/>
      <c r="AC313" s="857"/>
      <c r="AD313" s="857"/>
      <c r="AE313" s="857"/>
      <c r="AF313" s="857"/>
      <c r="AG313" s="857"/>
      <c r="AH313" s="857"/>
      <c r="AI313" s="857"/>
      <c r="AJ313" s="857"/>
      <c r="AK313" s="857"/>
      <c r="AL313" s="857"/>
      <c r="AM313" s="857"/>
      <c r="AN313" s="857"/>
      <c r="AO313" s="857"/>
      <c r="AP313" s="857"/>
      <c r="AQ313" s="857"/>
      <c r="AR313" s="857"/>
      <c r="AS313" s="857"/>
      <c r="AT313" s="855"/>
      <c r="AV313" s="857"/>
      <c r="AW313" s="857"/>
      <c r="AX313" s="857"/>
      <c r="AY313" s="857"/>
      <c r="AZ313" s="857"/>
      <c r="BA313" s="857"/>
      <c r="BB313" s="857"/>
      <c r="BC313" s="857"/>
      <c r="BD313" s="857"/>
      <c r="BE313" s="857"/>
      <c r="BF313" s="857"/>
      <c r="BG313" s="857"/>
    </row>
    <row r="314" spans="1:59" ht="15.75" customHeight="1">
      <c r="A314" s="857"/>
      <c r="B314" s="857"/>
      <c r="C314" s="857"/>
      <c r="D314" s="857"/>
      <c r="E314" s="857"/>
      <c r="F314" s="857"/>
      <c r="G314" s="857"/>
      <c r="H314" s="857"/>
      <c r="I314" s="857"/>
      <c r="J314" s="857"/>
      <c r="K314" s="857"/>
      <c r="L314" s="857"/>
      <c r="M314" s="857"/>
      <c r="N314" s="857"/>
      <c r="O314" s="857"/>
      <c r="P314" s="857"/>
      <c r="Q314" s="857"/>
      <c r="R314" s="857"/>
      <c r="S314" s="857"/>
      <c r="T314" s="857"/>
      <c r="U314" s="857"/>
      <c r="V314" s="857"/>
      <c r="W314" s="857"/>
      <c r="X314" s="857"/>
      <c r="Y314" s="857"/>
      <c r="Z314" s="857"/>
      <c r="AA314" s="857"/>
      <c r="AB314" s="857"/>
      <c r="AC314" s="857"/>
      <c r="AD314" s="857"/>
      <c r="AE314" s="857"/>
      <c r="AF314" s="857"/>
      <c r="AG314" s="857"/>
      <c r="AH314" s="857"/>
      <c r="AI314" s="857"/>
      <c r="AJ314" s="857"/>
      <c r="AK314" s="857"/>
      <c r="AL314" s="857"/>
      <c r="AM314" s="857"/>
      <c r="AN314" s="857"/>
      <c r="AO314" s="857"/>
      <c r="AP314" s="857"/>
      <c r="AQ314" s="857"/>
      <c r="AR314" s="857"/>
      <c r="AS314" s="857"/>
      <c r="AT314" s="855"/>
      <c r="AV314" s="857"/>
      <c r="AW314" s="857"/>
      <c r="AX314" s="857"/>
      <c r="AY314" s="857"/>
      <c r="AZ314" s="857"/>
      <c r="BA314" s="857"/>
      <c r="BB314" s="857"/>
      <c r="BC314" s="857"/>
      <c r="BD314" s="857"/>
      <c r="BE314" s="857"/>
      <c r="BF314" s="857"/>
      <c r="BG314" s="857"/>
    </row>
    <row r="315" spans="1:59" ht="15.75" customHeight="1">
      <c r="A315" s="857"/>
      <c r="B315" s="857"/>
      <c r="C315" s="857"/>
      <c r="D315" s="857"/>
      <c r="E315" s="857"/>
      <c r="F315" s="857"/>
      <c r="G315" s="857"/>
      <c r="H315" s="857"/>
      <c r="I315" s="857"/>
      <c r="J315" s="857"/>
      <c r="K315" s="857"/>
      <c r="L315" s="857"/>
      <c r="M315" s="857"/>
      <c r="N315" s="857"/>
      <c r="O315" s="857"/>
      <c r="P315" s="857"/>
      <c r="Q315" s="857"/>
      <c r="R315" s="857"/>
      <c r="S315" s="857"/>
      <c r="T315" s="857"/>
      <c r="U315" s="857"/>
      <c r="V315" s="857"/>
      <c r="W315" s="857"/>
      <c r="X315" s="857"/>
      <c r="Y315" s="857"/>
      <c r="Z315" s="857"/>
      <c r="AA315" s="857"/>
      <c r="AB315" s="857"/>
      <c r="AC315" s="857"/>
      <c r="AD315" s="857"/>
      <c r="AE315" s="857"/>
      <c r="AF315" s="857"/>
      <c r="AG315" s="857"/>
      <c r="AH315" s="857"/>
      <c r="AI315" s="857"/>
      <c r="AJ315" s="857"/>
      <c r="AK315" s="857"/>
      <c r="AL315" s="857"/>
      <c r="AM315" s="857"/>
      <c r="AN315" s="857"/>
      <c r="AO315" s="857"/>
      <c r="AP315" s="857"/>
      <c r="AQ315" s="857"/>
      <c r="AR315" s="857"/>
      <c r="AS315" s="857"/>
      <c r="AT315" s="855"/>
      <c r="AV315" s="857"/>
      <c r="AW315" s="857"/>
      <c r="AX315" s="857"/>
      <c r="AY315" s="857"/>
      <c r="AZ315" s="857"/>
      <c r="BA315" s="857"/>
      <c r="BB315" s="857"/>
      <c r="BC315" s="857"/>
      <c r="BD315" s="857"/>
      <c r="BE315" s="857"/>
      <c r="BF315" s="857"/>
      <c r="BG315" s="857"/>
    </row>
    <row r="316" spans="1:59" ht="15.75" customHeight="1">
      <c r="A316" s="857"/>
      <c r="B316" s="857"/>
      <c r="C316" s="857"/>
      <c r="D316" s="857"/>
      <c r="E316" s="857"/>
      <c r="F316" s="857"/>
      <c r="G316" s="857"/>
      <c r="H316" s="857"/>
      <c r="I316" s="857"/>
      <c r="J316" s="857"/>
      <c r="K316" s="857"/>
      <c r="L316" s="857"/>
      <c r="M316" s="857"/>
      <c r="N316" s="857"/>
      <c r="O316" s="857"/>
      <c r="P316" s="857"/>
      <c r="Q316" s="857"/>
      <c r="R316" s="857"/>
      <c r="S316" s="857"/>
      <c r="T316" s="857"/>
      <c r="U316" s="857"/>
      <c r="V316" s="857"/>
      <c r="W316" s="857"/>
      <c r="X316" s="857"/>
      <c r="Y316" s="857"/>
      <c r="Z316" s="857"/>
      <c r="AA316" s="857"/>
      <c r="AB316" s="857"/>
      <c r="AC316" s="857"/>
      <c r="AD316" s="857"/>
      <c r="AE316" s="857"/>
      <c r="AF316" s="857"/>
      <c r="AG316" s="857"/>
      <c r="AH316" s="857"/>
      <c r="AI316" s="857"/>
      <c r="AJ316" s="857"/>
      <c r="AK316" s="857"/>
      <c r="AL316" s="857"/>
      <c r="AM316" s="857"/>
      <c r="AN316" s="857"/>
      <c r="AO316" s="857"/>
      <c r="AP316" s="857"/>
      <c r="AQ316" s="857"/>
      <c r="AR316" s="857"/>
      <c r="AS316" s="857"/>
      <c r="AT316" s="855"/>
      <c r="AV316" s="857"/>
      <c r="AW316" s="857"/>
      <c r="AX316" s="857"/>
      <c r="AY316" s="857"/>
      <c r="AZ316" s="857"/>
      <c r="BA316" s="857"/>
      <c r="BB316" s="857"/>
      <c r="BC316" s="857"/>
      <c r="BD316" s="857"/>
      <c r="BE316" s="857"/>
      <c r="BF316" s="857"/>
      <c r="BG316" s="857"/>
    </row>
    <row r="317" spans="1:59" ht="15.75" customHeight="1">
      <c r="A317" s="857"/>
      <c r="B317" s="857"/>
      <c r="C317" s="857"/>
      <c r="D317" s="857"/>
      <c r="E317" s="857"/>
      <c r="F317" s="857"/>
      <c r="G317" s="857"/>
      <c r="H317" s="857"/>
      <c r="I317" s="857"/>
      <c r="J317" s="857"/>
      <c r="K317" s="857"/>
      <c r="L317" s="857"/>
      <c r="M317" s="857"/>
      <c r="N317" s="857"/>
      <c r="O317" s="857"/>
      <c r="P317" s="857"/>
      <c r="Q317" s="857"/>
      <c r="R317" s="857"/>
      <c r="S317" s="857"/>
      <c r="T317" s="857"/>
      <c r="U317" s="857"/>
      <c r="V317" s="857"/>
      <c r="W317" s="857"/>
      <c r="X317" s="857"/>
      <c r="Y317" s="857"/>
      <c r="Z317" s="857"/>
      <c r="AA317" s="857"/>
      <c r="AB317" s="857"/>
      <c r="AC317" s="857"/>
      <c r="AD317" s="857"/>
      <c r="AE317" s="857"/>
      <c r="AF317" s="857"/>
      <c r="AG317" s="857"/>
      <c r="AH317" s="857"/>
      <c r="AI317" s="857"/>
      <c r="AJ317" s="857"/>
      <c r="AK317" s="857"/>
      <c r="AL317" s="857"/>
      <c r="AM317" s="857"/>
      <c r="AN317" s="857"/>
      <c r="AO317" s="857"/>
      <c r="AP317" s="857"/>
      <c r="AQ317" s="857"/>
      <c r="AR317" s="857"/>
      <c r="AS317" s="857"/>
      <c r="AT317" s="855"/>
      <c r="AV317" s="857"/>
      <c r="AW317" s="857"/>
      <c r="AX317" s="857"/>
      <c r="AY317" s="857"/>
      <c r="AZ317" s="857"/>
      <c r="BA317" s="857"/>
      <c r="BB317" s="857"/>
      <c r="BC317" s="857"/>
      <c r="BD317" s="857"/>
      <c r="BE317" s="857"/>
      <c r="BF317" s="857"/>
      <c r="BG317" s="857"/>
    </row>
    <row r="318" spans="1:59" ht="15.75" customHeight="1">
      <c r="A318" s="857"/>
      <c r="B318" s="857"/>
      <c r="C318" s="857"/>
      <c r="D318" s="857"/>
      <c r="E318" s="857"/>
      <c r="F318" s="857"/>
      <c r="G318" s="857"/>
      <c r="H318" s="857"/>
      <c r="I318" s="857"/>
      <c r="J318" s="857"/>
      <c r="K318" s="857"/>
      <c r="L318" s="857"/>
      <c r="M318" s="857"/>
      <c r="N318" s="857"/>
      <c r="O318" s="857"/>
      <c r="P318" s="857"/>
      <c r="Q318" s="857"/>
      <c r="R318" s="857"/>
      <c r="S318" s="857"/>
      <c r="T318" s="857"/>
      <c r="U318" s="857"/>
      <c r="V318" s="857"/>
      <c r="W318" s="857"/>
      <c r="X318" s="857"/>
      <c r="Y318" s="857"/>
      <c r="Z318" s="857"/>
      <c r="AA318" s="857"/>
      <c r="AB318" s="857"/>
      <c r="AC318" s="857"/>
      <c r="AD318" s="857"/>
      <c r="AE318" s="857"/>
      <c r="AF318" s="857"/>
      <c r="AG318" s="857"/>
      <c r="AH318" s="857"/>
      <c r="AI318" s="857"/>
      <c r="AJ318" s="857"/>
      <c r="AK318" s="857"/>
      <c r="AL318" s="857"/>
      <c r="AM318" s="857"/>
      <c r="AN318" s="857"/>
      <c r="AO318" s="857"/>
      <c r="AP318" s="857"/>
      <c r="AQ318" s="857"/>
      <c r="AR318" s="857"/>
      <c r="AS318" s="857"/>
      <c r="AT318" s="855"/>
      <c r="AV318" s="857"/>
      <c r="AW318" s="857"/>
      <c r="AX318" s="857"/>
      <c r="AY318" s="857"/>
      <c r="AZ318" s="857"/>
      <c r="BA318" s="857"/>
      <c r="BB318" s="857"/>
      <c r="BC318" s="857"/>
      <c r="BD318" s="857"/>
      <c r="BE318" s="857"/>
      <c r="BF318" s="857"/>
      <c r="BG318" s="857"/>
    </row>
    <row r="319" spans="1:59" ht="15.75" customHeight="1">
      <c r="A319" s="857"/>
      <c r="B319" s="857"/>
      <c r="C319" s="857"/>
      <c r="D319" s="857"/>
      <c r="E319" s="857"/>
      <c r="F319" s="857"/>
      <c r="G319" s="857"/>
      <c r="H319" s="857"/>
      <c r="I319" s="857"/>
      <c r="J319" s="857"/>
      <c r="K319" s="857"/>
      <c r="L319" s="857"/>
      <c r="M319" s="857"/>
      <c r="N319" s="857"/>
      <c r="O319" s="857"/>
      <c r="P319" s="857"/>
      <c r="Q319" s="857"/>
      <c r="R319" s="857"/>
      <c r="S319" s="857"/>
      <c r="T319" s="857"/>
      <c r="U319" s="857"/>
      <c r="V319" s="857"/>
      <c r="W319" s="857"/>
      <c r="X319" s="857"/>
      <c r="Y319" s="857"/>
      <c r="Z319" s="857"/>
      <c r="AA319" s="857"/>
      <c r="AB319" s="857"/>
      <c r="AC319" s="857"/>
      <c r="AD319" s="857"/>
      <c r="AE319" s="857"/>
      <c r="AF319" s="857"/>
      <c r="AG319" s="857"/>
      <c r="AH319" s="857"/>
      <c r="AI319" s="857"/>
      <c r="AJ319" s="857"/>
      <c r="AK319" s="857"/>
      <c r="AL319" s="857"/>
      <c r="AM319" s="857"/>
      <c r="AN319" s="857"/>
      <c r="AO319" s="857"/>
      <c r="AP319" s="857"/>
      <c r="AQ319" s="857"/>
      <c r="AR319" s="857"/>
      <c r="AS319" s="857"/>
      <c r="AT319" s="855"/>
      <c r="AV319" s="857"/>
      <c r="AW319" s="857"/>
      <c r="AX319" s="857"/>
      <c r="AY319" s="857"/>
      <c r="AZ319" s="857"/>
      <c r="BA319" s="857"/>
      <c r="BB319" s="857"/>
      <c r="BC319" s="857"/>
      <c r="BD319" s="857"/>
      <c r="BE319" s="857"/>
      <c r="BF319" s="857"/>
      <c r="BG319" s="857"/>
    </row>
    <row r="320" spans="1:59" ht="15.75" customHeight="1">
      <c r="A320" s="857"/>
      <c r="B320" s="857"/>
      <c r="C320" s="857"/>
      <c r="D320" s="857"/>
      <c r="E320" s="857"/>
      <c r="F320" s="857"/>
      <c r="G320" s="857"/>
      <c r="H320" s="857"/>
      <c r="I320" s="857"/>
      <c r="J320" s="857"/>
      <c r="K320" s="857"/>
      <c r="L320" s="857"/>
      <c r="M320" s="857"/>
      <c r="N320" s="857"/>
      <c r="O320" s="857"/>
      <c r="P320" s="857"/>
      <c r="Q320" s="857"/>
      <c r="R320" s="857"/>
      <c r="S320" s="857"/>
      <c r="T320" s="857"/>
      <c r="U320" s="857"/>
      <c r="V320" s="857"/>
      <c r="W320" s="857"/>
      <c r="X320" s="857"/>
      <c r="Y320" s="857"/>
      <c r="Z320" s="857"/>
      <c r="AA320" s="857"/>
      <c r="AB320" s="857"/>
      <c r="AC320" s="857"/>
      <c r="AD320" s="857"/>
      <c r="AE320" s="857"/>
      <c r="AF320" s="857"/>
      <c r="AG320" s="857"/>
      <c r="AH320" s="857"/>
      <c r="AI320" s="857"/>
      <c r="AJ320" s="857"/>
      <c r="AK320" s="857"/>
      <c r="AL320" s="857"/>
      <c r="AM320" s="857"/>
      <c r="AN320" s="857"/>
      <c r="AO320" s="857"/>
      <c r="AP320" s="857"/>
      <c r="AQ320" s="857"/>
      <c r="AR320" s="857"/>
      <c r="AS320" s="857"/>
      <c r="AT320" s="855"/>
      <c r="AV320" s="857"/>
      <c r="AW320" s="857"/>
      <c r="AX320" s="857"/>
      <c r="AY320" s="857"/>
      <c r="AZ320" s="857"/>
      <c r="BA320" s="857"/>
      <c r="BB320" s="857"/>
      <c r="BC320" s="857"/>
      <c r="BD320" s="857"/>
      <c r="BE320" s="857"/>
      <c r="BF320" s="857"/>
      <c r="BG320" s="857"/>
    </row>
    <row r="321" spans="1:59" ht="15.75" customHeight="1">
      <c r="A321" s="857"/>
      <c r="B321" s="857"/>
      <c r="C321" s="857"/>
      <c r="D321" s="857"/>
      <c r="E321" s="857"/>
      <c r="F321" s="857"/>
      <c r="G321" s="857"/>
      <c r="H321" s="857"/>
      <c r="I321" s="857"/>
      <c r="J321" s="857"/>
      <c r="K321" s="857"/>
      <c r="L321" s="857"/>
      <c r="M321" s="857"/>
      <c r="N321" s="857"/>
      <c r="O321" s="857"/>
      <c r="P321" s="857"/>
      <c r="Q321" s="857"/>
      <c r="R321" s="857"/>
      <c r="S321" s="857"/>
      <c r="T321" s="857"/>
      <c r="U321" s="857"/>
      <c r="V321" s="857"/>
      <c r="W321" s="857"/>
      <c r="X321" s="857"/>
      <c r="Y321" s="857"/>
      <c r="Z321" s="857"/>
      <c r="AA321" s="857"/>
      <c r="AB321" s="857"/>
      <c r="AC321" s="857"/>
      <c r="AD321" s="857"/>
      <c r="AE321" s="857"/>
      <c r="AF321" s="857"/>
      <c r="AG321" s="857"/>
      <c r="AH321" s="857"/>
      <c r="AI321" s="857"/>
      <c r="AJ321" s="857"/>
      <c r="AK321" s="857"/>
      <c r="AL321" s="857"/>
      <c r="AM321" s="857"/>
      <c r="AN321" s="857"/>
      <c r="AO321" s="857"/>
      <c r="AP321" s="857"/>
      <c r="AQ321" s="857"/>
      <c r="AR321" s="857"/>
      <c r="AS321" s="857"/>
      <c r="AT321" s="855"/>
      <c r="AV321" s="857"/>
      <c r="AW321" s="857"/>
      <c r="AX321" s="857"/>
      <c r="AY321" s="857"/>
      <c r="AZ321" s="857"/>
      <c r="BA321" s="857"/>
      <c r="BB321" s="857"/>
      <c r="BC321" s="857"/>
      <c r="BD321" s="857"/>
      <c r="BE321" s="857"/>
      <c r="BF321" s="857"/>
      <c r="BG321" s="857"/>
    </row>
    <row r="322" spans="1:59" ht="15.75" customHeight="1">
      <c r="A322" s="857"/>
      <c r="B322" s="857"/>
      <c r="C322" s="857"/>
      <c r="D322" s="857"/>
      <c r="E322" s="857"/>
      <c r="F322" s="857"/>
      <c r="G322" s="857"/>
      <c r="H322" s="857"/>
      <c r="I322" s="857"/>
      <c r="J322" s="857"/>
      <c r="K322" s="857"/>
      <c r="L322" s="857"/>
      <c r="M322" s="857"/>
      <c r="N322" s="857"/>
      <c r="O322" s="857"/>
      <c r="P322" s="857"/>
      <c r="Q322" s="857"/>
      <c r="R322" s="857"/>
      <c r="S322" s="857"/>
      <c r="T322" s="857"/>
      <c r="U322" s="857"/>
      <c r="V322" s="857"/>
      <c r="W322" s="857"/>
      <c r="X322" s="857"/>
      <c r="Y322" s="857"/>
      <c r="Z322" s="857"/>
      <c r="AA322" s="857"/>
      <c r="AB322" s="857"/>
      <c r="AC322" s="857"/>
      <c r="AD322" s="857"/>
      <c r="AE322" s="857"/>
      <c r="AF322" s="857"/>
      <c r="AG322" s="857"/>
      <c r="AH322" s="857"/>
      <c r="AI322" s="857"/>
      <c r="AJ322" s="857"/>
      <c r="AK322" s="857"/>
      <c r="AL322" s="857"/>
      <c r="AM322" s="857"/>
      <c r="AN322" s="857"/>
      <c r="AO322" s="857"/>
      <c r="AP322" s="857"/>
      <c r="AQ322" s="857"/>
      <c r="AR322" s="857"/>
      <c r="AS322" s="857"/>
      <c r="AT322" s="855"/>
      <c r="AV322" s="857"/>
      <c r="AW322" s="857"/>
      <c r="AX322" s="857"/>
      <c r="AY322" s="857"/>
      <c r="AZ322" s="857"/>
      <c r="BA322" s="857"/>
      <c r="BB322" s="857"/>
      <c r="BC322" s="857"/>
      <c r="BD322" s="857"/>
      <c r="BE322" s="857"/>
      <c r="BF322" s="857"/>
      <c r="BG322" s="857"/>
    </row>
    <row r="323" spans="1:59" ht="15.75" customHeight="1">
      <c r="A323" s="857"/>
      <c r="B323" s="857"/>
      <c r="C323" s="857"/>
      <c r="D323" s="857"/>
      <c r="E323" s="857"/>
      <c r="F323" s="857"/>
      <c r="G323" s="857"/>
      <c r="H323" s="857"/>
      <c r="I323" s="857"/>
      <c r="J323" s="857"/>
      <c r="K323" s="857"/>
      <c r="L323" s="857"/>
      <c r="M323" s="857"/>
      <c r="N323" s="857"/>
      <c r="O323" s="857"/>
      <c r="P323" s="857"/>
      <c r="Q323" s="857"/>
      <c r="R323" s="857"/>
      <c r="S323" s="857"/>
      <c r="T323" s="857"/>
      <c r="U323" s="857"/>
      <c r="V323" s="857"/>
      <c r="W323" s="857"/>
      <c r="X323" s="857"/>
      <c r="Y323" s="857"/>
      <c r="Z323" s="857"/>
      <c r="AA323" s="857"/>
      <c r="AB323" s="857"/>
      <c r="AC323" s="857"/>
      <c r="AD323" s="857"/>
      <c r="AE323" s="857"/>
      <c r="AF323" s="857"/>
      <c r="AG323" s="857"/>
      <c r="AH323" s="857"/>
      <c r="AI323" s="857"/>
      <c r="AJ323" s="857"/>
      <c r="AK323" s="857"/>
      <c r="AL323" s="857"/>
      <c r="AM323" s="857"/>
      <c r="AN323" s="857"/>
      <c r="AO323" s="857"/>
      <c r="AP323" s="857"/>
      <c r="AQ323" s="857"/>
      <c r="AR323" s="857"/>
      <c r="AS323" s="857"/>
      <c r="AT323" s="855"/>
      <c r="AV323" s="857"/>
      <c r="AW323" s="857"/>
      <c r="AX323" s="857"/>
      <c r="AY323" s="857"/>
      <c r="AZ323" s="857"/>
      <c r="BA323" s="857"/>
      <c r="BB323" s="857"/>
      <c r="BC323" s="857"/>
      <c r="BD323" s="857"/>
      <c r="BE323" s="857"/>
      <c r="BF323" s="857"/>
      <c r="BG323" s="857"/>
    </row>
    <row r="324" spans="1:59" ht="15.75" customHeight="1">
      <c r="A324" s="857"/>
      <c r="B324" s="857"/>
      <c r="C324" s="857"/>
      <c r="D324" s="857"/>
      <c r="E324" s="857"/>
      <c r="F324" s="857"/>
      <c r="G324" s="857"/>
      <c r="H324" s="857"/>
      <c r="I324" s="857"/>
      <c r="J324" s="857"/>
      <c r="K324" s="857"/>
      <c r="L324" s="857"/>
      <c r="M324" s="857"/>
      <c r="N324" s="857"/>
      <c r="O324" s="857"/>
      <c r="P324" s="857"/>
      <c r="Q324" s="857"/>
      <c r="R324" s="857"/>
      <c r="S324" s="857"/>
      <c r="T324" s="857"/>
      <c r="U324" s="857"/>
      <c r="V324" s="857"/>
      <c r="W324" s="857"/>
      <c r="X324" s="857"/>
      <c r="Y324" s="857"/>
      <c r="Z324" s="857"/>
      <c r="AA324" s="857"/>
      <c r="AB324" s="857"/>
      <c r="AC324" s="857"/>
      <c r="AD324" s="857"/>
      <c r="AE324" s="857"/>
      <c r="AF324" s="857"/>
      <c r="AG324" s="857"/>
      <c r="AH324" s="857"/>
      <c r="AI324" s="857"/>
      <c r="AJ324" s="857"/>
      <c r="AK324" s="857"/>
      <c r="AL324" s="857"/>
      <c r="AM324" s="857"/>
      <c r="AN324" s="857"/>
      <c r="AO324" s="857"/>
      <c r="AP324" s="857"/>
      <c r="AQ324" s="857"/>
      <c r="AR324" s="857"/>
      <c r="AS324" s="857"/>
      <c r="AT324" s="855"/>
      <c r="AV324" s="857"/>
      <c r="AW324" s="857"/>
      <c r="AX324" s="857"/>
      <c r="AY324" s="857"/>
      <c r="AZ324" s="857"/>
      <c r="BA324" s="857"/>
      <c r="BB324" s="857"/>
      <c r="BC324" s="857"/>
      <c r="BD324" s="857"/>
      <c r="BE324" s="857"/>
      <c r="BF324" s="857"/>
      <c r="BG324" s="857"/>
    </row>
    <row r="325" spans="1:59" ht="15.75" customHeight="1">
      <c r="A325" s="857"/>
      <c r="B325" s="857"/>
      <c r="C325" s="857"/>
      <c r="D325" s="857"/>
      <c r="E325" s="857"/>
      <c r="F325" s="857"/>
      <c r="G325" s="857"/>
      <c r="H325" s="857"/>
      <c r="I325" s="857"/>
      <c r="J325" s="857"/>
      <c r="K325" s="857"/>
      <c r="L325" s="857"/>
      <c r="M325" s="857"/>
      <c r="N325" s="857"/>
      <c r="O325" s="857"/>
      <c r="P325" s="857"/>
      <c r="Q325" s="857"/>
      <c r="R325" s="857"/>
      <c r="S325" s="857"/>
      <c r="T325" s="857"/>
      <c r="U325" s="857"/>
      <c r="V325" s="857"/>
      <c r="W325" s="857"/>
      <c r="X325" s="857"/>
      <c r="Y325" s="857"/>
      <c r="Z325" s="857"/>
      <c r="AA325" s="857"/>
      <c r="AB325" s="857"/>
      <c r="AC325" s="857"/>
      <c r="AD325" s="857"/>
      <c r="AE325" s="857"/>
      <c r="AF325" s="857"/>
      <c r="AG325" s="857"/>
      <c r="AH325" s="857"/>
      <c r="AI325" s="857"/>
      <c r="AJ325" s="857"/>
      <c r="AK325" s="857"/>
      <c r="AL325" s="857"/>
      <c r="AM325" s="857"/>
      <c r="AN325" s="857"/>
      <c r="AO325" s="857"/>
      <c r="AP325" s="857"/>
      <c r="AQ325" s="857"/>
      <c r="AR325" s="857"/>
      <c r="AS325" s="857"/>
      <c r="AT325" s="855"/>
      <c r="AV325" s="857"/>
      <c r="AW325" s="857"/>
      <c r="AX325" s="857"/>
      <c r="AY325" s="857"/>
      <c r="AZ325" s="857"/>
      <c r="BA325" s="857"/>
      <c r="BB325" s="857"/>
      <c r="BC325" s="857"/>
      <c r="BD325" s="857"/>
      <c r="BE325" s="857"/>
      <c r="BF325" s="857"/>
      <c r="BG325" s="857"/>
    </row>
    <row r="326" spans="1:59" ht="15.75" customHeight="1">
      <c r="A326" s="857"/>
      <c r="B326" s="857"/>
      <c r="C326" s="857"/>
      <c r="D326" s="857"/>
      <c r="E326" s="857"/>
      <c r="F326" s="857"/>
      <c r="G326" s="857"/>
      <c r="H326" s="857"/>
      <c r="I326" s="857"/>
      <c r="J326" s="857"/>
      <c r="K326" s="857"/>
      <c r="L326" s="857"/>
      <c r="M326" s="857"/>
      <c r="N326" s="857"/>
      <c r="O326" s="857"/>
      <c r="P326" s="857"/>
      <c r="Q326" s="857"/>
      <c r="R326" s="857"/>
      <c r="S326" s="857"/>
      <c r="T326" s="857"/>
      <c r="U326" s="857"/>
      <c r="V326" s="857"/>
      <c r="W326" s="857"/>
      <c r="X326" s="857"/>
      <c r="Y326" s="857"/>
      <c r="Z326" s="857"/>
      <c r="AA326" s="857"/>
      <c r="AB326" s="857"/>
      <c r="AC326" s="857"/>
      <c r="AD326" s="857"/>
      <c r="AE326" s="857"/>
      <c r="AF326" s="857"/>
      <c r="AG326" s="857"/>
      <c r="AH326" s="857"/>
      <c r="AI326" s="857"/>
      <c r="AJ326" s="857"/>
      <c r="AK326" s="857"/>
      <c r="AL326" s="857"/>
      <c r="AM326" s="857"/>
      <c r="AN326" s="857"/>
      <c r="AO326" s="857"/>
      <c r="AP326" s="857"/>
      <c r="AQ326" s="857"/>
      <c r="AR326" s="857"/>
      <c r="AS326" s="857"/>
      <c r="AT326" s="855"/>
      <c r="AV326" s="857"/>
      <c r="AW326" s="857"/>
      <c r="AX326" s="857"/>
      <c r="AY326" s="857"/>
      <c r="AZ326" s="857"/>
      <c r="BA326" s="857"/>
      <c r="BB326" s="857"/>
      <c r="BC326" s="857"/>
      <c r="BD326" s="857"/>
      <c r="BE326" s="857"/>
      <c r="BF326" s="857"/>
      <c r="BG326" s="857"/>
    </row>
    <row r="327" spans="1:59" ht="15.75" customHeight="1">
      <c r="A327" s="857"/>
      <c r="B327" s="857"/>
      <c r="C327" s="857"/>
      <c r="D327" s="857"/>
      <c r="E327" s="857"/>
      <c r="F327" s="857"/>
      <c r="G327" s="857"/>
      <c r="H327" s="857"/>
      <c r="I327" s="857"/>
      <c r="J327" s="857"/>
      <c r="K327" s="857"/>
      <c r="L327" s="857"/>
      <c r="M327" s="857"/>
      <c r="N327" s="857"/>
      <c r="O327" s="857"/>
      <c r="P327" s="857"/>
      <c r="Q327" s="857"/>
      <c r="R327" s="857"/>
      <c r="S327" s="857"/>
      <c r="T327" s="857"/>
      <c r="U327" s="857"/>
      <c r="V327" s="857"/>
      <c r="W327" s="857"/>
      <c r="X327" s="857"/>
      <c r="Y327" s="857"/>
      <c r="Z327" s="857"/>
      <c r="AA327" s="857"/>
      <c r="AB327" s="857"/>
      <c r="AC327" s="857"/>
      <c r="AD327" s="857"/>
      <c r="AE327" s="857"/>
      <c r="AF327" s="857"/>
      <c r="AG327" s="857"/>
      <c r="AH327" s="857"/>
      <c r="AI327" s="857"/>
      <c r="AJ327" s="857"/>
      <c r="AK327" s="857"/>
      <c r="AL327" s="857"/>
      <c r="AM327" s="857"/>
      <c r="AN327" s="857"/>
      <c r="AO327" s="857"/>
      <c r="AP327" s="857"/>
      <c r="AQ327" s="857"/>
      <c r="AR327" s="857"/>
      <c r="AS327" s="857"/>
      <c r="AT327" s="855"/>
      <c r="AV327" s="857"/>
      <c r="AW327" s="857"/>
      <c r="AX327" s="857"/>
      <c r="AY327" s="857"/>
      <c r="AZ327" s="857"/>
      <c r="BA327" s="857"/>
      <c r="BB327" s="857"/>
      <c r="BC327" s="857"/>
      <c r="BD327" s="857"/>
      <c r="BE327" s="857"/>
      <c r="BF327" s="857"/>
      <c r="BG327" s="857"/>
    </row>
    <row r="328" spans="1:59" ht="15.75" customHeight="1">
      <c r="A328" s="857"/>
      <c r="B328" s="857"/>
      <c r="C328" s="857"/>
      <c r="D328" s="857"/>
      <c r="E328" s="857"/>
      <c r="F328" s="857"/>
      <c r="G328" s="857"/>
      <c r="H328" s="857"/>
      <c r="I328" s="857"/>
      <c r="J328" s="857"/>
      <c r="K328" s="857"/>
      <c r="L328" s="857"/>
      <c r="M328" s="857"/>
      <c r="N328" s="857"/>
      <c r="O328" s="857"/>
      <c r="P328" s="857"/>
      <c r="Q328" s="857"/>
      <c r="R328" s="857"/>
      <c r="S328" s="857"/>
      <c r="T328" s="857"/>
      <c r="U328" s="857"/>
      <c r="V328" s="857"/>
      <c r="W328" s="857"/>
      <c r="X328" s="857"/>
      <c r="Y328" s="857"/>
      <c r="Z328" s="857"/>
      <c r="AA328" s="857"/>
      <c r="AB328" s="857"/>
      <c r="AC328" s="857"/>
      <c r="AD328" s="857"/>
      <c r="AE328" s="857"/>
      <c r="AF328" s="857"/>
      <c r="AG328" s="857"/>
      <c r="AH328" s="857"/>
      <c r="AI328" s="857"/>
      <c r="AJ328" s="857"/>
      <c r="AK328" s="857"/>
      <c r="AL328" s="857"/>
      <c r="AM328" s="857"/>
      <c r="AN328" s="857"/>
      <c r="AO328" s="857"/>
      <c r="AP328" s="857"/>
      <c r="AQ328" s="857"/>
      <c r="AR328" s="857"/>
      <c r="AS328" s="857"/>
      <c r="AT328" s="855"/>
      <c r="AV328" s="857"/>
      <c r="AW328" s="857"/>
      <c r="AX328" s="857"/>
      <c r="AY328" s="857"/>
      <c r="AZ328" s="857"/>
      <c r="BA328" s="857"/>
      <c r="BB328" s="857"/>
      <c r="BC328" s="857"/>
      <c r="BD328" s="857"/>
      <c r="BE328" s="857"/>
      <c r="BF328" s="857"/>
      <c r="BG328" s="857"/>
    </row>
    <row r="329" spans="1:59" ht="15.75" customHeight="1">
      <c r="A329" s="857"/>
      <c r="B329" s="857"/>
      <c r="C329" s="857"/>
      <c r="D329" s="857"/>
      <c r="E329" s="857"/>
      <c r="F329" s="857"/>
      <c r="G329" s="857"/>
      <c r="H329" s="857"/>
      <c r="I329" s="857"/>
      <c r="J329" s="857"/>
      <c r="K329" s="857"/>
      <c r="L329" s="857"/>
      <c r="M329" s="857"/>
      <c r="N329" s="857"/>
      <c r="O329" s="857"/>
      <c r="P329" s="857"/>
      <c r="Q329" s="857"/>
      <c r="R329" s="857"/>
      <c r="S329" s="857"/>
      <c r="T329" s="857"/>
      <c r="U329" s="857"/>
      <c r="V329" s="857"/>
      <c r="W329" s="857"/>
      <c r="X329" s="857"/>
      <c r="Y329" s="857"/>
      <c r="Z329" s="857"/>
      <c r="AA329" s="857"/>
      <c r="AB329" s="857"/>
      <c r="AC329" s="857"/>
      <c r="AD329" s="857"/>
      <c r="AE329" s="857"/>
      <c r="AF329" s="857"/>
      <c r="AG329" s="857"/>
      <c r="AH329" s="857"/>
      <c r="AI329" s="857"/>
      <c r="AJ329" s="857"/>
      <c r="AK329" s="857"/>
      <c r="AL329" s="857"/>
      <c r="AM329" s="857"/>
      <c r="AN329" s="857"/>
      <c r="AO329" s="857"/>
      <c r="AP329" s="857"/>
      <c r="AQ329" s="857"/>
      <c r="AR329" s="857"/>
      <c r="AS329" s="857"/>
      <c r="AT329" s="855"/>
      <c r="AV329" s="857"/>
      <c r="AW329" s="857"/>
      <c r="AX329" s="857"/>
      <c r="AY329" s="857"/>
      <c r="AZ329" s="857"/>
      <c r="BA329" s="857"/>
      <c r="BB329" s="857"/>
      <c r="BC329" s="857"/>
      <c r="BD329" s="857"/>
      <c r="BE329" s="857"/>
      <c r="BF329" s="857"/>
      <c r="BG329" s="857"/>
    </row>
    <row r="330" spans="1:59" ht="15.75" customHeight="1">
      <c r="A330" s="857"/>
      <c r="B330" s="857"/>
      <c r="C330" s="857"/>
      <c r="D330" s="857"/>
      <c r="E330" s="857"/>
      <c r="F330" s="857"/>
      <c r="G330" s="857"/>
      <c r="H330" s="857"/>
      <c r="I330" s="857"/>
      <c r="J330" s="857"/>
      <c r="K330" s="857"/>
      <c r="L330" s="857"/>
      <c r="M330" s="857"/>
      <c r="N330" s="857"/>
      <c r="O330" s="857"/>
      <c r="P330" s="857"/>
      <c r="Q330" s="857"/>
      <c r="R330" s="857"/>
      <c r="S330" s="857"/>
      <c r="T330" s="857"/>
      <c r="U330" s="857"/>
      <c r="V330" s="857"/>
      <c r="W330" s="857"/>
      <c r="X330" s="857"/>
      <c r="Y330" s="857"/>
      <c r="Z330" s="857"/>
      <c r="AA330" s="857"/>
      <c r="AB330" s="857"/>
      <c r="AC330" s="857"/>
      <c r="AD330" s="857"/>
      <c r="AE330" s="857"/>
      <c r="AF330" s="857"/>
      <c r="AG330" s="857"/>
      <c r="AH330" s="857"/>
      <c r="AI330" s="857"/>
      <c r="AJ330" s="857"/>
      <c r="AK330" s="857"/>
      <c r="AL330" s="857"/>
      <c r="AM330" s="857"/>
      <c r="AN330" s="857"/>
      <c r="AO330" s="857"/>
      <c r="AP330" s="857"/>
      <c r="AQ330" s="857"/>
      <c r="AR330" s="857"/>
      <c r="AS330" s="857"/>
      <c r="AT330" s="855"/>
      <c r="AV330" s="857"/>
      <c r="AW330" s="857"/>
      <c r="AX330" s="857"/>
      <c r="AY330" s="857"/>
      <c r="AZ330" s="857"/>
      <c r="BA330" s="857"/>
      <c r="BB330" s="857"/>
      <c r="BC330" s="857"/>
      <c r="BD330" s="857"/>
      <c r="BE330" s="857"/>
      <c r="BF330" s="857"/>
      <c r="BG330" s="857"/>
    </row>
    <row r="331" spans="1:59" ht="15.75" customHeight="1">
      <c r="A331" s="857"/>
      <c r="B331" s="857"/>
      <c r="C331" s="857"/>
      <c r="D331" s="857"/>
      <c r="E331" s="857"/>
      <c r="F331" s="857"/>
      <c r="G331" s="857"/>
      <c r="H331" s="857"/>
      <c r="I331" s="857"/>
      <c r="J331" s="857"/>
      <c r="K331" s="857"/>
      <c r="L331" s="857"/>
      <c r="M331" s="857"/>
      <c r="N331" s="857"/>
      <c r="O331" s="857"/>
      <c r="P331" s="857"/>
      <c r="Q331" s="857"/>
      <c r="R331" s="857"/>
      <c r="S331" s="857"/>
      <c r="T331" s="857"/>
      <c r="U331" s="857"/>
      <c r="V331" s="857"/>
      <c r="W331" s="857"/>
      <c r="X331" s="857"/>
      <c r="Y331" s="857"/>
      <c r="Z331" s="857"/>
      <c r="AA331" s="857"/>
      <c r="AB331" s="857"/>
      <c r="AC331" s="857"/>
      <c r="AD331" s="857"/>
      <c r="AE331" s="857"/>
      <c r="AF331" s="857"/>
      <c r="AG331" s="857"/>
      <c r="AH331" s="857"/>
      <c r="AI331" s="857"/>
      <c r="AJ331" s="857"/>
      <c r="AK331" s="857"/>
      <c r="AL331" s="857"/>
      <c r="AM331" s="857"/>
      <c r="AN331" s="857"/>
      <c r="AO331" s="857"/>
      <c r="AP331" s="857"/>
      <c r="AQ331" s="857"/>
      <c r="AR331" s="857"/>
      <c r="AS331" s="857"/>
      <c r="AT331" s="855"/>
      <c r="AV331" s="857"/>
      <c r="AW331" s="857"/>
      <c r="AX331" s="857"/>
      <c r="AY331" s="857"/>
      <c r="AZ331" s="857"/>
      <c r="BA331" s="857"/>
      <c r="BB331" s="857"/>
      <c r="BC331" s="857"/>
      <c r="BD331" s="857"/>
      <c r="BE331" s="857"/>
      <c r="BF331" s="857"/>
      <c r="BG331" s="857"/>
    </row>
    <row r="332" spans="1:59" ht="15.75" customHeight="1">
      <c r="A332" s="857"/>
      <c r="B332" s="857"/>
      <c r="C332" s="857"/>
      <c r="D332" s="857"/>
      <c r="E332" s="857"/>
      <c r="F332" s="857"/>
      <c r="G332" s="857"/>
      <c r="H332" s="857"/>
      <c r="I332" s="857"/>
      <c r="J332" s="857"/>
      <c r="K332" s="857"/>
      <c r="L332" s="857"/>
      <c r="M332" s="857"/>
      <c r="N332" s="857"/>
      <c r="O332" s="857"/>
      <c r="P332" s="857"/>
      <c r="Q332" s="857"/>
      <c r="R332" s="857"/>
      <c r="S332" s="857"/>
      <c r="T332" s="857"/>
      <c r="U332" s="857"/>
      <c r="V332" s="857"/>
      <c r="W332" s="857"/>
      <c r="X332" s="857"/>
      <c r="Y332" s="857"/>
      <c r="Z332" s="857"/>
      <c r="AA332" s="857"/>
      <c r="AB332" s="857"/>
      <c r="AC332" s="857"/>
      <c r="AD332" s="857"/>
      <c r="AE332" s="857"/>
      <c r="AF332" s="857"/>
      <c r="AG332" s="857"/>
      <c r="AH332" s="857"/>
      <c r="AI332" s="857"/>
      <c r="AJ332" s="857"/>
      <c r="AK332" s="857"/>
      <c r="AL332" s="857"/>
      <c r="AM332" s="857"/>
      <c r="AN332" s="857"/>
      <c r="AO332" s="857"/>
      <c r="AP332" s="857"/>
      <c r="AQ332" s="857"/>
      <c r="AR332" s="857"/>
      <c r="AS332" s="857"/>
      <c r="AT332" s="855"/>
      <c r="AV332" s="857"/>
      <c r="AW332" s="857"/>
      <c r="AX332" s="857"/>
      <c r="AY332" s="857"/>
      <c r="AZ332" s="857"/>
      <c r="BA332" s="857"/>
      <c r="BB332" s="857"/>
      <c r="BC332" s="857"/>
      <c r="BD332" s="857"/>
      <c r="BE332" s="857"/>
      <c r="BF332" s="857"/>
      <c r="BG332" s="857"/>
    </row>
    <row r="333" spans="1:59" ht="15.75" customHeight="1">
      <c r="A333" s="857"/>
      <c r="B333" s="857"/>
      <c r="C333" s="857"/>
      <c r="D333" s="857"/>
      <c r="E333" s="857"/>
      <c r="F333" s="857"/>
      <c r="G333" s="857"/>
      <c r="H333" s="857"/>
      <c r="I333" s="857"/>
      <c r="J333" s="857"/>
      <c r="K333" s="857"/>
      <c r="L333" s="857"/>
      <c r="M333" s="857"/>
      <c r="N333" s="857"/>
      <c r="O333" s="857"/>
      <c r="P333" s="857"/>
      <c r="Q333" s="857"/>
      <c r="R333" s="857"/>
      <c r="S333" s="857"/>
      <c r="T333" s="857"/>
      <c r="U333" s="857"/>
      <c r="V333" s="857"/>
      <c r="W333" s="857"/>
      <c r="X333" s="857"/>
      <c r="Y333" s="857"/>
      <c r="Z333" s="857"/>
      <c r="AA333" s="857"/>
      <c r="AB333" s="857"/>
      <c r="AC333" s="857"/>
      <c r="AD333" s="857"/>
      <c r="AE333" s="857"/>
      <c r="AF333" s="857"/>
      <c r="AG333" s="857"/>
      <c r="AH333" s="857"/>
      <c r="AI333" s="857"/>
      <c r="AJ333" s="857"/>
      <c r="AK333" s="857"/>
      <c r="AL333" s="857"/>
      <c r="AM333" s="857"/>
      <c r="AN333" s="857"/>
      <c r="AO333" s="857"/>
      <c r="AP333" s="857"/>
      <c r="AQ333" s="857"/>
      <c r="AR333" s="857"/>
      <c r="AS333" s="857"/>
      <c r="AT333" s="855"/>
      <c r="AV333" s="857"/>
      <c r="AW333" s="857"/>
      <c r="AX333" s="857"/>
      <c r="AY333" s="857"/>
      <c r="AZ333" s="857"/>
      <c r="BA333" s="857"/>
      <c r="BB333" s="857"/>
      <c r="BC333" s="857"/>
      <c r="BD333" s="857"/>
      <c r="BE333" s="857"/>
      <c r="BF333" s="857"/>
      <c r="BG333" s="857"/>
    </row>
    <row r="334" spans="1:59" ht="15.75" customHeight="1">
      <c r="A334" s="857"/>
      <c r="B334" s="857"/>
      <c r="C334" s="857"/>
      <c r="D334" s="857"/>
      <c r="E334" s="857"/>
      <c r="F334" s="857"/>
      <c r="G334" s="857"/>
      <c r="H334" s="857"/>
      <c r="I334" s="857"/>
      <c r="J334" s="857"/>
      <c r="K334" s="857"/>
      <c r="L334" s="857"/>
      <c r="M334" s="857"/>
      <c r="N334" s="857"/>
      <c r="O334" s="857"/>
      <c r="P334" s="857"/>
      <c r="Q334" s="857"/>
      <c r="R334" s="857"/>
      <c r="S334" s="857"/>
      <c r="T334" s="857"/>
      <c r="U334" s="857"/>
      <c r="V334" s="857"/>
      <c r="W334" s="857"/>
      <c r="X334" s="857"/>
      <c r="Y334" s="857"/>
      <c r="Z334" s="857"/>
      <c r="AA334" s="857"/>
      <c r="AB334" s="857"/>
      <c r="AC334" s="857"/>
      <c r="AD334" s="857"/>
      <c r="AE334" s="857"/>
      <c r="AF334" s="857"/>
      <c r="AG334" s="857"/>
      <c r="AH334" s="857"/>
      <c r="AI334" s="857"/>
      <c r="AJ334" s="857"/>
      <c r="AK334" s="857"/>
      <c r="AL334" s="857"/>
      <c r="AM334" s="857"/>
      <c r="AN334" s="857"/>
      <c r="AO334" s="857"/>
      <c r="AP334" s="857"/>
      <c r="AQ334" s="857"/>
      <c r="AR334" s="857"/>
      <c r="AS334" s="857"/>
      <c r="AT334" s="855"/>
      <c r="AV334" s="857"/>
      <c r="AW334" s="857"/>
      <c r="AX334" s="857"/>
      <c r="AY334" s="857"/>
      <c r="AZ334" s="857"/>
      <c r="BA334" s="857"/>
      <c r="BB334" s="857"/>
      <c r="BC334" s="857"/>
      <c r="BD334" s="857"/>
      <c r="BE334" s="857"/>
      <c r="BF334" s="857"/>
      <c r="BG334" s="857"/>
    </row>
    <row r="335" spans="1:59" ht="15.75" customHeight="1">
      <c r="A335" s="857"/>
      <c r="B335" s="857"/>
      <c r="C335" s="857"/>
      <c r="D335" s="857"/>
      <c r="E335" s="857"/>
      <c r="F335" s="857"/>
      <c r="G335" s="857"/>
      <c r="H335" s="857"/>
      <c r="I335" s="857"/>
      <c r="J335" s="857"/>
      <c r="K335" s="857"/>
      <c r="L335" s="857"/>
      <c r="M335" s="857"/>
      <c r="N335" s="857"/>
      <c r="O335" s="857"/>
      <c r="P335" s="857"/>
      <c r="Q335" s="857"/>
      <c r="R335" s="857"/>
      <c r="S335" s="857"/>
      <c r="T335" s="857"/>
      <c r="U335" s="857"/>
      <c r="V335" s="857"/>
      <c r="W335" s="857"/>
      <c r="X335" s="857"/>
      <c r="Y335" s="857"/>
      <c r="Z335" s="857"/>
      <c r="AA335" s="857"/>
      <c r="AB335" s="857"/>
      <c r="AC335" s="857"/>
      <c r="AD335" s="857"/>
      <c r="AE335" s="857"/>
      <c r="AF335" s="857"/>
      <c r="AG335" s="857"/>
      <c r="AH335" s="857"/>
      <c r="AI335" s="857"/>
      <c r="AJ335" s="857"/>
      <c r="AK335" s="857"/>
      <c r="AL335" s="857"/>
      <c r="AM335" s="857"/>
      <c r="AN335" s="857"/>
      <c r="AO335" s="857"/>
      <c r="AP335" s="857"/>
      <c r="AQ335" s="857"/>
      <c r="AR335" s="857"/>
      <c r="AS335" s="857"/>
      <c r="AT335" s="855"/>
      <c r="AV335" s="857"/>
      <c r="AW335" s="857"/>
      <c r="AX335" s="857"/>
      <c r="AY335" s="857"/>
      <c r="AZ335" s="857"/>
      <c r="BA335" s="857"/>
      <c r="BB335" s="857"/>
      <c r="BC335" s="857"/>
      <c r="BD335" s="857"/>
      <c r="BE335" s="857"/>
      <c r="BF335" s="857"/>
      <c r="BG335" s="857"/>
    </row>
    <row r="336" spans="1:59" ht="15.75" customHeight="1">
      <c r="A336" s="857"/>
      <c r="B336" s="857"/>
      <c r="C336" s="857"/>
      <c r="D336" s="857"/>
      <c r="E336" s="857"/>
      <c r="F336" s="857"/>
      <c r="G336" s="857"/>
      <c r="H336" s="857"/>
      <c r="I336" s="857"/>
      <c r="J336" s="857"/>
      <c r="K336" s="857"/>
      <c r="L336" s="857"/>
      <c r="M336" s="857"/>
      <c r="N336" s="857"/>
      <c r="O336" s="857"/>
      <c r="P336" s="857"/>
      <c r="Q336" s="857"/>
      <c r="R336" s="857"/>
      <c r="S336" s="857"/>
      <c r="T336" s="857"/>
      <c r="U336" s="857"/>
      <c r="V336" s="857"/>
      <c r="W336" s="857"/>
      <c r="X336" s="857"/>
      <c r="Y336" s="857"/>
      <c r="Z336" s="857"/>
      <c r="AA336" s="857"/>
      <c r="AB336" s="857"/>
      <c r="AC336" s="857"/>
      <c r="AD336" s="857"/>
      <c r="AE336" s="857"/>
      <c r="AF336" s="857"/>
      <c r="AG336" s="857"/>
      <c r="AH336" s="857"/>
      <c r="AI336" s="857"/>
      <c r="AJ336" s="857"/>
      <c r="AK336" s="857"/>
      <c r="AL336" s="857"/>
      <c r="AM336" s="857"/>
      <c r="AN336" s="857"/>
      <c r="AO336" s="857"/>
      <c r="AP336" s="857"/>
      <c r="AQ336" s="857"/>
      <c r="AR336" s="857"/>
      <c r="AS336" s="857"/>
      <c r="AT336" s="855"/>
      <c r="AV336" s="857"/>
      <c r="AW336" s="857"/>
      <c r="AX336" s="857"/>
      <c r="AY336" s="857"/>
      <c r="AZ336" s="857"/>
      <c r="BA336" s="857"/>
      <c r="BB336" s="857"/>
      <c r="BC336" s="857"/>
      <c r="BD336" s="857"/>
      <c r="BE336" s="857"/>
      <c r="BF336" s="857"/>
      <c r="BG336" s="857"/>
    </row>
    <row r="337" spans="1:59" ht="15.75" customHeight="1">
      <c r="A337" s="857"/>
      <c r="B337" s="857"/>
      <c r="C337" s="857"/>
      <c r="D337" s="857"/>
      <c r="E337" s="857"/>
      <c r="F337" s="857"/>
      <c r="G337" s="857"/>
      <c r="H337" s="857"/>
      <c r="I337" s="857"/>
      <c r="J337" s="857"/>
      <c r="K337" s="857"/>
      <c r="L337" s="857"/>
      <c r="M337" s="857"/>
      <c r="N337" s="857"/>
      <c r="O337" s="857"/>
      <c r="P337" s="857"/>
      <c r="Q337" s="857"/>
      <c r="R337" s="857"/>
      <c r="S337" s="857"/>
      <c r="T337" s="857"/>
      <c r="U337" s="857"/>
      <c r="V337" s="857"/>
      <c r="W337" s="857"/>
      <c r="X337" s="857"/>
      <c r="Y337" s="857"/>
      <c r="Z337" s="857"/>
      <c r="AA337" s="857"/>
      <c r="AB337" s="857"/>
      <c r="AC337" s="857"/>
      <c r="AD337" s="857"/>
      <c r="AE337" s="857"/>
      <c r="AF337" s="857"/>
      <c r="AG337" s="857"/>
      <c r="AH337" s="857"/>
      <c r="AI337" s="857"/>
      <c r="AJ337" s="857"/>
      <c r="AK337" s="857"/>
      <c r="AL337" s="857"/>
      <c r="AM337" s="857"/>
      <c r="AN337" s="857"/>
      <c r="AO337" s="857"/>
      <c r="AP337" s="857"/>
      <c r="AQ337" s="857"/>
      <c r="AR337" s="857"/>
      <c r="AS337" s="857"/>
      <c r="AT337" s="855"/>
      <c r="AV337" s="857"/>
      <c r="AW337" s="857"/>
      <c r="AX337" s="857"/>
      <c r="AY337" s="857"/>
      <c r="AZ337" s="857"/>
      <c r="BA337" s="857"/>
      <c r="BB337" s="857"/>
      <c r="BC337" s="857"/>
      <c r="BD337" s="857"/>
      <c r="BE337" s="857"/>
      <c r="BF337" s="857"/>
      <c r="BG337" s="857"/>
    </row>
    <row r="338" spans="1:59" ht="15.75" customHeight="1">
      <c r="A338" s="857"/>
      <c r="B338" s="857"/>
      <c r="C338" s="857"/>
      <c r="D338" s="857"/>
      <c r="E338" s="857"/>
      <c r="F338" s="857"/>
      <c r="G338" s="857"/>
      <c r="H338" s="857"/>
      <c r="I338" s="857"/>
      <c r="J338" s="857"/>
      <c r="K338" s="857"/>
      <c r="L338" s="857"/>
      <c r="M338" s="857"/>
      <c r="N338" s="857"/>
      <c r="O338" s="857"/>
      <c r="P338" s="857"/>
      <c r="Q338" s="857"/>
      <c r="R338" s="857"/>
      <c r="S338" s="857"/>
      <c r="T338" s="857"/>
      <c r="U338" s="857"/>
      <c r="V338" s="857"/>
      <c r="W338" s="857"/>
      <c r="X338" s="857"/>
      <c r="Y338" s="857"/>
      <c r="Z338" s="857"/>
      <c r="AA338" s="857"/>
      <c r="AB338" s="857"/>
      <c r="AC338" s="857"/>
      <c r="AD338" s="857"/>
      <c r="AE338" s="857"/>
      <c r="AF338" s="857"/>
      <c r="AG338" s="857"/>
      <c r="AH338" s="857"/>
      <c r="AI338" s="857"/>
      <c r="AJ338" s="857"/>
      <c r="AK338" s="857"/>
      <c r="AL338" s="857"/>
      <c r="AM338" s="857"/>
      <c r="AN338" s="857"/>
      <c r="AO338" s="857"/>
      <c r="AP338" s="857"/>
      <c r="AQ338" s="857"/>
      <c r="AR338" s="857"/>
      <c r="AS338" s="857"/>
      <c r="AT338" s="855"/>
      <c r="AV338" s="857"/>
      <c r="AW338" s="857"/>
      <c r="AX338" s="857"/>
      <c r="AY338" s="857"/>
      <c r="AZ338" s="857"/>
      <c r="BA338" s="857"/>
      <c r="BB338" s="857"/>
      <c r="BC338" s="857"/>
      <c r="BD338" s="857"/>
      <c r="BE338" s="857"/>
      <c r="BF338" s="857"/>
      <c r="BG338" s="857"/>
    </row>
    <row r="339" spans="1:59" ht="15.75" customHeight="1">
      <c r="A339" s="857"/>
      <c r="B339" s="857"/>
      <c r="C339" s="857"/>
      <c r="D339" s="857"/>
      <c r="E339" s="857"/>
      <c r="F339" s="857"/>
      <c r="G339" s="857"/>
      <c r="H339" s="857"/>
      <c r="I339" s="857"/>
      <c r="J339" s="857"/>
      <c r="K339" s="857"/>
      <c r="L339" s="857"/>
      <c r="M339" s="857"/>
      <c r="N339" s="857"/>
      <c r="O339" s="857"/>
      <c r="P339" s="857"/>
      <c r="Q339" s="857"/>
      <c r="R339" s="857"/>
      <c r="S339" s="857"/>
      <c r="T339" s="857"/>
      <c r="U339" s="857"/>
      <c r="V339" s="857"/>
      <c r="W339" s="857"/>
      <c r="X339" s="857"/>
      <c r="Y339" s="857"/>
      <c r="Z339" s="857"/>
      <c r="AA339" s="857"/>
      <c r="AB339" s="857"/>
      <c r="AC339" s="857"/>
      <c r="AD339" s="857"/>
      <c r="AE339" s="857"/>
      <c r="AF339" s="857"/>
      <c r="AG339" s="857"/>
      <c r="AH339" s="857"/>
      <c r="AI339" s="857"/>
      <c r="AJ339" s="857"/>
      <c r="AK339" s="857"/>
      <c r="AL339" s="857"/>
      <c r="AM339" s="857"/>
      <c r="AN339" s="857"/>
      <c r="AO339" s="857"/>
      <c r="AP339" s="857"/>
      <c r="AQ339" s="857"/>
      <c r="AR339" s="857"/>
      <c r="AS339" s="857"/>
      <c r="AT339" s="855"/>
      <c r="AV339" s="857"/>
      <c r="AW339" s="857"/>
      <c r="AX339" s="857"/>
      <c r="AY339" s="857"/>
      <c r="AZ339" s="857"/>
      <c r="BA339" s="857"/>
      <c r="BB339" s="857"/>
      <c r="BC339" s="857"/>
      <c r="BD339" s="857"/>
      <c r="BE339" s="857"/>
      <c r="BF339" s="857"/>
      <c r="BG339" s="857"/>
    </row>
    <row r="340" spans="1:59" ht="15.75" customHeight="1">
      <c r="A340" s="857"/>
      <c r="B340" s="857"/>
      <c r="C340" s="857"/>
      <c r="D340" s="857"/>
      <c r="E340" s="857"/>
      <c r="F340" s="857"/>
      <c r="G340" s="857"/>
      <c r="H340" s="857"/>
      <c r="I340" s="857"/>
      <c r="J340" s="857"/>
      <c r="K340" s="857"/>
      <c r="L340" s="857"/>
      <c r="M340" s="857"/>
      <c r="N340" s="857"/>
      <c r="O340" s="857"/>
      <c r="P340" s="857"/>
      <c r="Q340" s="857"/>
      <c r="R340" s="857"/>
      <c r="S340" s="857"/>
      <c r="T340" s="857"/>
      <c r="U340" s="857"/>
      <c r="V340" s="857"/>
      <c r="W340" s="857"/>
      <c r="X340" s="857"/>
      <c r="Y340" s="857"/>
      <c r="Z340" s="857"/>
      <c r="AA340" s="857"/>
      <c r="AB340" s="857"/>
      <c r="AC340" s="857"/>
      <c r="AD340" s="857"/>
      <c r="AE340" s="857"/>
      <c r="AF340" s="857"/>
      <c r="AG340" s="857"/>
      <c r="AH340" s="857"/>
      <c r="AI340" s="857"/>
      <c r="AJ340" s="857"/>
      <c r="AK340" s="857"/>
      <c r="AL340" s="857"/>
      <c r="AM340" s="857"/>
      <c r="AN340" s="857"/>
      <c r="AO340" s="857"/>
      <c r="AP340" s="857"/>
      <c r="AQ340" s="857"/>
      <c r="AR340" s="857"/>
      <c r="AS340" s="857"/>
      <c r="AT340" s="855"/>
      <c r="AV340" s="857"/>
      <c r="AW340" s="857"/>
      <c r="AX340" s="857"/>
      <c r="AY340" s="857"/>
      <c r="AZ340" s="857"/>
      <c r="BA340" s="857"/>
      <c r="BB340" s="857"/>
      <c r="BC340" s="857"/>
      <c r="BD340" s="857"/>
      <c r="BE340" s="857"/>
      <c r="BF340" s="857"/>
      <c r="BG340" s="857"/>
    </row>
    <row r="341" spans="1:59" ht="15.75" customHeight="1">
      <c r="A341" s="857"/>
      <c r="B341" s="857"/>
      <c r="C341" s="857"/>
      <c r="D341" s="857"/>
      <c r="E341" s="857"/>
      <c r="F341" s="857"/>
      <c r="G341" s="857"/>
      <c r="H341" s="857"/>
      <c r="I341" s="857"/>
      <c r="J341" s="857"/>
      <c r="K341" s="857"/>
      <c r="L341" s="857"/>
      <c r="M341" s="857"/>
      <c r="N341" s="857"/>
      <c r="O341" s="857"/>
      <c r="P341" s="857"/>
      <c r="Q341" s="857"/>
      <c r="R341" s="857"/>
      <c r="S341" s="857"/>
      <c r="T341" s="857"/>
      <c r="U341" s="857"/>
      <c r="V341" s="857"/>
      <c r="W341" s="857"/>
      <c r="X341" s="857"/>
      <c r="Y341" s="857"/>
      <c r="Z341" s="857"/>
      <c r="AA341" s="857"/>
      <c r="AB341" s="857"/>
      <c r="AC341" s="857"/>
      <c r="AD341" s="857"/>
      <c r="AE341" s="857"/>
      <c r="AF341" s="857"/>
      <c r="AG341" s="857"/>
      <c r="AH341" s="857"/>
      <c r="AI341" s="857"/>
      <c r="AJ341" s="857"/>
      <c r="AK341" s="857"/>
      <c r="AL341" s="857"/>
      <c r="AM341" s="857"/>
      <c r="AN341" s="857"/>
      <c r="AO341" s="857"/>
      <c r="AP341" s="857"/>
      <c r="AQ341" s="857"/>
      <c r="AR341" s="857"/>
      <c r="AS341" s="857"/>
      <c r="AT341" s="855"/>
      <c r="AV341" s="857"/>
      <c r="AW341" s="857"/>
      <c r="AX341" s="857"/>
      <c r="AY341" s="857"/>
      <c r="AZ341" s="857"/>
      <c r="BA341" s="857"/>
      <c r="BB341" s="857"/>
      <c r="BC341" s="857"/>
      <c r="BD341" s="857"/>
      <c r="BE341" s="857"/>
      <c r="BF341" s="857"/>
      <c r="BG341" s="857"/>
    </row>
    <row r="342" spans="1:59" ht="15.75" customHeight="1">
      <c r="A342" s="857"/>
      <c r="B342" s="857"/>
      <c r="C342" s="857"/>
      <c r="D342" s="857"/>
      <c r="E342" s="857"/>
      <c r="F342" s="857"/>
      <c r="G342" s="857"/>
      <c r="H342" s="857"/>
      <c r="I342" s="857"/>
      <c r="J342" s="857"/>
      <c r="K342" s="857"/>
      <c r="L342" s="857"/>
      <c r="M342" s="857"/>
      <c r="N342" s="857"/>
      <c r="O342" s="857"/>
      <c r="P342" s="857"/>
      <c r="Q342" s="857"/>
      <c r="R342" s="857"/>
      <c r="S342" s="857"/>
      <c r="T342" s="857"/>
      <c r="U342" s="857"/>
      <c r="V342" s="857"/>
      <c r="W342" s="857"/>
      <c r="X342" s="857"/>
      <c r="Y342" s="857"/>
      <c r="Z342" s="857"/>
      <c r="AA342" s="857"/>
      <c r="AB342" s="857"/>
      <c r="AC342" s="857"/>
      <c r="AD342" s="857"/>
      <c r="AE342" s="857"/>
      <c r="AF342" s="857"/>
      <c r="AG342" s="857"/>
      <c r="AH342" s="857"/>
      <c r="AI342" s="857"/>
      <c r="AJ342" s="857"/>
      <c r="AK342" s="857"/>
      <c r="AL342" s="857"/>
      <c r="AM342" s="857"/>
      <c r="AN342" s="857"/>
      <c r="AO342" s="857"/>
      <c r="AP342" s="857"/>
      <c r="AQ342" s="857"/>
      <c r="AR342" s="857"/>
      <c r="AS342" s="857"/>
      <c r="AT342" s="855"/>
      <c r="AV342" s="857"/>
      <c r="AW342" s="857"/>
      <c r="AX342" s="857"/>
      <c r="AY342" s="857"/>
      <c r="AZ342" s="857"/>
      <c r="BA342" s="857"/>
      <c r="BB342" s="857"/>
      <c r="BC342" s="857"/>
      <c r="BD342" s="857"/>
      <c r="BE342" s="857"/>
      <c r="BF342" s="857"/>
      <c r="BG342" s="857"/>
    </row>
    <row r="343" spans="1:59" ht="15.75" customHeight="1">
      <c r="A343" s="857"/>
      <c r="B343" s="857"/>
      <c r="C343" s="857"/>
      <c r="D343" s="857"/>
      <c r="E343" s="857"/>
      <c r="F343" s="857"/>
      <c r="G343" s="857"/>
      <c r="H343" s="857"/>
      <c r="I343" s="857"/>
      <c r="J343" s="857"/>
      <c r="K343" s="857"/>
      <c r="L343" s="857"/>
      <c r="M343" s="857"/>
      <c r="N343" s="857"/>
      <c r="O343" s="857"/>
      <c r="P343" s="857"/>
      <c r="Q343" s="857"/>
      <c r="R343" s="857"/>
      <c r="S343" s="857"/>
      <c r="T343" s="857"/>
      <c r="U343" s="857"/>
      <c r="V343" s="857"/>
      <c r="W343" s="857"/>
      <c r="X343" s="857"/>
      <c r="Y343" s="857"/>
      <c r="Z343" s="857"/>
      <c r="AA343" s="857"/>
      <c r="AB343" s="857"/>
      <c r="AC343" s="857"/>
      <c r="AD343" s="857"/>
      <c r="AE343" s="857"/>
      <c r="AF343" s="857"/>
      <c r="AG343" s="857"/>
      <c r="AH343" s="857"/>
      <c r="AI343" s="857"/>
      <c r="AJ343" s="857"/>
      <c r="AK343" s="857"/>
      <c r="AL343" s="857"/>
      <c r="AM343" s="857"/>
      <c r="AN343" s="857"/>
      <c r="AO343" s="857"/>
      <c r="AP343" s="857"/>
      <c r="AQ343" s="857"/>
      <c r="AR343" s="857"/>
      <c r="AS343" s="857"/>
      <c r="AT343" s="855"/>
      <c r="AV343" s="857"/>
      <c r="AW343" s="857"/>
      <c r="AX343" s="857"/>
      <c r="AY343" s="857"/>
      <c r="AZ343" s="857"/>
      <c r="BA343" s="857"/>
      <c r="BB343" s="857"/>
      <c r="BC343" s="857"/>
      <c r="BD343" s="857"/>
      <c r="BE343" s="857"/>
      <c r="BF343" s="857"/>
      <c r="BG343" s="857"/>
    </row>
    <row r="344" spans="1:59" ht="15.75" customHeight="1">
      <c r="A344" s="857"/>
      <c r="B344" s="857"/>
      <c r="C344" s="857"/>
      <c r="D344" s="857"/>
      <c r="E344" s="857"/>
      <c r="F344" s="857"/>
      <c r="G344" s="857"/>
      <c r="H344" s="857"/>
      <c r="I344" s="857"/>
      <c r="J344" s="857"/>
      <c r="K344" s="857"/>
      <c r="L344" s="857"/>
      <c r="M344" s="857"/>
      <c r="N344" s="857"/>
      <c r="O344" s="857"/>
      <c r="P344" s="857"/>
      <c r="Q344" s="857"/>
      <c r="R344" s="857"/>
      <c r="S344" s="857"/>
      <c r="T344" s="857"/>
      <c r="U344" s="857"/>
      <c r="V344" s="857"/>
      <c r="W344" s="857"/>
      <c r="X344" s="857"/>
      <c r="Y344" s="857"/>
      <c r="Z344" s="857"/>
      <c r="AA344" s="857"/>
      <c r="AB344" s="857"/>
      <c r="AC344" s="857"/>
      <c r="AD344" s="857"/>
      <c r="AE344" s="857"/>
      <c r="AF344" s="857"/>
      <c r="AG344" s="857"/>
      <c r="AH344" s="857"/>
      <c r="AI344" s="857"/>
      <c r="AJ344" s="857"/>
      <c r="AK344" s="857"/>
      <c r="AL344" s="857"/>
      <c r="AM344" s="857"/>
      <c r="AN344" s="857"/>
      <c r="AO344" s="857"/>
      <c r="AP344" s="857"/>
      <c r="AQ344" s="857"/>
      <c r="AR344" s="857"/>
      <c r="AS344" s="857"/>
      <c r="AT344" s="855"/>
      <c r="AV344" s="857"/>
      <c r="AW344" s="857"/>
      <c r="AX344" s="857"/>
      <c r="AY344" s="857"/>
      <c r="AZ344" s="857"/>
      <c r="BA344" s="857"/>
      <c r="BB344" s="857"/>
      <c r="BC344" s="857"/>
      <c r="BD344" s="857"/>
      <c r="BE344" s="857"/>
      <c r="BF344" s="857"/>
      <c r="BG344" s="857"/>
    </row>
    <row r="345" spans="1:59" ht="15.75" customHeight="1">
      <c r="A345" s="857"/>
      <c r="B345" s="857"/>
      <c r="C345" s="857"/>
      <c r="D345" s="857"/>
      <c r="E345" s="857"/>
      <c r="F345" s="857"/>
      <c r="G345" s="857"/>
      <c r="H345" s="857"/>
      <c r="I345" s="857"/>
      <c r="J345" s="857"/>
      <c r="K345" s="857"/>
      <c r="L345" s="857"/>
      <c r="M345" s="857"/>
      <c r="N345" s="857"/>
      <c r="O345" s="857"/>
      <c r="P345" s="857"/>
      <c r="Q345" s="857"/>
      <c r="R345" s="857"/>
      <c r="S345" s="857"/>
      <c r="T345" s="857"/>
      <c r="U345" s="857"/>
      <c r="V345" s="857"/>
      <c r="W345" s="857"/>
      <c r="X345" s="857"/>
      <c r="Y345" s="857"/>
      <c r="Z345" s="857"/>
      <c r="AA345" s="857"/>
      <c r="AB345" s="857"/>
      <c r="AC345" s="857"/>
      <c r="AD345" s="857"/>
      <c r="AE345" s="857"/>
      <c r="AF345" s="857"/>
      <c r="AG345" s="857"/>
      <c r="AH345" s="857"/>
      <c r="AI345" s="857"/>
      <c r="AJ345" s="857"/>
      <c r="AK345" s="857"/>
      <c r="AL345" s="857"/>
      <c r="AM345" s="857"/>
      <c r="AN345" s="857"/>
      <c r="AO345" s="857"/>
      <c r="AP345" s="857"/>
      <c r="AQ345" s="857"/>
      <c r="AR345" s="857"/>
      <c r="AS345" s="857"/>
      <c r="AT345" s="855"/>
      <c r="AV345" s="857"/>
      <c r="AW345" s="857"/>
      <c r="AX345" s="857"/>
      <c r="AY345" s="857"/>
      <c r="AZ345" s="857"/>
      <c r="BA345" s="857"/>
      <c r="BB345" s="857"/>
      <c r="BC345" s="857"/>
      <c r="BD345" s="857"/>
      <c r="BE345" s="857"/>
      <c r="BF345" s="857"/>
      <c r="BG345" s="857"/>
    </row>
    <row r="346" spans="1:59" ht="15.75" customHeight="1">
      <c r="A346" s="857"/>
      <c r="B346" s="857"/>
      <c r="C346" s="857"/>
      <c r="D346" s="857"/>
      <c r="E346" s="857"/>
      <c r="F346" s="857"/>
      <c r="G346" s="857"/>
      <c r="H346" s="857"/>
      <c r="I346" s="857"/>
      <c r="J346" s="857"/>
      <c r="K346" s="857"/>
      <c r="L346" s="857"/>
      <c r="M346" s="857"/>
      <c r="N346" s="857"/>
      <c r="O346" s="857"/>
      <c r="P346" s="857"/>
      <c r="Q346" s="857"/>
      <c r="R346" s="857"/>
      <c r="S346" s="857"/>
      <c r="T346" s="857"/>
      <c r="U346" s="857"/>
      <c r="V346" s="857"/>
      <c r="W346" s="857"/>
      <c r="X346" s="857"/>
      <c r="Y346" s="857"/>
      <c r="Z346" s="857"/>
      <c r="AA346" s="857"/>
      <c r="AB346" s="857"/>
      <c r="AC346" s="857"/>
      <c r="AD346" s="857"/>
      <c r="AE346" s="857"/>
      <c r="AF346" s="857"/>
      <c r="AG346" s="857"/>
      <c r="AH346" s="857"/>
      <c r="AI346" s="857"/>
      <c r="AJ346" s="857"/>
      <c r="AK346" s="857"/>
      <c r="AL346" s="857"/>
      <c r="AM346" s="857"/>
      <c r="AN346" s="857"/>
      <c r="AO346" s="857"/>
      <c r="AP346" s="857"/>
      <c r="AQ346" s="857"/>
      <c r="AR346" s="857"/>
      <c r="AS346" s="857"/>
      <c r="AT346" s="855"/>
      <c r="AV346" s="857"/>
      <c r="AW346" s="857"/>
      <c r="AX346" s="857"/>
      <c r="AY346" s="857"/>
      <c r="AZ346" s="857"/>
      <c r="BA346" s="857"/>
      <c r="BB346" s="857"/>
      <c r="BC346" s="857"/>
      <c r="BD346" s="857"/>
      <c r="BE346" s="857"/>
      <c r="BF346" s="857"/>
      <c r="BG346" s="857"/>
    </row>
    <row r="347" spans="1:59" ht="15.75" customHeight="1">
      <c r="A347" s="857"/>
      <c r="B347" s="857"/>
      <c r="C347" s="857"/>
      <c r="D347" s="857"/>
      <c r="E347" s="857"/>
      <c r="F347" s="857"/>
      <c r="G347" s="857"/>
      <c r="H347" s="857"/>
      <c r="I347" s="857"/>
      <c r="J347" s="857"/>
      <c r="K347" s="857"/>
      <c r="L347" s="857"/>
      <c r="M347" s="857"/>
      <c r="N347" s="857"/>
      <c r="O347" s="857"/>
      <c r="P347" s="857"/>
      <c r="Q347" s="857"/>
      <c r="R347" s="857"/>
      <c r="S347" s="857"/>
      <c r="T347" s="857"/>
      <c r="U347" s="857"/>
      <c r="V347" s="857"/>
      <c r="W347" s="857"/>
      <c r="X347" s="857"/>
      <c r="Y347" s="857"/>
      <c r="Z347" s="857"/>
      <c r="AA347" s="857"/>
      <c r="AB347" s="857"/>
      <c r="AC347" s="857"/>
      <c r="AD347" s="857"/>
      <c r="AE347" s="857"/>
      <c r="AF347" s="857"/>
      <c r="AG347" s="857"/>
      <c r="AH347" s="857"/>
      <c r="AI347" s="857"/>
      <c r="AJ347" s="857"/>
      <c r="AK347" s="857"/>
      <c r="AL347" s="857"/>
      <c r="AM347" s="857"/>
      <c r="AN347" s="857"/>
      <c r="AO347" s="857"/>
      <c r="AP347" s="857"/>
      <c r="AQ347" s="857"/>
      <c r="AR347" s="857"/>
      <c r="AS347" s="857"/>
      <c r="AT347" s="855"/>
      <c r="AV347" s="857"/>
      <c r="AW347" s="857"/>
      <c r="AX347" s="857"/>
      <c r="AY347" s="857"/>
      <c r="AZ347" s="857"/>
      <c r="BA347" s="857"/>
      <c r="BB347" s="857"/>
      <c r="BC347" s="857"/>
      <c r="BD347" s="857"/>
      <c r="BE347" s="857"/>
      <c r="BF347" s="857"/>
      <c r="BG347" s="857"/>
    </row>
    <row r="348" spans="1:59" ht="15.75" customHeight="1">
      <c r="A348" s="857"/>
      <c r="B348" s="857"/>
      <c r="C348" s="857"/>
      <c r="D348" s="857"/>
      <c r="E348" s="857"/>
      <c r="F348" s="857"/>
      <c r="G348" s="857"/>
      <c r="H348" s="857"/>
      <c r="I348" s="857"/>
      <c r="J348" s="857"/>
      <c r="K348" s="857"/>
      <c r="L348" s="857"/>
      <c r="M348" s="857"/>
      <c r="N348" s="857"/>
      <c r="O348" s="857"/>
      <c r="P348" s="857"/>
      <c r="Q348" s="857"/>
      <c r="R348" s="857"/>
      <c r="S348" s="857"/>
      <c r="T348" s="857"/>
      <c r="U348" s="857"/>
      <c r="V348" s="857"/>
      <c r="W348" s="857"/>
      <c r="X348" s="857"/>
      <c r="Y348" s="857"/>
      <c r="Z348" s="857"/>
      <c r="AA348" s="857"/>
      <c r="AB348" s="857"/>
      <c r="AC348" s="857"/>
      <c r="AD348" s="857"/>
      <c r="AE348" s="857"/>
      <c r="AF348" s="857"/>
      <c r="AG348" s="857"/>
      <c r="AH348" s="857"/>
      <c r="AI348" s="857"/>
      <c r="AJ348" s="857"/>
      <c r="AK348" s="857"/>
      <c r="AL348" s="857"/>
      <c r="AM348" s="857"/>
      <c r="AN348" s="857"/>
      <c r="AO348" s="857"/>
      <c r="AP348" s="857"/>
      <c r="AQ348" s="857"/>
      <c r="AR348" s="857"/>
      <c r="AS348" s="857"/>
      <c r="AT348" s="855"/>
      <c r="AV348" s="857"/>
      <c r="AW348" s="857"/>
      <c r="AX348" s="857"/>
      <c r="AY348" s="857"/>
      <c r="AZ348" s="857"/>
      <c r="BA348" s="857"/>
      <c r="BB348" s="857"/>
      <c r="BC348" s="857"/>
      <c r="BD348" s="857"/>
      <c r="BE348" s="857"/>
      <c r="BF348" s="857"/>
      <c r="BG348" s="857"/>
    </row>
    <row r="349" spans="1:59" ht="15.75" customHeight="1">
      <c r="A349" s="857"/>
      <c r="B349" s="857"/>
      <c r="C349" s="857"/>
      <c r="D349" s="857"/>
      <c r="E349" s="857"/>
      <c r="F349" s="857"/>
      <c r="G349" s="857"/>
      <c r="H349" s="857"/>
      <c r="I349" s="857"/>
      <c r="J349" s="857"/>
      <c r="K349" s="857"/>
      <c r="L349" s="857"/>
      <c r="M349" s="857"/>
      <c r="N349" s="857"/>
      <c r="O349" s="857"/>
      <c r="P349" s="857"/>
      <c r="Q349" s="857"/>
      <c r="R349" s="857"/>
      <c r="S349" s="857"/>
      <c r="T349" s="857"/>
      <c r="U349" s="857"/>
      <c r="V349" s="857"/>
      <c r="W349" s="857"/>
      <c r="X349" s="857"/>
      <c r="Y349" s="857"/>
      <c r="Z349" s="857"/>
      <c r="AA349" s="857"/>
      <c r="AB349" s="857"/>
      <c r="AC349" s="857"/>
      <c r="AD349" s="857"/>
      <c r="AE349" s="857"/>
      <c r="AF349" s="857"/>
      <c r="AG349" s="857"/>
      <c r="AH349" s="857"/>
      <c r="AI349" s="857"/>
      <c r="AJ349" s="857"/>
      <c r="AK349" s="857"/>
      <c r="AL349" s="857"/>
      <c r="AM349" s="857"/>
      <c r="AN349" s="857"/>
      <c r="AO349" s="857"/>
      <c r="AP349" s="857"/>
      <c r="AQ349" s="857"/>
      <c r="AR349" s="857"/>
      <c r="AS349" s="857"/>
      <c r="AT349" s="855"/>
      <c r="AV349" s="857"/>
      <c r="AW349" s="857"/>
      <c r="AX349" s="857"/>
      <c r="AY349" s="857"/>
      <c r="AZ349" s="857"/>
      <c r="BA349" s="857"/>
      <c r="BB349" s="857"/>
      <c r="BC349" s="857"/>
      <c r="BD349" s="857"/>
      <c r="BE349" s="857"/>
      <c r="BF349" s="857"/>
      <c r="BG349" s="857"/>
    </row>
    <row r="350" spans="1:59" ht="15.75" customHeight="1">
      <c r="A350" s="857"/>
      <c r="B350" s="857"/>
      <c r="C350" s="857"/>
      <c r="D350" s="857"/>
      <c r="E350" s="857"/>
      <c r="F350" s="857"/>
      <c r="G350" s="857"/>
      <c r="H350" s="857"/>
      <c r="I350" s="857"/>
      <c r="J350" s="857"/>
      <c r="K350" s="857"/>
      <c r="L350" s="857"/>
      <c r="M350" s="857"/>
      <c r="N350" s="857"/>
      <c r="O350" s="857"/>
      <c r="P350" s="857"/>
      <c r="Q350" s="857"/>
      <c r="R350" s="857"/>
      <c r="S350" s="857"/>
      <c r="T350" s="857"/>
      <c r="U350" s="857"/>
      <c r="V350" s="857"/>
      <c r="W350" s="857"/>
      <c r="X350" s="857"/>
      <c r="Y350" s="857"/>
      <c r="Z350" s="857"/>
      <c r="AA350" s="857"/>
      <c r="AB350" s="857"/>
      <c r="AC350" s="857"/>
      <c r="AD350" s="857"/>
      <c r="AE350" s="857"/>
      <c r="AF350" s="857"/>
      <c r="AG350" s="857"/>
      <c r="AH350" s="857"/>
      <c r="AI350" s="857"/>
      <c r="AJ350" s="857"/>
      <c r="AK350" s="857"/>
      <c r="AL350" s="857"/>
      <c r="AM350" s="857"/>
      <c r="AN350" s="857"/>
      <c r="AO350" s="857"/>
      <c r="AP350" s="857"/>
      <c r="AQ350" s="857"/>
      <c r="AR350" s="857"/>
      <c r="AS350" s="857"/>
      <c r="AT350" s="855"/>
      <c r="AV350" s="857"/>
      <c r="AW350" s="857"/>
      <c r="AX350" s="857"/>
      <c r="AY350" s="857"/>
      <c r="AZ350" s="857"/>
      <c r="BA350" s="857"/>
      <c r="BB350" s="857"/>
      <c r="BC350" s="857"/>
      <c r="BD350" s="857"/>
      <c r="BE350" s="857"/>
      <c r="BF350" s="857"/>
      <c r="BG350" s="857"/>
    </row>
    <row r="351" spans="1:59" ht="15.75" customHeight="1">
      <c r="A351" s="857"/>
      <c r="B351" s="857"/>
      <c r="C351" s="857"/>
      <c r="D351" s="857"/>
      <c r="E351" s="857"/>
      <c r="F351" s="857"/>
      <c r="G351" s="857"/>
      <c r="H351" s="857"/>
      <c r="I351" s="857"/>
      <c r="J351" s="857"/>
      <c r="K351" s="857"/>
      <c r="L351" s="857"/>
      <c r="M351" s="857"/>
      <c r="N351" s="857"/>
      <c r="O351" s="857"/>
      <c r="P351" s="857"/>
      <c r="Q351" s="857"/>
      <c r="R351" s="857"/>
      <c r="S351" s="857"/>
      <c r="T351" s="857"/>
      <c r="U351" s="857"/>
      <c r="V351" s="857"/>
      <c r="W351" s="857"/>
      <c r="X351" s="857"/>
      <c r="Y351" s="857"/>
      <c r="Z351" s="857"/>
      <c r="AA351" s="857"/>
      <c r="AB351" s="857"/>
      <c r="AC351" s="857"/>
      <c r="AD351" s="857"/>
      <c r="AE351" s="857"/>
      <c r="AF351" s="857"/>
      <c r="AG351" s="857"/>
      <c r="AH351" s="857"/>
      <c r="AI351" s="857"/>
      <c r="AJ351" s="857"/>
      <c r="AK351" s="857"/>
      <c r="AL351" s="857"/>
      <c r="AM351" s="857"/>
      <c r="AN351" s="857"/>
      <c r="AO351" s="857"/>
      <c r="AP351" s="857"/>
      <c r="AQ351" s="857"/>
      <c r="AR351" s="857"/>
      <c r="AS351" s="857"/>
      <c r="AT351" s="855"/>
      <c r="AV351" s="857"/>
      <c r="AW351" s="857"/>
      <c r="AX351" s="857"/>
      <c r="AY351" s="857"/>
      <c r="AZ351" s="857"/>
      <c r="BA351" s="857"/>
      <c r="BB351" s="857"/>
      <c r="BC351" s="857"/>
      <c r="BD351" s="857"/>
      <c r="BE351" s="857"/>
      <c r="BF351" s="857"/>
      <c r="BG351" s="857"/>
    </row>
    <row r="352" spans="1:59" ht="15.75" customHeight="1">
      <c r="A352" s="857"/>
      <c r="B352" s="857"/>
      <c r="C352" s="857"/>
      <c r="D352" s="857"/>
      <c r="E352" s="857"/>
      <c r="F352" s="857"/>
      <c r="G352" s="857"/>
      <c r="H352" s="857"/>
      <c r="I352" s="857"/>
      <c r="J352" s="857"/>
      <c r="K352" s="857"/>
      <c r="L352" s="857"/>
      <c r="M352" s="857"/>
      <c r="N352" s="857"/>
      <c r="O352" s="857"/>
      <c r="P352" s="857"/>
      <c r="Q352" s="857"/>
      <c r="R352" s="857"/>
      <c r="S352" s="857"/>
      <c r="T352" s="857"/>
      <c r="U352" s="857"/>
      <c r="V352" s="857"/>
      <c r="W352" s="857"/>
      <c r="X352" s="857"/>
      <c r="Y352" s="857"/>
      <c r="Z352" s="857"/>
      <c r="AA352" s="857"/>
      <c r="AB352" s="857"/>
      <c r="AC352" s="857"/>
      <c r="AD352" s="857"/>
      <c r="AE352" s="857"/>
      <c r="AF352" s="857"/>
      <c r="AG352" s="857"/>
      <c r="AH352" s="857"/>
      <c r="AI352" s="857"/>
      <c r="AJ352" s="857"/>
      <c r="AK352" s="857"/>
      <c r="AL352" s="857"/>
      <c r="AM352" s="857"/>
      <c r="AN352" s="857"/>
      <c r="AO352" s="857"/>
      <c r="AP352" s="857"/>
      <c r="AQ352" s="857"/>
      <c r="AR352" s="857"/>
      <c r="AS352" s="857"/>
      <c r="AT352" s="855"/>
      <c r="AV352" s="857"/>
      <c r="AW352" s="857"/>
      <c r="AX352" s="857"/>
      <c r="AY352" s="857"/>
      <c r="AZ352" s="857"/>
      <c r="BA352" s="857"/>
      <c r="BB352" s="857"/>
      <c r="BC352" s="857"/>
      <c r="BD352" s="857"/>
      <c r="BE352" s="857"/>
      <c r="BF352" s="857"/>
      <c r="BG352" s="857"/>
    </row>
    <row r="353" spans="1:59" ht="15.75" customHeight="1">
      <c r="A353" s="857"/>
      <c r="B353" s="857"/>
      <c r="C353" s="857"/>
      <c r="D353" s="857"/>
      <c r="E353" s="857"/>
      <c r="F353" s="857"/>
      <c r="G353" s="857"/>
      <c r="H353" s="857"/>
      <c r="I353" s="857"/>
      <c r="J353" s="857"/>
      <c r="K353" s="857"/>
      <c r="L353" s="857"/>
      <c r="M353" s="857"/>
      <c r="N353" s="857"/>
      <c r="O353" s="857"/>
      <c r="P353" s="857"/>
      <c r="Q353" s="857"/>
      <c r="R353" s="857"/>
      <c r="S353" s="857"/>
      <c r="T353" s="857"/>
      <c r="U353" s="857"/>
      <c r="V353" s="857"/>
      <c r="W353" s="857"/>
      <c r="X353" s="857"/>
      <c r="Y353" s="857"/>
      <c r="Z353" s="857"/>
      <c r="AA353" s="857"/>
      <c r="AB353" s="857"/>
      <c r="AC353" s="857"/>
      <c r="AD353" s="857"/>
      <c r="AE353" s="857"/>
      <c r="AF353" s="857"/>
      <c r="AG353" s="857"/>
      <c r="AH353" s="857"/>
      <c r="AI353" s="857"/>
      <c r="AJ353" s="857"/>
      <c r="AK353" s="857"/>
      <c r="AL353" s="857"/>
      <c r="AM353" s="857"/>
      <c r="AN353" s="857"/>
      <c r="AO353" s="857"/>
      <c r="AP353" s="857"/>
      <c r="AQ353" s="857"/>
      <c r="AR353" s="857"/>
      <c r="AS353" s="857"/>
      <c r="AT353" s="855"/>
      <c r="AV353" s="857"/>
      <c r="AW353" s="857"/>
      <c r="AX353" s="857"/>
      <c r="AY353" s="857"/>
      <c r="AZ353" s="857"/>
      <c r="BA353" s="857"/>
      <c r="BB353" s="857"/>
      <c r="BC353" s="857"/>
      <c r="BD353" s="857"/>
      <c r="BE353" s="857"/>
      <c r="BF353" s="857"/>
      <c r="BG353" s="857"/>
    </row>
    <row r="354" spans="1:59" ht="15.75" customHeight="1">
      <c r="A354" s="857"/>
      <c r="B354" s="857"/>
      <c r="C354" s="857"/>
      <c r="D354" s="857"/>
      <c r="E354" s="857"/>
      <c r="F354" s="857"/>
      <c r="G354" s="857"/>
      <c r="H354" s="857"/>
      <c r="I354" s="857"/>
      <c r="J354" s="857"/>
      <c r="K354" s="857"/>
      <c r="L354" s="857"/>
      <c r="M354" s="857"/>
      <c r="N354" s="857"/>
      <c r="O354" s="857"/>
      <c r="P354" s="857"/>
      <c r="Q354" s="857"/>
      <c r="R354" s="857"/>
      <c r="S354" s="857"/>
      <c r="T354" s="857"/>
      <c r="U354" s="857"/>
      <c r="V354" s="857"/>
      <c r="W354" s="857"/>
      <c r="X354" s="857"/>
      <c r="Y354" s="857"/>
      <c r="Z354" s="857"/>
      <c r="AA354" s="857"/>
      <c r="AB354" s="857"/>
      <c r="AC354" s="857"/>
      <c r="AD354" s="857"/>
      <c r="AE354" s="857"/>
      <c r="AF354" s="857"/>
      <c r="AG354" s="857"/>
      <c r="AH354" s="857"/>
      <c r="AI354" s="857"/>
      <c r="AJ354" s="857"/>
      <c r="AK354" s="857"/>
      <c r="AL354" s="857"/>
      <c r="AM354" s="857"/>
      <c r="AN354" s="857"/>
      <c r="AO354" s="857"/>
      <c r="AP354" s="857"/>
      <c r="AQ354" s="857"/>
      <c r="AR354" s="857"/>
      <c r="AS354" s="857"/>
      <c r="AT354" s="855"/>
      <c r="AV354" s="857"/>
      <c r="AW354" s="857"/>
      <c r="AX354" s="857"/>
      <c r="AY354" s="857"/>
      <c r="AZ354" s="857"/>
      <c r="BA354" s="857"/>
      <c r="BB354" s="857"/>
      <c r="BC354" s="857"/>
      <c r="BD354" s="857"/>
      <c r="BE354" s="857"/>
      <c r="BF354" s="857"/>
      <c r="BG354" s="857"/>
    </row>
    <row r="355" spans="1:59" ht="15.75" customHeight="1">
      <c r="A355" s="857"/>
      <c r="B355" s="857"/>
      <c r="C355" s="857"/>
      <c r="D355" s="857"/>
      <c r="E355" s="857"/>
      <c r="F355" s="857"/>
      <c r="G355" s="857"/>
      <c r="H355" s="857"/>
      <c r="I355" s="857"/>
      <c r="J355" s="857"/>
      <c r="K355" s="857"/>
      <c r="L355" s="857"/>
      <c r="M355" s="857"/>
      <c r="N355" s="857"/>
      <c r="O355" s="857"/>
      <c r="P355" s="857"/>
      <c r="Q355" s="857"/>
      <c r="R355" s="857"/>
      <c r="S355" s="857"/>
      <c r="T355" s="857"/>
      <c r="U355" s="857"/>
      <c r="V355" s="857"/>
      <c r="W355" s="857"/>
      <c r="X355" s="857"/>
      <c r="Y355" s="857"/>
      <c r="Z355" s="857"/>
      <c r="AA355" s="857"/>
      <c r="AB355" s="857"/>
      <c r="AC355" s="857"/>
      <c r="AD355" s="857"/>
      <c r="AE355" s="857"/>
      <c r="AF355" s="857"/>
      <c r="AG355" s="857"/>
      <c r="AH355" s="857"/>
      <c r="AI355" s="857"/>
      <c r="AJ355" s="857"/>
      <c r="AK355" s="857"/>
      <c r="AL355" s="857"/>
      <c r="AM355" s="857"/>
      <c r="AN355" s="857"/>
      <c r="AO355" s="857"/>
      <c r="AP355" s="857"/>
      <c r="AQ355" s="857"/>
      <c r="AR355" s="857"/>
      <c r="AS355" s="857"/>
      <c r="AT355" s="855"/>
      <c r="AV355" s="857"/>
      <c r="AW355" s="857"/>
      <c r="AX355" s="857"/>
      <c r="AY355" s="857"/>
      <c r="AZ355" s="857"/>
      <c r="BA355" s="857"/>
      <c r="BB355" s="857"/>
      <c r="BC355" s="857"/>
      <c r="BD355" s="857"/>
      <c r="BE355" s="857"/>
      <c r="BF355" s="857"/>
      <c r="BG355" s="857"/>
    </row>
    <row r="356" spans="1:59" ht="15.75" customHeight="1">
      <c r="A356" s="857"/>
      <c r="B356" s="857"/>
      <c r="C356" s="857"/>
      <c r="D356" s="857"/>
      <c r="E356" s="857"/>
      <c r="F356" s="857"/>
      <c r="G356" s="857"/>
      <c r="H356" s="857"/>
      <c r="I356" s="857"/>
      <c r="J356" s="857"/>
      <c r="K356" s="857"/>
      <c r="L356" s="857"/>
      <c r="M356" s="857"/>
      <c r="N356" s="857"/>
      <c r="O356" s="857"/>
      <c r="P356" s="857"/>
      <c r="Q356" s="857"/>
      <c r="R356" s="857"/>
      <c r="S356" s="857"/>
      <c r="T356" s="857"/>
      <c r="U356" s="857"/>
      <c r="V356" s="857"/>
      <c r="W356" s="857"/>
      <c r="X356" s="857"/>
      <c r="Y356" s="857"/>
      <c r="Z356" s="857"/>
      <c r="AA356" s="857"/>
      <c r="AB356" s="857"/>
      <c r="AC356" s="857"/>
      <c r="AD356" s="857"/>
      <c r="AE356" s="857"/>
      <c r="AF356" s="857"/>
      <c r="AG356" s="857"/>
      <c r="AH356" s="857"/>
      <c r="AI356" s="857"/>
      <c r="AJ356" s="857"/>
      <c r="AK356" s="857"/>
      <c r="AL356" s="857"/>
      <c r="AM356" s="857"/>
      <c r="AN356" s="857"/>
      <c r="AO356" s="857"/>
      <c r="AP356" s="857"/>
      <c r="AQ356" s="857"/>
      <c r="AR356" s="857"/>
      <c r="AS356" s="857"/>
      <c r="AT356" s="855"/>
      <c r="AV356" s="857"/>
      <c r="AW356" s="857"/>
      <c r="AX356" s="857"/>
      <c r="AY356" s="857"/>
      <c r="AZ356" s="857"/>
      <c r="BA356" s="857"/>
      <c r="BB356" s="857"/>
      <c r="BC356" s="857"/>
      <c r="BD356" s="857"/>
      <c r="BE356" s="857"/>
      <c r="BF356" s="857"/>
      <c r="BG356" s="857"/>
    </row>
    <row r="357" spans="1:59" ht="15.75" customHeight="1">
      <c r="A357" s="857"/>
      <c r="B357" s="857"/>
      <c r="C357" s="857"/>
      <c r="D357" s="857"/>
      <c r="E357" s="857"/>
      <c r="F357" s="857"/>
      <c r="G357" s="857"/>
      <c r="H357" s="857"/>
      <c r="I357" s="857"/>
      <c r="J357" s="857"/>
      <c r="K357" s="857"/>
      <c r="L357" s="857"/>
      <c r="M357" s="857"/>
      <c r="N357" s="857"/>
      <c r="O357" s="857"/>
      <c r="P357" s="857"/>
      <c r="Q357" s="857"/>
      <c r="R357" s="857"/>
      <c r="S357" s="857"/>
      <c r="T357" s="857"/>
      <c r="U357" s="857"/>
      <c r="V357" s="857"/>
      <c r="W357" s="857"/>
      <c r="X357" s="857"/>
      <c r="Y357" s="857"/>
      <c r="Z357" s="857"/>
      <c r="AA357" s="857"/>
      <c r="AB357" s="857"/>
      <c r="AC357" s="857"/>
      <c r="AD357" s="857"/>
      <c r="AE357" s="857"/>
      <c r="AF357" s="857"/>
      <c r="AG357" s="857"/>
      <c r="AH357" s="857"/>
      <c r="AI357" s="857"/>
      <c r="AJ357" s="857"/>
      <c r="AK357" s="857"/>
      <c r="AL357" s="857"/>
      <c r="AM357" s="857"/>
      <c r="AN357" s="857"/>
      <c r="AO357" s="857"/>
      <c r="AP357" s="857"/>
      <c r="AQ357" s="857"/>
      <c r="AR357" s="857"/>
      <c r="AS357" s="857"/>
      <c r="AT357" s="855"/>
      <c r="AV357" s="857"/>
      <c r="AW357" s="857"/>
      <c r="AX357" s="857"/>
      <c r="AY357" s="857"/>
      <c r="AZ357" s="857"/>
      <c r="BA357" s="857"/>
      <c r="BB357" s="857"/>
      <c r="BC357" s="857"/>
      <c r="BD357" s="857"/>
      <c r="BE357" s="857"/>
      <c r="BF357" s="857"/>
      <c r="BG357" s="857"/>
    </row>
    <row r="358" spans="1:59" ht="15.75" customHeight="1">
      <c r="A358" s="857"/>
      <c r="B358" s="857"/>
      <c r="C358" s="857"/>
      <c r="D358" s="857"/>
      <c r="E358" s="857"/>
      <c r="F358" s="857"/>
      <c r="G358" s="857"/>
      <c r="H358" s="857"/>
      <c r="I358" s="857"/>
      <c r="J358" s="857"/>
      <c r="K358" s="857"/>
      <c r="L358" s="857"/>
      <c r="M358" s="857"/>
      <c r="N358" s="857"/>
      <c r="O358" s="857"/>
      <c r="P358" s="857"/>
      <c r="Q358" s="857"/>
      <c r="R358" s="857"/>
      <c r="S358" s="857"/>
      <c r="T358" s="857"/>
      <c r="U358" s="857"/>
      <c r="V358" s="857"/>
      <c r="W358" s="857"/>
      <c r="X358" s="857"/>
      <c r="Y358" s="857"/>
      <c r="Z358" s="857"/>
      <c r="AA358" s="857"/>
      <c r="AB358" s="857"/>
      <c r="AC358" s="857"/>
      <c r="AD358" s="857"/>
      <c r="AE358" s="857"/>
      <c r="AF358" s="857"/>
      <c r="AG358" s="857"/>
      <c r="AH358" s="857"/>
      <c r="AI358" s="857"/>
      <c r="AJ358" s="857"/>
      <c r="AK358" s="857"/>
      <c r="AL358" s="857"/>
      <c r="AM358" s="857"/>
      <c r="AN358" s="857"/>
      <c r="AO358" s="857"/>
      <c r="AP358" s="857"/>
      <c r="AQ358" s="857"/>
      <c r="AR358" s="857"/>
      <c r="AS358" s="857"/>
      <c r="AT358" s="855"/>
      <c r="AV358" s="857"/>
      <c r="AW358" s="857"/>
      <c r="AX358" s="857"/>
      <c r="AY358" s="857"/>
      <c r="AZ358" s="857"/>
      <c r="BA358" s="857"/>
      <c r="BB358" s="857"/>
      <c r="BC358" s="857"/>
      <c r="BD358" s="857"/>
      <c r="BE358" s="857"/>
      <c r="BF358" s="857"/>
      <c r="BG358" s="857"/>
    </row>
    <row r="359" spans="1:59" ht="15.75" customHeight="1">
      <c r="A359" s="857"/>
      <c r="B359" s="857"/>
      <c r="C359" s="857"/>
      <c r="D359" s="857"/>
      <c r="E359" s="857"/>
      <c r="F359" s="857"/>
      <c r="G359" s="857"/>
      <c r="H359" s="857"/>
      <c r="I359" s="857"/>
      <c r="J359" s="857"/>
      <c r="K359" s="857"/>
      <c r="L359" s="857"/>
      <c r="M359" s="857"/>
      <c r="N359" s="857"/>
      <c r="O359" s="857"/>
      <c r="P359" s="857"/>
      <c r="Q359" s="857"/>
      <c r="R359" s="857"/>
      <c r="S359" s="857"/>
      <c r="T359" s="857"/>
      <c r="U359" s="857"/>
      <c r="V359" s="857"/>
      <c r="W359" s="857"/>
      <c r="X359" s="857"/>
      <c r="Y359" s="857"/>
      <c r="Z359" s="857"/>
      <c r="AA359" s="857"/>
      <c r="AB359" s="857"/>
      <c r="AC359" s="857"/>
      <c r="AD359" s="857"/>
      <c r="AE359" s="857"/>
      <c r="AF359" s="857"/>
      <c r="AG359" s="857"/>
      <c r="AH359" s="857"/>
      <c r="AI359" s="857"/>
      <c r="AJ359" s="857"/>
      <c r="AK359" s="857"/>
      <c r="AL359" s="857"/>
      <c r="AM359" s="857"/>
      <c r="AN359" s="857"/>
      <c r="AO359" s="857"/>
      <c r="AP359" s="857"/>
      <c r="AQ359" s="857"/>
      <c r="AR359" s="857"/>
      <c r="AS359" s="857"/>
      <c r="AT359" s="855"/>
      <c r="AV359" s="857"/>
      <c r="AW359" s="857"/>
      <c r="AX359" s="857"/>
      <c r="AY359" s="857"/>
      <c r="AZ359" s="857"/>
      <c r="BA359" s="857"/>
      <c r="BB359" s="857"/>
      <c r="BC359" s="857"/>
      <c r="BD359" s="857"/>
      <c r="BE359" s="857"/>
      <c r="BF359" s="857"/>
      <c r="BG359" s="857"/>
    </row>
    <row r="360" spans="1:59" ht="15.75" customHeight="1">
      <c r="A360" s="857"/>
      <c r="B360" s="857"/>
      <c r="C360" s="857"/>
      <c r="D360" s="857"/>
      <c r="E360" s="857"/>
      <c r="F360" s="857"/>
      <c r="G360" s="857"/>
      <c r="H360" s="857"/>
      <c r="I360" s="857"/>
      <c r="J360" s="857"/>
      <c r="K360" s="857"/>
      <c r="L360" s="857"/>
      <c r="M360" s="857"/>
      <c r="N360" s="857"/>
      <c r="O360" s="857"/>
      <c r="P360" s="857"/>
      <c r="Q360" s="857"/>
      <c r="R360" s="857"/>
      <c r="S360" s="857"/>
      <c r="T360" s="857"/>
      <c r="U360" s="857"/>
      <c r="V360" s="857"/>
      <c r="W360" s="857"/>
      <c r="X360" s="857"/>
      <c r="Y360" s="857"/>
      <c r="Z360" s="857"/>
      <c r="AA360" s="857"/>
      <c r="AB360" s="857"/>
      <c r="AC360" s="857"/>
      <c r="AD360" s="857"/>
      <c r="AE360" s="857"/>
      <c r="AF360" s="857"/>
      <c r="AG360" s="857"/>
      <c r="AH360" s="857"/>
      <c r="AI360" s="857"/>
      <c r="AJ360" s="857"/>
      <c r="AK360" s="857"/>
      <c r="AL360" s="857"/>
      <c r="AM360" s="857"/>
      <c r="AN360" s="857"/>
      <c r="AO360" s="857"/>
      <c r="AP360" s="857"/>
      <c r="AQ360" s="857"/>
      <c r="AR360" s="857"/>
      <c r="AS360" s="857"/>
      <c r="AT360" s="855"/>
      <c r="AV360" s="857"/>
      <c r="AW360" s="857"/>
      <c r="AX360" s="857"/>
      <c r="AY360" s="857"/>
      <c r="AZ360" s="857"/>
      <c r="BA360" s="857"/>
      <c r="BB360" s="857"/>
      <c r="BC360" s="857"/>
      <c r="BD360" s="857"/>
      <c r="BE360" s="857"/>
      <c r="BF360" s="857"/>
      <c r="BG360" s="857"/>
    </row>
    <row r="361" spans="1:59" ht="15.75" customHeight="1">
      <c r="A361" s="857"/>
      <c r="B361" s="857"/>
      <c r="C361" s="857"/>
      <c r="D361" s="857"/>
      <c r="E361" s="857"/>
      <c r="F361" s="857"/>
      <c r="G361" s="857"/>
      <c r="H361" s="857"/>
      <c r="I361" s="857"/>
      <c r="J361" s="857"/>
      <c r="K361" s="857"/>
      <c r="L361" s="857"/>
      <c r="M361" s="857"/>
      <c r="N361" s="857"/>
      <c r="O361" s="857"/>
      <c r="P361" s="857"/>
      <c r="Q361" s="857"/>
      <c r="R361" s="857"/>
      <c r="S361" s="857"/>
      <c r="T361" s="857"/>
      <c r="U361" s="857"/>
      <c r="V361" s="857"/>
      <c r="W361" s="857"/>
      <c r="X361" s="857"/>
      <c r="Y361" s="857"/>
      <c r="Z361" s="857"/>
      <c r="AA361" s="857"/>
      <c r="AB361" s="857"/>
      <c r="AC361" s="857"/>
      <c r="AD361" s="857"/>
      <c r="AE361" s="857"/>
      <c r="AF361" s="857"/>
      <c r="AG361" s="857"/>
      <c r="AH361" s="857"/>
      <c r="AI361" s="857"/>
      <c r="AJ361" s="857"/>
      <c r="AK361" s="857"/>
      <c r="AL361" s="857"/>
      <c r="AM361" s="857"/>
      <c r="AN361" s="857"/>
      <c r="AO361" s="857"/>
      <c r="AP361" s="857"/>
      <c r="AQ361" s="857"/>
      <c r="AR361" s="857"/>
      <c r="AS361" s="857"/>
      <c r="AT361" s="855"/>
      <c r="AV361" s="857"/>
      <c r="AW361" s="857"/>
      <c r="AX361" s="857"/>
      <c r="AY361" s="857"/>
      <c r="AZ361" s="857"/>
      <c r="BA361" s="857"/>
      <c r="BB361" s="857"/>
      <c r="BC361" s="857"/>
      <c r="BD361" s="857"/>
      <c r="BE361" s="857"/>
      <c r="BF361" s="857"/>
      <c r="BG361" s="857"/>
    </row>
    <row r="362" spans="1:59" ht="15.75" customHeight="1">
      <c r="A362" s="857"/>
      <c r="B362" s="857"/>
      <c r="C362" s="857"/>
      <c r="D362" s="857"/>
      <c r="E362" s="857"/>
      <c r="F362" s="857"/>
      <c r="G362" s="857"/>
      <c r="H362" s="857"/>
      <c r="I362" s="857"/>
      <c r="J362" s="857"/>
      <c r="K362" s="857"/>
      <c r="L362" s="857"/>
      <c r="M362" s="857"/>
      <c r="N362" s="857"/>
      <c r="O362" s="857"/>
      <c r="P362" s="857"/>
      <c r="Q362" s="857"/>
      <c r="R362" s="857"/>
      <c r="S362" s="857"/>
      <c r="T362" s="857"/>
      <c r="U362" s="857"/>
      <c r="V362" s="857"/>
      <c r="W362" s="857"/>
      <c r="X362" s="857"/>
      <c r="Y362" s="857"/>
      <c r="Z362" s="857"/>
      <c r="AA362" s="857"/>
      <c r="AB362" s="857"/>
      <c r="AC362" s="857"/>
      <c r="AD362" s="857"/>
      <c r="AE362" s="857"/>
      <c r="AF362" s="857"/>
      <c r="AG362" s="857"/>
      <c r="AH362" s="857"/>
      <c r="AI362" s="857"/>
      <c r="AJ362" s="857"/>
      <c r="AK362" s="857"/>
      <c r="AL362" s="857"/>
      <c r="AM362" s="857"/>
      <c r="AN362" s="857"/>
      <c r="AO362" s="857"/>
      <c r="AP362" s="857"/>
      <c r="AQ362" s="857"/>
      <c r="AR362" s="857"/>
      <c r="AS362" s="857"/>
      <c r="AT362" s="855"/>
      <c r="AV362" s="857"/>
      <c r="AW362" s="857"/>
      <c r="AX362" s="857"/>
      <c r="AY362" s="857"/>
      <c r="AZ362" s="857"/>
      <c r="BA362" s="857"/>
      <c r="BB362" s="857"/>
      <c r="BC362" s="857"/>
      <c r="BD362" s="857"/>
      <c r="BE362" s="857"/>
      <c r="BF362" s="857"/>
      <c r="BG362" s="857"/>
    </row>
    <row r="363" spans="1:59" ht="15.75" customHeight="1">
      <c r="A363" s="857"/>
      <c r="B363" s="857"/>
      <c r="C363" s="857"/>
      <c r="D363" s="857"/>
      <c r="E363" s="857"/>
      <c r="F363" s="857"/>
      <c r="G363" s="857"/>
      <c r="H363" s="857"/>
      <c r="I363" s="857"/>
      <c r="J363" s="857"/>
      <c r="K363" s="857"/>
      <c r="L363" s="857"/>
      <c r="M363" s="857"/>
      <c r="N363" s="857"/>
      <c r="O363" s="857"/>
      <c r="P363" s="857"/>
      <c r="Q363" s="857"/>
      <c r="R363" s="857"/>
      <c r="S363" s="857"/>
      <c r="T363" s="857"/>
      <c r="U363" s="857"/>
      <c r="V363" s="857"/>
      <c r="W363" s="857"/>
      <c r="X363" s="857"/>
      <c r="Y363" s="857"/>
      <c r="Z363" s="857"/>
      <c r="AA363" s="857"/>
      <c r="AB363" s="857"/>
      <c r="AC363" s="857"/>
      <c r="AD363" s="857"/>
      <c r="AE363" s="857"/>
      <c r="AF363" s="857"/>
      <c r="AG363" s="857"/>
      <c r="AH363" s="857"/>
      <c r="AI363" s="857"/>
      <c r="AJ363" s="857"/>
      <c r="AK363" s="857"/>
      <c r="AL363" s="857"/>
      <c r="AM363" s="857"/>
      <c r="AN363" s="857"/>
      <c r="AO363" s="857"/>
      <c r="AP363" s="857"/>
      <c r="AQ363" s="857"/>
      <c r="AR363" s="857"/>
      <c r="AS363" s="857"/>
      <c r="AT363" s="855"/>
      <c r="AV363" s="857"/>
      <c r="AW363" s="857"/>
      <c r="AX363" s="857"/>
      <c r="AY363" s="857"/>
      <c r="AZ363" s="857"/>
      <c r="BA363" s="857"/>
      <c r="BB363" s="857"/>
      <c r="BC363" s="857"/>
      <c r="BD363" s="857"/>
      <c r="BE363" s="857"/>
      <c r="BF363" s="857"/>
      <c r="BG363" s="857"/>
    </row>
    <row r="364" spans="1:59" ht="15.75" customHeight="1">
      <c r="A364" s="857"/>
      <c r="B364" s="857"/>
      <c r="C364" s="857"/>
      <c r="D364" s="857"/>
      <c r="E364" s="857"/>
      <c r="F364" s="857"/>
      <c r="G364" s="857"/>
      <c r="H364" s="857"/>
      <c r="I364" s="857"/>
      <c r="J364" s="857"/>
      <c r="K364" s="857"/>
      <c r="L364" s="857"/>
      <c r="M364" s="857"/>
      <c r="N364" s="857"/>
      <c r="O364" s="857"/>
      <c r="P364" s="857"/>
      <c r="Q364" s="857"/>
      <c r="R364" s="857"/>
      <c r="S364" s="857"/>
      <c r="T364" s="857"/>
      <c r="U364" s="857"/>
      <c r="V364" s="857"/>
      <c r="W364" s="857"/>
      <c r="X364" s="857"/>
      <c r="Y364" s="857"/>
      <c r="Z364" s="857"/>
      <c r="AA364" s="857"/>
      <c r="AB364" s="857"/>
      <c r="AC364" s="857"/>
      <c r="AD364" s="857"/>
      <c r="AE364" s="857"/>
      <c r="AF364" s="857"/>
      <c r="AG364" s="857"/>
      <c r="AH364" s="857"/>
      <c r="AI364" s="857"/>
      <c r="AJ364" s="857"/>
      <c r="AK364" s="857"/>
      <c r="AL364" s="857"/>
      <c r="AM364" s="857"/>
      <c r="AN364" s="857"/>
      <c r="AO364" s="857"/>
      <c r="AP364" s="857"/>
      <c r="AQ364" s="857"/>
      <c r="AR364" s="857"/>
      <c r="AS364" s="857"/>
      <c r="AT364" s="855"/>
      <c r="AV364" s="857"/>
      <c r="AW364" s="857"/>
      <c r="AX364" s="857"/>
      <c r="AY364" s="857"/>
      <c r="AZ364" s="857"/>
      <c r="BA364" s="857"/>
      <c r="BB364" s="857"/>
      <c r="BC364" s="857"/>
      <c r="BD364" s="857"/>
      <c r="BE364" s="857"/>
      <c r="BF364" s="857"/>
      <c r="BG364" s="857"/>
    </row>
    <row r="365" spans="1:59" ht="15.75" customHeight="1">
      <c r="A365" s="857"/>
      <c r="B365" s="857"/>
      <c r="C365" s="857"/>
      <c r="D365" s="857"/>
      <c r="E365" s="857"/>
      <c r="F365" s="857"/>
      <c r="G365" s="857"/>
      <c r="H365" s="857"/>
      <c r="I365" s="857"/>
      <c r="J365" s="857"/>
      <c r="K365" s="857"/>
      <c r="L365" s="857"/>
      <c r="M365" s="857"/>
      <c r="N365" s="857"/>
      <c r="O365" s="857"/>
      <c r="P365" s="857"/>
      <c r="Q365" s="857"/>
      <c r="R365" s="857"/>
      <c r="S365" s="857"/>
      <c r="T365" s="857"/>
      <c r="U365" s="857"/>
      <c r="V365" s="857"/>
      <c r="W365" s="857"/>
      <c r="X365" s="857"/>
      <c r="Y365" s="857"/>
      <c r="Z365" s="857"/>
      <c r="AA365" s="857"/>
      <c r="AB365" s="857"/>
      <c r="AC365" s="857"/>
      <c r="AD365" s="857"/>
      <c r="AE365" s="857"/>
      <c r="AF365" s="857"/>
      <c r="AG365" s="857"/>
      <c r="AH365" s="857"/>
      <c r="AI365" s="857"/>
      <c r="AJ365" s="857"/>
      <c r="AK365" s="857"/>
      <c r="AL365" s="857"/>
      <c r="AM365" s="857"/>
      <c r="AN365" s="857"/>
      <c r="AO365" s="857"/>
      <c r="AP365" s="857"/>
      <c r="AQ365" s="857"/>
      <c r="AR365" s="857"/>
      <c r="AS365" s="857"/>
      <c r="AT365" s="855"/>
      <c r="AV365" s="857"/>
      <c r="AW365" s="857"/>
      <c r="AX365" s="857"/>
      <c r="AY365" s="857"/>
      <c r="AZ365" s="857"/>
      <c r="BA365" s="857"/>
      <c r="BB365" s="857"/>
      <c r="BC365" s="857"/>
      <c r="BD365" s="857"/>
      <c r="BE365" s="857"/>
      <c r="BF365" s="857"/>
      <c r="BG365" s="857"/>
    </row>
    <row r="366" spans="1:59" ht="15.75" customHeight="1">
      <c r="A366" s="857"/>
      <c r="B366" s="857"/>
      <c r="C366" s="857"/>
      <c r="D366" s="857"/>
      <c r="E366" s="857"/>
      <c r="F366" s="857"/>
      <c r="G366" s="857"/>
      <c r="H366" s="857"/>
      <c r="I366" s="857"/>
      <c r="J366" s="857"/>
      <c r="K366" s="857"/>
      <c r="L366" s="857"/>
      <c r="M366" s="857"/>
      <c r="N366" s="857"/>
      <c r="O366" s="857"/>
      <c r="P366" s="857"/>
      <c r="Q366" s="857"/>
      <c r="R366" s="857"/>
      <c r="S366" s="857"/>
      <c r="T366" s="857"/>
      <c r="U366" s="857"/>
      <c r="V366" s="857"/>
      <c r="W366" s="857"/>
      <c r="X366" s="857"/>
      <c r="Y366" s="857"/>
      <c r="Z366" s="857"/>
      <c r="AA366" s="857"/>
      <c r="AB366" s="857"/>
      <c r="AC366" s="857"/>
      <c r="AD366" s="857"/>
      <c r="AE366" s="857"/>
      <c r="AF366" s="857"/>
      <c r="AG366" s="857"/>
      <c r="AH366" s="857"/>
      <c r="AI366" s="857"/>
      <c r="AJ366" s="857"/>
      <c r="AK366" s="857"/>
      <c r="AL366" s="857"/>
      <c r="AM366" s="857"/>
      <c r="AN366" s="857"/>
      <c r="AO366" s="857"/>
      <c r="AP366" s="857"/>
      <c r="AQ366" s="857"/>
      <c r="AR366" s="857"/>
      <c r="AS366" s="857"/>
      <c r="AT366" s="855"/>
      <c r="AV366" s="857"/>
      <c r="AW366" s="857"/>
      <c r="AX366" s="857"/>
      <c r="AY366" s="857"/>
      <c r="AZ366" s="857"/>
      <c r="BA366" s="857"/>
      <c r="BB366" s="857"/>
      <c r="BC366" s="857"/>
      <c r="BD366" s="857"/>
      <c r="BE366" s="857"/>
      <c r="BF366" s="857"/>
      <c r="BG366" s="857"/>
    </row>
    <row r="367" spans="1:59" ht="15.75" customHeight="1">
      <c r="A367" s="857"/>
      <c r="B367" s="857"/>
      <c r="C367" s="857"/>
      <c r="D367" s="857"/>
      <c r="E367" s="857"/>
      <c r="F367" s="857"/>
      <c r="G367" s="857"/>
      <c r="H367" s="857"/>
      <c r="I367" s="857"/>
      <c r="J367" s="857"/>
      <c r="K367" s="857"/>
      <c r="L367" s="857"/>
      <c r="M367" s="857"/>
      <c r="N367" s="857"/>
      <c r="O367" s="857"/>
      <c r="P367" s="857"/>
      <c r="Q367" s="857"/>
      <c r="R367" s="857"/>
      <c r="S367" s="857"/>
      <c r="T367" s="857"/>
      <c r="U367" s="857"/>
      <c r="V367" s="857"/>
      <c r="W367" s="857"/>
      <c r="X367" s="857"/>
      <c r="Y367" s="857"/>
      <c r="Z367" s="857"/>
      <c r="AA367" s="857"/>
      <c r="AB367" s="857"/>
      <c r="AC367" s="857"/>
      <c r="AD367" s="857"/>
      <c r="AE367" s="857"/>
      <c r="AF367" s="857"/>
      <c r="AG367" s="857"/>
      <c r="AH367" s="857"/>
      <c r="AI367" s="857"/>
      <c r="AJ367" s="857"/>
      <c r="AK367" s="857"/>
      <c r="AL367" s="857"/>
      <c r="AM367" s="857"/>
      <c r="AN367" s="857"/>
      <c r="AO367" s="857"/>
      <c r="AP367" s="857"/>
      <c r="AQ367" s="857"/>
      <c r="AR367" s="857"/>
      <c r="AS367" s="857"/>
      <c r="AT367" s="855"/>
      <c r="AV367" s="857"/>
      <c r="AW367" s="857"/>
      <c r="AX367" s="857"/>
      <c r="AY367" s="857"/>
      <c r="AZ367" s="857"/>
      <c r="BA367" s="857"/>
      <c r="BB367" s="857"/>
      <c r="BC367" s="857"/>
      <c r="BD367" s="857"/>
      <c r="BE367" s="857"/>
      <c r="BF367" s="857"/>
      <c r="BG367" s="857"/>
    </row>
    <row r="368" spans="1:59" ht="15.75" customHeight="1">
      <c r="A368" s="857"/>
      <c r="B368" s="857"/>
      <c r="C368" s="857"/>
      <c r="D368" s="857"/>
      <c r="E368" s="857"/>
      <c r="F368" s="857"/>
      <c r="G368" s="857"/>
      <c r="H368" s="857"/>
      <c r="I368" s="857"/>
      <c r="J368" s="857"/>
      <c r="K368" s="857"/>
      <c r="L368" s="857"/>
      <c r="M368" s="857"/>
      <c r="N368" s="857"/>
      <c r="O368" s="857"/>
      <c r="P368" s="857"/>
      <c r="Q368" s="857"/>
      <c r="R368" s="857"/>
      <c r="S368" s="857"/>
      <c r="T368" s="857"/>
      <c r="U368" s="857"/>
      <c r="V368" s="857"/>
      <c r="W368" s="857"/>
      <c r="X368" s="857"/>
      <c r="Y368" s="857"/>
      <c r="Z368" s="857"/>
      <c r="AA368" s="857"/>
      <c r="AB368" s="857"/>
      <c r="AC368" s="857"/>
      <c r="AD368" s="857"/>
      <c r="AE368" s="857"/>
      <c r="AF368" s="857"/>
      <c r="AG368" s="857"/>
      <c r="AH368" s="857"/>
      <c r="AI368" s="857"/>
      <c r="AJ368" s="857"/>
      <c r="AK368" s="857"/>
      <c r="AL368" s="857"/>
      <c r="AM368" s="857"/>
      <c r="AN368" s="857"/>
      <c r="AO368" s="857"/>
      <c r="AP368" s="857"/>
      <c r="AQ368" s="857"/>
      <c r="AR368" s="857"/>
      <c r="AS368" s="857"/>
      <c r="AT368" s="855"/>
      <c r="AV368" s="857"/>
      <c r="AW368" s="857"/>
      <c r="AX368" s="857"/>
      <c r="AY368" s="857"/>
      <c r="AZ368" s="857"/>
      <c r="BA368" s="857"/>
      <c r="BB368" s="857"/>
      <c r="BC368" s="857"/>
      <c r="BD368" s="857"/>
      <c r="BE368" s="857"/>
      <c r="BF368" s="857"/>
      <c r="BG368" s="857"/>
    </row>
    <row r="369" spans="1:59" ht="15.75" customHeight="1">
      <c r="A369" s="857"/>
      <c r="B369" s="857"/>
      <c r="C369" s="857"/>
      <c r="D369" s="857"/>
      <c r="E369" s="857"/>
      <c r="F369" s="857"/>
      <c r="G369" s="857"/>
      <c r="H369" s="857"/>
      <c r="I369" s="857"/>
      <c r="J369" s="857"/>
      <c r="K369" s="857"/>
      <c r="L369" s="857"/>
      <c r="M369" s="857"/>
      <c r="N369" s="857"/>
      <c r="O369" s="857"/>
      <c r="P369" s="857"/>
      <c r="Q369" s="857"/>
      <c r="R369" s="857"/>
      <c r="S369" s="857"/>
      <c r="T369" s="857"/>
      <c r="U369" s="857"/>
      <c r="V369" s="857"/>
      <c r="W369" s="857"/>
      <c r="X369" s="857"/>
      <c r="Y369" s="857"/>
      <c r="Z369" s="857"/>
      <c r="AA369" s="857"/>
      <c r="AB369" s="857"/>
      <c r="AC369" s="857"/>
      <c r="AD369" s="857"/>
      <c r="AE369" s="857"/>
      <c r="AF369" s="857"/>
      <c r="AG369" s="857"/>
      <c r="AH369" s="857"/>
      <c r="AI369" s="857"/>
      <c r="AJ369" s="857"/>
      <c r="AK369" s="857"/>
      <c r="AL369" s="857"/>
      <c r="AM369" s="857"/>
      <c r="AN369" s="857"/>
      <c r="AO369" s="857"/>
      <c r="AP369" s="857"/>
      <c r="AQ369" s="857"/>
      <c r="AR369" s="857"/>
      <c r="AS369" s="857"/>
      <c r="AT369" s="855"/>
      <c r="AV369" s="857"/>
      <c r="AW369" s="857"/>
      <c r="AX369" s="857"/>
      <c r="AY369" s="857"/>
      <c r="AZ369" s="857"/>
      <c r="BA369" s="857"/>
      <c r="BB369" s="857"/>
      <c r="BC369" s="857"/>
      <c r="BD369" s="857"/>
      <c r="BE369" s="857"/>
      <c r="BF369" s="857"/>
      <c r="BG369" s="857"/>
    </row>
    <row r="370" spans="1:59" ht="15.75" customHeight="1">
      <c r="A370" s="857"/>
      <c r="B370" s="857"/>
      <c r="C370" s="857"/>
      <c r="D370" s="857"/>
      <c r="E370" s="857"/>
      <c r="F370" s="857"/>
      <c r="G370" s="857"/>
      <c r="H370" s="857"/>
      <c r="I370" s="857"/>
      <c r="J370" s="857"/>
      <c r="K370" s="857"/>
      <c r="L370" s="857"/>
      <c r="M370" s="857"/>
      <c r="N370" s="857"/>
      <c r="O370" s="857"/>
      <c r="P370" s="857"/>
      <c r="Q370" s="857"/>
      <c r="R370" s="857"/>
      <c r="S370" s="857"/>
      <c r="T370" s="857"/>
      <c r="U370" s="857"/>
      <c r="V370" s="857"/>
      <c r="W370" s="857"/>
      <c r="X370" s="857"/>
      <c r="Y370" s="857"/>
      <c r="Z370" s="857"/>
      <c r="AA370" s="857"/>
      <c r="AB370" s="857"/>
      <c r="AC370" s="857"/>
      <c r="AD370" s="857"/>
      <c r="AE370" s="857"/>
      <c r="AF370" s="857"/>
      <c r="AG370" s="857"/>
      <c r="AH370" s="857"/>
      <c r="AI370" s="857"/>
      <c r="AJ370" s="857"/>
      <c r="AK370" s="857"/>
      <c r="AL370" s="857"/>
      <c r="AM370" s="857"/>
      <c r="AN370" s="857"/>
      <c r="AO370" s="857"/>
      <c r="AP370" s="857"/>
      <c r="AQ370" s="857"/>
      <c r="AR370" s="857"/>
      <c r="AS370" s="857"/>
      <c r="AT370" s="855"/>
      <c r="AV370" s="857"/>
      <c r="AW370" s="857"/>
      <c r="AX370" s="857"/>
      <c r="AY370" s="857"/>
      <c r="AZ370" s="857"/>
      <c r="BA370" s="857"/>
      <c r="BB370" s="857"/>
      <c r="BC370" s="857"/>
      <c r="BD370" s="857"/>
      <c r="BE370" s="857"/>
      <c r="BF370" s="857"/>
      <c r="BG370" s="857"/>
    </row>
    <row r="371" spans="1:59" ht="15.75" customHeight="1">
      <c r="A371" s="857"/>
      <c r="B371" s="857"/>
      <c r="C371" s="857"/>
      <c r="D371" s="857"/>
      <c r="E371" s="857"/>
      <c r="F371" s="857"/>
      <c r="G371" s="857"/>
      <c r="H371" s="857"/>
      <c r="I371" s="857"/>
      <c r="J371" s="857"/>
      <c r="K371" s="857"/>
      <c r="L371" s="857"/>
      <c r="M371" s="857"/>
      <c r="N371" s="857"/>
      <c r="O371" s="857"/>
      <c r="P371" s="857"/>
      <c r="Q371" s="857"/>
      <c r="R371" s="857"/>
      <c r="S371" s="857"/>
      <c r="T371" s="857"/>
      <c r="U371" s="857"/>
      <c r="V371" s="857"/>
      <c r="W371" s="857"/>
      <c r="X371" s="857"/>
      <c r="Y371" s="857"/>
      <c r="Z371" s="857"/>
      <c r="AA371" s="857"/>
      <c r="AB371" s="857"/>
      <c r="AC371" s="857"/>
      <c r="AD371" s="857"/>
      <c r="AE371" s="857"/>
      <c r="AF371" s="857"/>
      <c r="AG371" s="857"/>
      <c r="AH371" s="857"/>
      <c r="AI371" s="857"/>
      <c r="AJ371" s="857"/>
      <c r="AK371" s="857"/>
      <c r="AL371" s="857"/>
      <c r="AM371" s="857"/>
      <c r="AN371" s="857"/>
      <c r="AO371" s="857"/>
      <c r="AP371" s="857"/>
      <c r="AQ371" s="857"/>
      <c r="AR371" s="857"/>
      <c r="AS371" s="857"/>
      <c r="AT371" s="855"/>
      <c r="AV371" s="857"/>
      <c r="AW371" s="857"/>
      <c r="AX371" s="857"/>
      <c r="AY371" s="857"/>
      <c r="AZ371" s="857"/>
      <c r="BA371" s="857"/>
      <c r="BB371" s="857"/>
      <c r="BC371" s="857"/>
      <c r="BD371" s="857"/>
      <c r="BE371" s="857"/>
      <c r="BF371" s="857"/>
      <c r="BG371" s="857"/>
    </row>
    <row r="372" spans="1:59" ht="15.75" customHeight="1">
      <c r="A372" s="857"/>
      <c r="B372" s="857"/>
      <c r="C372" s="857"/>
      <c r="D372" s="857"/>
      <c r="E372" s="857"/>
      <c r="F372" s="857"/>
      <c r="G372" s="857"/>
      <c r="H372" s="857"/>
      <c r="I372" s="857"/>
      <c r="J372" s="857"/>
      <c r="K372" s="857"/>
      <c r="L372" s="857"/>
      <c r="M372" s="857"/>
      <c r="N372" s="857"/>
      <c r="O372" s="857"/>
      <c r="P372" s="857"/>
      <c r="Q372" s="857"/>
      <c r="R372" s="857"/>
      <c r="S372" s="857"/>
      <c r="T372" s="857"/>
      <c r="U372" s="857"/>
      <c r="V372" s="857"/>
      <c r="W372" s="857"/>
      <c r="X372" s="857"/>
      <c r="Y372" s="857"/>
      <c r="Z372" s="857"/>
      <c r="AA372" s="857"/>
      <c r="AB372" s="857"/>
      <c r="AC372" s="857"/>
      <c r="AD372" s="857"/>
      <c r="AE372" s="857"/>
      <c r="AF372" s="857"/>
      <c r="AG372" s="857"/>
      <c r="AH372" s="857"/>
      <c r="AI372" s="857"/>
      <c r="AJ372" s="857"/>
      <c r="AK372" s="857"/>
      <c r="AL372" s="857"/>
      <c r="AM372" s="857"/>
      <c r="AN372" s="857"/>
      <c r="AO372" s="857"/>
      <c r="AP372" s="857"/>
      <c r="AQ372" s="857"/>
      <c r="AR372" s="857"/>
      <c r="AS372" s="857"/>
      <c r="AT372" s="855"/>
      <c r="AV372" s="857"/>
      <c r="AW372" s="857"/>
      <c r="AX372" s="857"/>
      <c r="AY372" s="857"/>
      <c r="AZ372" s="857"/>
      <c r="BA372" s="857"/>
      <c r="BB372" s="857"/>
      <c r="BC372" s="857"/>
      <c r="BD372" s="857"/>
      <c r="BE372" s="857"/>
      <c r="BF372" s="857"/>
      <c r="BG372" s="857"/>
    </row>
    <row r="373" spans="1:59" ht="15.75" customHeight="1">
      <c r="A373" s="857"/>
      <c r="B373" s="857"/>
      <c r="C373" s="857"/>
      <c r="D373" s="857"/>
      <c r="E373" s="857"/>
      <c r="F373" s="857"/>
      <c r="G373" s="857"/>
      <c r="H373" s="857"/>
      <c r="I373" s="857"/>
      <c r="J373" s="857"/>
      <c r="K373" s="857"/>
      <c r="L373" s="857"/>
      <c r="M373" s="857"/>
      <c r="N373" s="857"/>
      <c r="O373" s="857"/>
      <c r="P373" s="857"/>
      <c r="Q373" s="857"/>
      <c r="R373" s="857"/>
      <c r="S373" s="857"/>
      <c r="T373" s="857"/>
      <c r="U373" s="857"/>
      <c r="V373" s="857"/>
      <c r="W373" s="857"/>
      <c r="X373" s="857"/>
      <c r="Y373" s="857"/>
      <c r="Z373" s="857"/>
      <c r="AA373" s="857"/>
      <c r="AB373" s="857"/>
      <c r="AC373" s="857"/>
      <c r="AD373" s="857"/>
      <c r="AE373" s="857"/>
      <c r="AF373" s="857"/>
      <c r="AG373" s="857"/>
      <c r="AH373" s="857"/>
      <c r="AI373" s="857"/>
      <c r="AJ373" s="857"/>
      <c r="AK373" s="857"/>
      <c r="AL373" s="857"/>
      <c r="AM373" s="857"/>
      <c r="AN373" s="857"/>
      <c r="AO373" s="857"/>
      <c r="AP373" s="857"/>
      <c r="AQ373" s="857"/>
      <c r="AR373" s="857"/>
      <c r="AS373" s="857"/>
      <c r="AT373" s="855"/>
      <c r="AV373" s="857"/>
      <c r="AW373" s="857"/>
      <c r="AX373" s="857"/>
      <c r="AY373" s="857"/>
      <c r="AZ373" s="857"/>
      <c r="BA373" s="857"/>
      <c r="BB373" s="857"/>
      <c r="BC373" s="857"/>
      <c r="BD373" s="857"/>
      <c r="BE373" s="857"/>
      <c r="BF373" s="857"/>
      <c r="BG373" s="857"/>
    </row>
    <row r="374" spans="1:59" ht="15.75" customHeight="1">
      <c r="A374" s="857"/>
      <c r="B374" s="857"/>
      <c r="C374" s="857"/>
      <c r="D374" s="857"/>
      <c r="E374" s="857"/>
      <c r="F374" s="857"/>
      <c r="G374" s="857"/>
      <c r="H374" s="857"/>
      <c r="I374" s="857"/>
      <c r="J374" s="857"/>
      <c r="K374" s="857"/>
      <c r="L374" s="857"/>
      <c r="M374" s="857"/>
      <c r="N374" s="857"/>
      <c r="O374" s="857"/>
      <c r="P374" s="857"/>
      <c r="Q374" s="857"/>
      <c r="R374" s="857"/>
      <c r="S374" s="857"/>
      <c r="T374" s="857"/>
      <c r="U374" s="857"/>
      <c r="V374" s="857"/>
      <c r="W374" s="857"/>
      <c r="X374" s="857"/>
      <c r="Y374" s="857"/>
      <c r="Z374" s="857"/>
      <c r="AA374" s="857"/>
      <c r="AB374" s="857"/>
      <c r="AC374" s="857"/>
      <c r="AD374" s="857"/>
      <c r="AE374" s="857"/>
      <c r="AF374" s="857"/>
      <c r="AG374" s="857"/>
      <c r="AH374" s="857"/>
      <c r="AI374" s="857"/>
      <c r="AJ374" s="857"/>
      <c r="AK374" s="857"/>
      <c r="AL374" s="857"/>
      <c r="AM374" s="857"/>
      <c r="AN374" s="857"/>
      <c r="AO374" s="857"/>
      <c r="AP374" s="857"/>
      <c r="AQ374" s="857"/>
      <c r="AR374" s="857"/>
      <c r="AS374" s="857"/>
      <c r="AT374" s="855"/>
      <c r="AV374" s="857"/>
      <c r="AW374" s="857"/>
      <c r="AX374" s="857"/>
      <c r="AY374" s="857"/>
      <c r="AZ374" s="857"/>
      <c r="BA374" s="857"/>
      <c r="BB374" s="857"/>
      <c r="BC374" s="857"/>
      <c r="BD374" s="857"/>
      <c r="BE374" s="857"/>
      <c r="BF374" s="857"/>
      <c r="BG374" s="857"/>
    </row>
    <row r="375" spans="1:59" ht="15.75" customHeight="1">
      <c r="A375" s="857"/>
      <c r="B375" s="857"/>
      <c r="C375" s="857"/>
      <c r="D375" s="857"/>
      <c r="E375" s="857"/>
      <c r="F375" s="857"/>
      <c r="G375" s="857"/>
      <c r="H375" s="857"/>
      <c r="I375" s="857"/>
      <c r="J375" s="857"/>
      <c r="K375" s="857"/>
      <c r="L375" s="857"/>
      <c r="M375" s="857"/>
      <c r="N375" s="857"/>
      <c r="O375" s="857"/>
      <c r="P375" s="857"/>
      <c r="Q375" s="857"/>
      <c r="R375" s="857"/>
      <c r="S375" s="857"/>
      <c r="T375" s="857"/>
      <c r="U375" s="857"/>
      <c r="V375" s="857"/>
      <c r="W375" s="857"/>
      <c r="X375" s="857"/>
      <c r="Y375" s="857"/>
      <c r="Z375" s="857"/>
      <c r="AA375" s="857"/>
      <c r="AB375" s="857"/>
      <c r="AC375" s="857"/>
      <c r="AD375" s="857"/>
      <c r="AE375" s="857"/>
      <c r="AF375" s="857"/>
      <c r="AG375" s="857"/>
      <c r="AH375" s="857"/>
      <c r="AI375" s="857"/>
      <c r="AJ375" s="857"/>
      <c r="AK375" s="857"/>
      <c r="AL375" s="857"/>
      <c r="AM375" s="857"/>
      <c r="AN375" s="857"/>
      <c r="AO375" s="857"/>
      <c r="AP375" s="857"/>
      <c r="AQ375" s="857"/>
      <c r="AR375" s="857"/>
      <c r="AS375" s="857"/>
      <c r="AT375" s="855"/>
      <c r="AV375" s="857"/>
      <c r="AW375" s="857"/>
      <c r="AX375" s="857"/>
      <c r="AY375" s="857"/>
      <c r="AZ375" s="857"/>
      <c r="BA375" s="857"/>
      <c r="BB375" s="857"/>
      <c r="BC375" s="857"/>
      <c r="BD375" s="857"/>
      <c r="BE375" s="857"/>
      <c r="BF375" s="857"/>
      <c r="BG375" s="857"/>
    </row>
    <row r="376" spans="1:59" ht="15.75" customHeight="1">
      <c r="A376" s="857"/>
      <c r="B376" s="857"/>
      <c r="C376" s="857"/>
      <c r="D376" s="857"/>
      <c r="E376" s="857"/>
      <c r="F376" s="857"/>
      <c r="G376" s="857"/>
      <c r="H376" s="857"/>
      <c r="I376" s="857"/>
      <c r="J376" s="857"/>
      <c r="K376" s="857"/>
      <c r="L376" s="857"/>
      <c r="M376" s="857"/>
      <c r="N376" s="857"/>
      <c r="O376" s="857"/>
      <c r="P376" s="857"/>
      <c r="Q376" s="857"/>
      <c r="R376" s="857"/>
      <c r="S376" s="857"/>
      <c r="T376" s="857"/>
      <c r="U376" s="857"/>
      <c r="V376" s="857"/>
      <c r="W376" s="857"/>
      <c r="X376" s="857"/>
      <c r="Y376" s="857"/>
      <c r="Z376" s="857"/>
      <c r="AA376" s="857"/>
      <c r="AB376" s="857"/>
      <c r="AC376" s="857"/>
      <c r="AD376" s="857"/>
      <c r="AE376" s="857"/>
      <c r="AF376" s="857"/>
      <c r="AG376" s="857"/>
      <c r="AH376" s="857"/>
      <c r="AI376" s="857"/>
      <c r="AJ376" s="857"/>
      <c r="AK376" s="857"/>
      <c r="AL376" s="857"/>
      <c r="AM376" s="857"/>
      <c r="AN376" s="857"/>
      <c r="AO376" s="857"/>
      <c r="AP376" s="857"/>
      <c r="AQ376" s="857"/>
      <c r="AR376" s="857"/>
      <c r="AS376" s="857"/>
      <c r="AT376" s="855"/>
      <c r="AV376" s="857"/>
      <c r="AW376" s="857"/>
      <c r="AX376" s="857"/>
      <c r="AY376" s="857"/>
      <c r="AZ376" s="857"/>
      <c r="BA376" s="857"/>
      <c r="BB376" s="857"/>
      <c r="BC376" s="857"/>
      <c r="BD376" s="857"/>
      <c r="BE376" s="857"/>
      <c r="BF376" s="857"/>
      <c r="BG376" s="857"/>
    </row>
    <row r="377" spans="1:59" ht="15.75" customHeight="1">
      <c r="A377" s="857"/>
      <c r="B377" s="857"/>
      <c r="C377" s="857"/>
      <c r="D377" s="857"/>
      <c r="E377" s="857"/>
      <c r="F377" s="857"/>
      <c r="G377" s="857"/>
      <c r="H377" s="857"/>
      <c r="I377" s="857"/>
      <c r="J377" s="857"/>
      <c r="K377" s="857"/>
      <c r="L377" s="857"/>
      <c r="M377" s="857"/>
      <c r="N377" s="857"/>
      <c r="O377" s="857"/>
      <c r="P377" s="857"/>
      <c r="Q377" s="857"/>
      <c r="R377" s="857"/>
      <c r="S377" s="857"/>
      <c r="T377" s="857"/>
      <c r="U377" s="857"/>
      <c r="V377" s="857"/>
      <c r="W377" s="857"/>
      <c r="X377" s="857"/>
      <c r="Y377" s="857"/>
      <c r="Z377" s="857"/>
      <c r="AA377" s="857"/>
      <c r="AB377" s="857"/>
      <c r="AC377" s="857"/>
      <c r="AD377" s="857"/>
      <c r="AE377" s="857"/>
      <c r="AF377" s="857"/>
      <c r="AG377" s="857"/>
      <c r="AH377" s="857"/>
      <c r="AI377" s="857"/>
      <c r="AJ377" s="857"/>
      <c r="AK377" s="857"/>
      <c r="AL377" s="857"/>
      <c r="AM377" s="857"/>
      <c r="AN377" s="857"/>
      <c r="AO377" s="857"/>
      <c r="AP377" s="857"/>
      <c r="AQ377" s="857"/>
      <c r="AR377" s="857"/>
      <c r="AS377" s="857"/>
      <c r="AT377" s="855"/>
      <c r="AV377" s="857"/>
      <c r="AW377" s="857"/>
      <c r="AX377" s="857"/>
      <c r="AY377" s="857"/>
      <c r="AZ377" s="857"/>
      <c r="BA377" s="857"/>
      <c r="BB377" s="857"/>
      <c r="BC377" s="857"/>
      <c r="BD377" s="857"/>
      <c r="BE377" s="857"/>
      <c r="BF377" s="857"/>
      <c r="BG377" s="857"/>
    </row>
    <row r="378" spans="1:59" ht="15.75" customHeight="1">
      <c r="A378" s="857"/>
      <c r="B378" s="857"/>
      <c r="C378" s="857"/>
      <c r="D378" s="857"/>
      <c r="E378" s="857"/>
      <c r="F378" s="857"/>
      <c r="G378" s="857"/>
      <c r="H378" s="857"/>
      <c r="I378" s="857"/>
      <c r="J378" s="857"/>
      <c r="K378" s="857"/>
      <c r="L378" s="857"/>
      <c r="M378" s="857"/>
      <c r="N378" s="857"/>
      <c r="O378" s="857"/>
      <c r="P378" s="857"/>
      <c r="Q378" s="857"/>
      <c r="R378" s="857"/>
      <c r="S378" s="857"/>
      <c r="T378" s="857"/>
      <c r="U378" s="857"/>
      <c r="V378" s="857"/>
      <c r="W378" s="857"/>
      <c r="X378" s="857"/>
      <c r="Y378" s="857"/>
      <c r="Z378" s="857"/>
      <c r="AA378" s="857"/>
      <c r="AB378" s="857"/>
      <c r="AC378" s="857"/>
      <c r="AD378" s="857"/>
      <c r="AE378" s="857"/>
      <c r="AF378" s="857"/>
      <c r="AG378" s="857"/>
      <c r="AH378" s="857"/>
      <c r="AI378" s="857"/>
      <c r="AJ378" s="857"/>
      <c r="AK378" s="857"/>
      <c r="AL378" s="857"/>
      <c r="AM378" s="857"/>
      <c r="AN378" s="857"/>
      <c r="AO378" s="857"/>
      <c r="AP378" s="857"/>
      <c r="AQ378" s="857"/>
      <c r="AR378" s="857"/>
      <c r="AS378" s="857"/>
      <c r="AT378" s="855"/>
      <c r="AV378" s="857"/>
      <c r="AW378" s="857"/>
      <c r="AX378" s="857"/>
      <c r="AY378" s="857"/>
      <c r="AZ378" s="857"/>
      <c r="BA378" s="857"/>
      <c r="BB378" s="857"/>
      <c r="BC378" s="857"/>
      <c r="BD378" s="857"/>
      <c r="BE378" s="857"/>
      <c r="BF378" s="857"/>
      <c r="BG378" s="857"/>
    </row>
    <row r="379" spans="1:59" ht="15.75" customHeight="1">
      <c r="A379" s="857"/>
      <c r="B379" s="857"/>
      <c r="C379" s="857"/>
      <c r="D379" s="857"/>
      <c r="E379" s="857"/>
      <c r="F379" s="857"/>
      <c r="G379" s="857"/>
      <c r="H379" s="857"/>
      <c r="I379" s="857"/>
      <c r="J379" s="857"/>
      <c r="K379" s="857"/>
      <c r="L379" s="857"/>
      <c r="M379" s="857"/>
      <c r="N379" s="857"/>
      <c r="O379" s="857"/>
      <c r="P379" s="857"/>
      <c r="Q379" s="857"/>
      <c r="R379" s="857"/>
      <c r="S379" s="857"/>
      <c r="T379" s="857"/>
      <c r="U379" s="857"/>
      <c r="V379" s="857"/>
      <c r="W379" s="857"/>
      <c r="X379" s="857"/>
      <c r="Y379" s="857"/>
      <c r="Z379" s="857"/>
      <c r="AA379" s="857"/>
      <c r="AB379" s="857"/>
      <c r="AC379" s="857"/>
      <c r="AD379" s="857"/>
      <c r="AE379" s="857"/>
      <c r="AF379" s="857"/>
      <c r="AG379" s="857"/>
      <c r="AH379" s="857"/>
      <c r="AI379" s="857"/>
      <c r="AJ379" s="857"/>
      <c r="AK379" s="857"/>
      <c r="AL379" s="857"/>
      <c r="AM379" s="857"/>
      <c r="AN379" s="857"/>
      <c r="AO379" s="857"/>
      <c r="AP379" s="857"/>
      <c r="AQ379" s="857"/>
      <c r="AR379" s="857"/>
      <c r="AS379" s="857"/>
      <c r="AT379" s="855"/>
      <c r="AV379" s="857"/>
      <c r="AW379" s="857"/>
      <c r="AX379" s="857"/>
      <c r="AY379" s="857"/>
      <c r="AZ379" s="857"/>
      <c r="BA379" s="857"/>
      <c r="BB379" s="857"/>
      <c r="BC379" s="857"/>
      <c r="BD379" s="857"/>
      <c r="BE379" s="857"/>
      <c r="BF379" s="857"/>
      <c r="BG379" s="857"/>
    </row>
    <row r="380" spans="1:59" ht="15.75" customHeight="1">
      <c r="A380" s="857"/>
      <c r="B380" s="857"/>
      <c r="C380" s="857"/>
      <c r="D380" s="857"/>
      <c r="E380" s="857"/>
      <c r="F380" s="857"/>
      <c r="G380" s="857"/>
      <c r="H380" s="857"/>
      <c r="I380" s="857"/>
      <c r="J380" s="857"/>
      <c r="K380" s="857"/>
      <c r="L380" s="857"/>
      <c r="M380" s="857"/>
      <c r="N380" s="857"/>
      <c r="O380" s="857"/>
      <c r="P380" s="857"/>
      <c r="Q380" s="857"/>
      <c r="R380" s="857"/>
      <c r="S380" s="857"/>
      <c r="T380" s="857"/>
      <c r="U380" s="857"/>
      <c r="V380" s="857"/>
      <c r="W380" s="857"/>
      <c r="X380" s="857"/>
      <c r="Y380" s="857"/>
      <c r="Z380" s="857"/>
      <c r="AA380" s="857"/>
      <c r="AB380" s="857"/>
      <c r="AC380" s="857"/>
      <c r="AD380" s="857"/>
      <c r="AE380" s="857"/>
      <c r="AF380" s="857"/>
      <c r="AG380" s="857"/>
      <c r="AH380" s="857"/>
      <c r="AI380" s="857"/>
      <c r="AJ380" s="857"/>
      <c r="AK380" s="857"/>
      <c r="AL380" s="857"/>
      <c r="AM380" s="857"/>
      <c r="AN380" s="857"/>
      <c r="AO380" s="857"/>
      <c r="AP380" s="857"/>
      <c r="AQ380" s="857"/>
      <c r="AR380" s="857"/>
      <c r="AS380" s="857"/>
      <c r="AT380" s="855"/>
      <c r="AV380" s="857"/>
      <c r="AW380" s="857"/>
      <c r="AX380" s="857"/>
      <c r="AY380" s="857"/>
      <c r="AZ380" s="857"/>
      <c r="BA380" s="857"/>
      <c r="BB380" s="857"/>
      <c r="BC380" s="857"/>
      <c r="BD380" s="857"/>
      <c r="BE380" s="857"/>
      <c r="BF380" s="857"/>
      <c r="BG380" s="857"/>
    </row>
    <row r="381" spans="1:59" ht="15.75" customHeight="1">
      <c r="A381" s="857"/>
      <c r="B381" s="857"/>
      <c r="C381" s="857"/>
      <c r="D381" s="857"/>
      <c r="E381" s="857"/>
      <c r="F381" s="857"/>
      <c r="G381" s="857"/>
      <c r="H381" s="857"/>
      <c r="I381" s="857"/>
      <c r="J381" s="857"/>
      <c r="K381" s="857"/>
      <c r="L381" s="857"/>
      <c r="M381" s="857"/>
      <c r="N381" s="857"/>
      <c r="O381" s="857"/>
      <c r="P381" s="857"/>
      <c r="Q381" s="857"/>
      <c r="R381" s="857"/>
      <c r="S381" s="857"/>
      <c r="T381" s="857"/>
      <c r="U381" s="857"/>
      <c r="V381" s="857"/>
      <c r="W381" s="857"/>
      <c r="X381" s="857"/>
      <c r="Y381" s="857"/>
      <c r="Z381" s="857"/>
      <c r="AA381" s="857"/>
      <c r="AB381" s="857"/>
      <c r="AC381" s="857"/>
      <c r="AD381" s="857"/>
      <c r="AE381" s="857"/>
      <c r="AF381" s="857"/>
      <c r="AG381" s="857"/>
      <c r="AH381" s="857"/>
      <c r="AI381" s="857"/>
      <c r="AJ381" s="857"/>
      <c r="AK381" s="857"/>
      <c r="AL381" s="857"/>
      <c r="AM381" s="857"/>
      <c r="AN381" s="857"/>
      <c r="AO381" s="857"/>
      <c r="AP381" s="857"/>
      <c r="AQ381" s="857"/>
      <c r="AR381" s="857"/>
      <c r="AS381" s="857"/>
      <c r="AT381" s="855"/>
      <c r="AV381" s="857"/>
      <c r="AW381" s="857"/>
      <c r="AX381" s="857"/>
      <c r="AY381" s="857"/>
      <c r="AZ381" s="857"/>
      <c r="BA381" s="857"/>
      <c r="BB381" s="857"/>
      <c r="BC381" s="857"/>
      <c r="BD381" s="857"/>
      <c r="BE381" s="857"/>
      <c r="BF381" s="857"/>
      <c r="BG381" s="857"/>
    </row>
    <row r="382" spans="1:59" ht="15.75" customHeight="1">
      <c r="A382" s="857"/>
      <c r="B382" s="857"/>
      <c r="C382" s="857"/>
      <c r="D382" s="857"/>
      <c r="E382" s="857"/>
      <c r="F382" s="857"/>
      <c r="G382" s="857"/>
      <c r="H382" s="857"/>
      <c r="I382" s="857"/>
      <c r="J382" s="857"/>
      <c r="K382" s="857"/>
      <c r="L382" s="857"/>
      <c r="M382" s="857"/>
      <c r="N382" s="857"/>
      <c r="O382" s="857"/>
      <c r="P382" s="857"/>
      <c r="Q382" s="857"/>
      <c r="R382" s="857"/>
      <c r="S382" s="857"/>
      <c r="T382" s="857"/>
      <c r="U382" s="857"/>
      <c r="V382" s="857"/>
      <c r="W382" s="857"/>
      <c r="X382" s="857"/>
      <c r="Y382" s="857"/>
      <c r="Z382" s="857"/>
      <c r="AA382" s="857"/>
      <c r="AB382" s="857"/>
      <c r="AC382" s="857"/>
      <c r="AD382" s="857"/>
      <c r="AE382" s="857"/>
      <c r="AF382" s="857"/>
      <c r="AG382" s="857"/>
      <c r="AH382" s="857"/>
      <c r="AI382" s="857"/>
      <c r="AJ382" s="857"/>
      <c r="AK382" s="857"/>
      <c r="AL382" s="857"/>
      <c r="AM382" s="857"/>
      <c r="AN382" s="857"/>
      <c r="AO382" s="857"/>
      <c r="AP382" s="857"/>
      <c r="AQ382" s="857"/>
      <c r="AR382" s="857"/>
      <c r="AS382" s="857"/>
      <c r="AT382" s="855"/>
      <c r="AV382" s="857"/>
      <c r="AW382" s="857"/>
      <c r="AX382" s="857"/>
      <c r="AY382" s="857"/>
      <c r="AZ382" s="857"/>
      <c r="BA382" s="857"/>
      <c r="BB382" s="857"/>
      <c r="BC382" s="857"/>
      <c r="BD382" s="857"/>
      <c r="BE382" s="857"/>
      <c r="BF382" s="857"/>
      <c r="BG382" s="857"/>
    </row>
    <row r="383" spans="1:59" ht="15.75" customHeight="1">
      <c r="A383" s="857"/>
      <c r="B383" s="857"/>
      <c r="C383" s="857"/>
      <c r="D383" s="857"/>
      <c r="E383" s="857"/>
      <c r="F383" s="857"/>
      <c r="G383" s="857"/>
      <c r="H383" s="857"/>
      <c r="I383" s="857"/>
      <c r="J383" s="857"/>
      <c r="K383" s="857"/>
      <c r="L383" s="857"/>
      <c r="M383" s="857"/>
      <c r="N383" s="857"/>
      <c r="O383" s="857"/>
      <c r="P383" s="857"/>
      <c r="Q383" s="857"/>
      <c r="R383" s="857"/>
      <c r="S383" s="857"/>
      <c r="T383" s="857"/>
      <c r="U383" s="857"/>
      <c r="V383" s="857"/>
      <c r="W383" s="857"/>
      <c r="X383" s="857"/>
      <c r="Y383" s="857"/>
      <c r="Z383" s="857"/>
      <c r="AA383" s="857"/>
      <c r="AB383" s="857"/>
      <c r="AC383" s="857"/>
      <c r="AD383" s="857"/>
      <c r="AE383" s="857"/>
      <c r="AF383" s="857"/>
      <c r="AG383" s="857"/>
      <c r="AH383" s="857"/>
      <c r="AI383" s="857"/>
      <c r="AJ383" s="857"/>
      <c r="AK383" s="857"/>
      <c r="AL383" s="857"/>
      <c r="AM383" s="857"/>
      <c r="AN383" s="857"/>
      <c r="AO383" s="857"/>
      <c r="AP383" s="857"/>
      <c r="AQ383" s="857"/>
      <c r="AR383" s="857"/>
      <c r="AS383" s="857"/>
      <c r="AT383" s="855"/>
      <c r="AV383" s="857"/>
      <c r="AW383" s="857"/>
      <c r="AX383" s="857"/>
      <c r="AY383" s="857"/>
      <c r="AZ383" s="857"/>
      <c r="BA383" s="857"/>
      <c r="BB383" s="857"/>
      <c r="BC383" s="857"/>
      <c r="BD383" s="857"/>
      <c r="BE383" s="857"/>
      <c r="BF383" s="857"/>
      <c r="BG383" s="857"/>
    </row>
    <row r="384" spans="1:59" ht="15.75" customHeight="1">
      <c r="A384" s="857"/>
      <c r="B384" s="857"/>
      <c r="C384" s="857"/>
      <c r="D384" s="857"/>
      <c r="E384" s="857"/>
      <c r="F384" s="857"/>
      <c r="G384" s="857"/>
      <c r="H384" s="857"/>
      <c r="I384" s="857"/>
      <c r="J384" s="857"/>
      <c r="K384" s="857"/>
      <c r="L384" s="857"/>
      <c r="M384" s="857"/>
      <c r="N384" s="857"/>
      <c r="O384" s="857"/>
      <c r="P384" s="857"/>
      <c r="Q384" s="857"/>
      <c r="R384" s="857"/>
      <c r="S384" s="857"/>
      <c r="T384" s="857"/>
      <c r="U384" s="857"/>
      <c r="V384" s="857"/>
      <c r="W384" s="857"/>
      <c r="X384" s="857"/>
      <c r="Y384" s="857"/>
      <c r="Z384" s="857"/>
      <c r="AA384" s="857"/>
      <c r="AB384" s="857"/>
      <c r="AC384" s="857"/>
      <c r="AD384" s="857"/>
      <c r="AE384" s="857"/>
      <c r="AF384" s="857"/>
      <c r="AG384" s="857"/>
      <c r="AH384" s="857"/>
      <c r="AI384" s="857"/>
      <c r="AJ384" s="857"/>
      <c r="AK384" s="857"/>
      <c r="AL384" s="857"/>
      <c r="AM384" s="857"/>
      <c r="AN384" s="857"/>
      <c r="AO384" s="857"/>
      <c r="AP384" s="857"/>
      <c r="AQ384" s="857"/>
      <c r="AR384" s="857"/>
      <c r="AS384" s="857"/>
      <c r="AT384" s="855"/>
      <c r="AV384" s="857"/>
      <c r="AW384" s="857"/>
      <c r="AX384" s="857"/>
      <c r="AY384" s="857"/>
      <c r="AZ384" s="857"/>
      <c r="BA384" s="857"/>
      <c r="BB384" s="857"/>
      <c r="BC384" s="857"/>
      <c r="BD384" s="857"/>
      <c r="BE384" s="857"/>
      <c r="BF384" s="857"/>
      <c r="BG384" s="857"/>
    </row>
    <row r="385" spans="1:59" ht="15.75" customHeight="1">
      <c r="A385" s="857"/>
      <c r="B385" s="857"/>
      <c r="C385" s="857"/>
      <c r="D385" s="857"/>
      <c r="E385" s="857"/>
      <c r="F385" s="857"/>
      <c r="G385" s="857"/>
      <c r="H385" s="857"/>
      <c r="I385" s="857"/>
      <c r="J385" s="857"/>
      <c r="K385" s="857"/>
      <c r="L385" s="857"/>
      <c r="M385" s="857"/>
      <c r="N385" s="857"/>
      <c r="O385" s="857"/>
      <c r="P385" s="857"/>
      <c r="Q385" s="857"/>
      <c r="R385" s="857"/>
      <c r="S385" s="857"/>
      <c r="T385" s="857"/>
      <c r="U385" s="857"/>
      <c r="V385" s="857"/>
      <c r="W385" s="857"/>
      <c r="X385" s="857"/>
      <c r="Y385" s="857"/>
      <c r="Z385" s="857"/>
      <c r="AA385" s="857"/>
      <c r="AB385" s="857"/>
      <c r="AC385" s="857"/>
      <c r="AD385" s="857"/>
      <c r="AE385" s="857"/>
      <c r="AF385" s="857"/>
      <c r="AG385" s="857"/>
      <c r="AH385" s="857"/>
      <c r="AI385" s="857"/>
      <c r="AJ385" s="857"/>
      <c r="AK385" s="857"/>
      <c r="AL385" s="857"/>
      <c r="AM385" s="857"/>
      <c r="AN385" s="857"/>
      <c r="AO385" s="857"/>
      <c r="AP385" s="857"/>
      <c r="AQ385" s="857"/>
      <c r="AR385" s="857"/>
      <c r="AS385" s="857"/>
      <c r="AT385" s="855"/>
      <c r="AV385" s="857"/>
      <c r="AW385" s="857"/>
      <c r="AX385" s="857"/>
      <c r="AY385" s="857"/>
      <c r="AZ385" s="857"/>
      <c r="BA385" s="857"/>
      <c r="BB385" s="857"/>
      <c r="BC385" s="857"/>
      <c r="BD385" s="857"/>
      <c r="BE385" s="857"/>
      <c r="BF385" s="857"/>
      <c r="BG385" s="857"/>
    </row>
    <row r="386" spans="1:59" ht="15.75" customHeight="1">
      <c r="A386" s="857"/>
      <c r="B386" s="857"/>
      <c r="C386" s="857"/>
      <c r="D386" s="857"/>
      <c r="E386" s="857"/>
      <c r="F386" s="857"/>
      <c r="G386" s="857"/>
      <c r="H386" s="857"/>
      <c r="I386" s="857"/>
      <c r="J386" s="857"/>
      <c r="K386" s="857"/>
      <c r="L386" s="857"/>
      <c r="M386" s="857"/>
      <c r="N386" s="857"/>
      <c r="O386" s="857"/>
      <c r="P386" s="857"/>
      <c r="Q386" s="857"/>
      <c r="R386" s="857"/>
      <c r="S386" s="857"/>
      <c r="T386" s="857"/>
      <c r="U386" s="857"/>
      <c r="V386" s="857"/>
      <c r="W386" s="857"/>
      <c r="X386" s="857"/>
      <c r="Y386" s="857"/>
      <c r="Z386" s="857"/>
      <c r="AA386" s="857"/>
      <c r="AB386" s="857"/>
      <c r="AC386" s="857"/>
      <c r="AD386" s="857"/>
      <c r="AE386" s="857"/>
      <c r="AF386" s="857"/>
      <c r="AG386" s="857"/>
      <c r="AH386" s="857"/>
      <c r="AI386" s="857"/>
      <c r="AJ386" s="857"/>
      <c r="AK386" s="857"/>
      <c r="AL386" s="857"/>
      <c r="AM386" s="857"/>
      <c r="AN386" s="857"/>
      <c r="AO386" s="857"/>
      <c r="AP386" s="857"/>
      <c r="AQ386" s="857"/>
      <c r="AR386" s="857"/>
      <c r="AS386" s="857"/>
      <c r="AT386" s="855"/>
      <c r="AV386" s="857"/>
      <c r="AW386" s="857"/>
      <c r="AX386" s="857"/>
      <c r="AY386" s="857"/>
      <c r="AZ386" s="857"/>
      <c r="BA386" s="857"/>
      <c r="BB386" s="857"/>
      <c r="BC386" s="857"/>
      <c r="BD386" s="857"/>
      <c r="BE386" s="857"/>
      <c r="BF386" s="857"/>
      <c r="BG386" s="857"/>
    </row>
    <row r="387" spans="1:59" ht="15.75" customHeight="1">
      <c r="A387" s="857"/>
      <c r="B387" s="857"/>
      <c r="C387" s="857"/>
      <c r="D387" s="857"/>
      <c r="E387" s="857"/>
      <c r="F387" s="857"/>
      <c r="G387" s="857"/>
      <c r="H387" s="857"/>
      <c r="I387" s="857"/>
      <c r="J387" s="857"/>
      <c r="K387" s="857"/>
      <c r="L387" s="857"/>
      <c r="M387" s="857"/>
      <c r="N387" s="857"/>
      <c r="O387" s="857"/>
      <c r="P387" s="857"/>
      <c r="Q387" s="857"/>
      <c r="R387" s="857"/>
      <c r="S387" s="857"/>
      <c r="T387" s="857"/>
      <c r="U387" s="857"/>
      <c r="V387" s="857"/>
      <c r="W387" s="857"/>
      <c r="X387" s="857"/>
      <c r="Y387" s="857"/>
      <c r="Z387" s="857"/>
      <c r="AA387" s="857"/>
      <c r="AB387" s="857"/>
      <c r="AC387" s="857"/>
      <c r="AD387" s="857"/>
      <c r="AE387" s="857"/>
      <c r="AF387" s="857"/>
      <c r="AG387" s="857"/>
      <c r="AH387" s="857"/>
      <c r="AI387" s="857"/>
      <c r="AJ387" s="857"/>
      <c r="AK387" s="857"/>
      <c r="AL387" s="857"/>
      <c r="AM387" s="857"/>
      <c r="AN387" s="857"/>
      <c r="AO387" s="857"/>
      <c r="AP387" s="857"/>
      <c r="AQ387" s="857"/>
      <c r="AR387" s="857"/>
      <c r="AS387" s="857"/>
      <c r="AT387" s="855"/>
      <c r="AV387" s="857"/>
      <c r="AW387" s="857"/>
      <c r="AX387" s="857"/>
      <c r="AY387" s="857"/>
      <c r="AZ387" s="857"/>
      <c r="BA387" s="857"/>
      <c r="BB387" s="857"/>
      <c r="BC387" s="857"/>
      <c r="BD387" s="857"/>
      <c r="BE387" s="857"/>
      <c r="BF387" s="857"/>
      <c r="BG387" s="857"/>
    </row>
    <row r="388" spans="1:59" ht="15.75" customHeight="1">
      <c r="A388" s="857"/>
      <c r="B388" s="857"/>
      <c r="C388" s="857"/>
      <c r="D388" s="857"/>
      <c r="E388" s="857"/>
      <c r="F388" s="857"/>
      <c r="G388" s="857"/>
      <c r="H388" s="857"/>
      <c r="I388" s="857"/>
      <c r="J388" s="857"/>
      <c r="K388" s="857"/>
      <c r="L388" s="857"/>
      <c r="M388" s="857"/>
      <c r="N388" s="857"/>
      <c r="O388" s="857"/>
      <c r="P388" s="857"/>
      <c r="Q388" s="857"/>
      <c r="R388" s="857"/>
      <c r="S388" s="857"/>
      <c r="T388" s="857"/>
      <c r="U388" s="857"/>
      <c r="V388" s="857"/>
      <c r="W388" s="857"/>
      <c r="X388" s="857"/>
      <c r="Y388" s="857"/>
      <c r="Z388" s="857"/>
      <c r="AA388" s="857"/>
      <c r="AB388" s="857"/>
      <c r="AC388" s="857"/>
      <c r="AD388" s="857"/>
      <c r="AE388" s="857"/>
      <c r="AF388" s="857"/>
      <c r="AG388" s="857"/>
      <c r="AH388" s="857"/>
      <c r="AI388" s="857"/>
      <c r="AJ388" s="857"/>
      <c r="AK388" s="857"/>
      <c r="AL388" s="857"/>
      <c r="AM388" s="857"/>
      <c r="AN388" s="857"/>
      <c r="AO388" s="857"/>
      <c r="AP388" s="857"/>
      <c r="AQ388" s="857"/>
      <c r="AR388" s="857"/>
      <c r="AS388" s="857"/>
      <c r="AT388" s="855"/>
      <c r="AV388" s="857"/>
      <c r="AW388" s="857"/>
      <c r="AX388" s="857"/>
      <c r="AY388" s="857"/>
      <c r="AZ388" s="857"/>
      <c r="BA388" s="857"/>
      <c r="BB388" s="857"/>
      <c r="BC388" s="857"/>
      <c r="BD388" s="857"/>
      <c r="BE388" s="857"/>
      <c r="BF388" s="857"/>
      <c r="BG388" s="857"/>
    </row>
    <row r="389" spans="1:59" ht="15.75" customHeight="1">
      <c r="A389" s="857"/>
      <c r="B389" s="857"/>
      <c r="C389" s="857"/>
      <c r="D389" s="857"/>
      <c r="E389" s="857"/>
      <c r="F389" s="857"/>
      <c r="G389" s="857"/>
      <c r="H389" s="857"/>
      <c r="I389" s="857"/>
      <c r="J389" s="857"/>
      <c r="K389" s="857"/>
      <c r="L389" s="857"/>
      <c r="M389" s="857"/>
      <c r="N389" s="857"/>
      <c r="O389" s="857"/>
      <c r="P389" s="857"/>
      <c r="Q389" s="857"/>
      <c r="R389" s="857"/>
      <c r="S389" s="857"/>
      <c r="T389" s="857"/>
      <c r="U389" s="857"/>
      <c r="V389" s="857"/>
      <c r="W389" s="857"/>
      <c r="X389" s="857"/>
      <c r="Y389" s="857"/>
      <c r="Z389" s="857"/>
      <c r="AA389" s="857"/>
      <c r="AB389" s="857"/>
      <c r="AC389" s="857"/>
      <c r="AD389" s="857"/>
      <c r="AE389" s="857"/>
      <c r="AF389" s="857"/>
      <c r="AG389" s="857"/>
      <c r="AH389" s="857"/>
      <c r="AI389" s="857"/>
      <c r="AJ389" s="857"/>
      <c r="AK389" s="857"/>
      <c r="AL389" s="857"/>
      <c r="AM389" s="857"/>
      <c r="AN389" s="857"/>
      <c r="AO389" s="857"/>
      <c r="AP389" s="857"/>
      <c r="AQ389" s="857"/>
      <c r="AR389" s="857"/>
      <c r="AS389" s="857"/>
      <c r="AT389" s="855"/>
      <c r="AV389" s="857"/>
      <c r="AW389" s="857"/>
      <c r="AX389" s="857"/>
      <c r="AY389" s="857"/>
      <c r="AZ389" s="857"/>
      <c r="BA389" s="857"/>
      <c r="BB389" s="857"/>
      <c r="BC389" s="857"/>
      <c r="BD389" s="857"/>
      <c r="BE389" s="857"/>
      <c r="BF389" s="857"/>
      <c r="BG389" s="857"/>
    </row>
    <row r="390" spans="1:59" ht="15.75" customHeight="1">
      <c r="A390" s="857"/>
      <c r="B390" s="857"/>
      <c r="C390" s="857"/>
      <c r="D390" s="857"/>
      <c r="E390" s="857"/>
      <c r="F390" s="857"/>
      <c r="G390" s="857"/>
      <c r="H390" s="857"/>
      <c r="I390" s="857"/>
      <c r="J390" s="857"/>
      <c r="K390" s="857"/>
      <c r="L390" s="857"/>
      <c r="M390" s="857"/>
      <c r="N390" s="857"/>
      <c r="O390" s="857"/>
      <c r="P390" s="857"/>
      <c r="Q390" s="857"/>
      <c r="R390" s="857"/>
      <c r="S390" s="857"/>
      <c r="T390" s="857"/>
      <c r="U390" s="857"/>
      <c r="V390" s="857"/>
      <c r="W390" s="857"/>
      <c r="X390" s="857"/>
      <c r="Y390" s="857"/>
      <c r="Z390" s="857"/>
      <c r="AA390" s="857"/>
      <c r="AB390" s="857"/>
      <c r="AC390" s="857"/>
      <c r="AD390" s="857"/>
      <c r="AE390" s="857"/>
      <c r="AF390" s="857"/>
      <c r="AG390" s="857"/>
      <c r="AH390" s="857"/>
      <c r="AI390" s="857"/>
      <c r="AJ390" s="857"/>
      <c r="AK390" s="857"/>
      <c r="AL390" s="857"/>
      <c r="AM390" s="857"/>
      <c r="AN390" s="857"/>
      <c r="AO390" s="857"/>
      <c r="AP390" s="857"/>
      <c r="AQ390" s="857"/>
      <c r="AR390" s="857"/>
      <c r="AS390" s="857"/>
      <c r="AT390" s="855"/>
      <c r="AV390" s="857"/>
      <c r="AW390" s="857"/>
      <c r="AX390" s="857"/>
      <c r="AY390" s="857"/>
      <c r="AZ390" s="857"/>
      <c r="BA390" s="857"/>
      <c r="BB390" s="857"/>
      <c r="BC390" s="857"/>
      <c r="BD390" s="857"/>
      <c r="BE390" s="857"/>
      <c r="BF390" s="857"/>
      <c r="BG390" s="857"/>
    </row>
    <row r="391" spans="1:59" ht="15.75" customHeight="1">
      <c r="A391" s="857"/>
      <c r="B391" s="857"/>
      <c r="C391" s="857"/>
      <c r="D391" s="857"/>
      <c r="E391" s="857"/>
      <c r="F391" s="857"/>
      <c r="G391" s="857"/>
      <c r="H391" s="857"/>
      <c r="I391" s="857"/>
      <c r="J391" s="857"/>
      <c r="K391" s="857"/>
      <c r="L391" s="857"/>
      <c r="M391" s="857"/>
      <c r="N391" s="857"/>
      <c r="O391" s="857"/>
      <c r="P391" s="857"/>
      <c r="Q391" s="857"/>
      <c r="R391" s="857"/>
      <c r="S391" s="857"/>
      <c r="T391" s="857"/>
      <c r="U391" s="857"/>
      <c r="V391" s="857"/>
      <c r="W391" s="857"/>
      <c r="X391" s="857"/>
      <c r="Y391" s="857"/>
      <c r="Z391" s="857"/>
      <c r="AA391" s="857"/>
      <c r="AB391" s="857"/>
      <c r="AC391" s="857"/>
      <c r="AD391" s="857"/>
      <c r="AE391" s="857"/>
      <c r="AF391" s="857"/>
      <c r="AG391" s="857"/>
      <c r="AH391" s="857"/>
      <c r="AI391" s="857"/>
      <c r="AJ391" s="857"/>
      <c r="AK391" s="857"/>
      <c r="AL391" s="857"/>
      <c r="AM391" s="857"/>
      <c r="AN391" s="857"/>
      <c r="AO391" s="857"/>
      <c r="AP391" s="857"/>
      <c r="AQ391" s="857"/>
      <c r="AR391" s="857"/>
      <c r="AS391" s="857"/>
      <c r="AT391" s="855"/>
      <c r="AV391" s="857"/>
      <c r="AW391" s="857"/>
      <c r="AX391" s="857"/>
      <c r="AY391" s="857"/>
      <c r="AZ391" s="857"/>
      <c r="BA391" s="857"/>
      <c r="BB391" s="857"/>
      <c r="BC391" s="857"/>
      <c r="BD391" s="857"/>
      <c r="BE391" s="857"/>
      <c r="BF391" s="857"/>
      <c r="BG391" s="857"/>
    </row>
    <row r="392" spans="1:59" ht="15.75" customHeight="1">
      <c r="A392" s="857"/>
      <c r="B392" s="857"/>
      <c r="C392" s="857"/>
      <c r="D392" s="857"/>
      <c r="E392" s="857"/>
      <c r="F392" s="857"/>
      <c r="G392" s="857"/>
      <c r="H392" s="857"/>
      <c r="I392" s="857"/>
      <c r="J392" s="857"/>
      <c r="K392" s="857"/>
      <c r="L392" s="857"/>
      <c r="M392" s="857"/>
      <c r="N392" s="857"/>
      <c r="O392" s="857"/>
      <c r="P392" s="857"/>
      <c r="Q392" s="857"/>
      <c r="R392" s="857"/>
      <c r="S392" s="857"/>
      <c r="T392" s="857"/>
      <c r="U392" s="857"/>
      <c r="V392" s="857"/>
      <c r="W392" s="857"/>
      <c r="X392" s="857"/>
      <c r="Y392" s="857"/>
      <c r="Z392" s="857"/>
      <c r="AA392" s="857"/>
      <c r="AB392" s="857"/>
      <c r="AC392" s="857"/>
      <c r="AD392" s="857"/>
      <c r="AE392" s="857"/>
      <c r="AF392" s="857"/>
      <c r="AG392" s="857"/>
      <c r="AH392" s="857"/>
      <c r="AI392" s="857"/>
      <c r="AJ392" s="857"/>
      <c r="AK392" s="857"/>
      <c r="AL392" s="857"/>
      <c r="AM392" s="857"/>
      <c r="AN392" s="857"/>
      <c r="AO392" s="857"/>
      <c r="AP392" s="857"/>
      <c r="AQ392" s="857"/>
      <c r="AR392" s="857"/>
      <c r="AS392" s="857"/>
      <c r="AT392" s="855"/>
      <c r="AV392" s="857"/>
      <c r="AW392" s="857"/>
      <c r="AX392" s="857"/>
      <c r="AY392" s="857"/>
      <c r="AZ392" s="857"/>
      <c r="BA392" s="857"/>
      <c r="BB392" s="857"/>
      <c r="BC392" s="857"/>
      <c r="BD392" s="857"/>
      <c r="BE392" s="857"/>
      <c r="BF392" s="857"/>
      <c r="BG392" s="857"/>
    </row>
    <row r="393" spans="1:59" ht="15.75" customHeight="1">
      <c r="A393" s="857"/>
      <c r="B393" s="857"/>
      <c r="C393" s="857"/>
      <c r="D393" s="857"/>
      <c r="E393" s="857"/>
      <c r="F393" s="857"/>
      <c r="G393" s="857"/>
      <c r="H393" s="857"/>
      <c r="I393" s="857"/>
      <c r="J393" s="857"/>
      <c r="K393" s="857"/>
      <c r="L393" s="857"/>
      <c r="M393" s="857"/>
      <c r="N393" s="857"/>
      <c r="O393" s="857"/>
      <c r="P393" s="857"/>
      <c r="Q393" s="857"/>
      <c r="R393" s="857"/>
      <c r="S393" s="857"/>
      <c r="T393" s="857"/>
      <c r="U393" s="857"/>
      <c r="V393" s="857"/>
      <c r="W393" s="857"/>
      <c r="X393" s="857"/>
      <c r="Y393" s="857"/>
      <c r="Z393" s="857"/>
      <c r="AA393" s="857"/>
      <c r="AB393" s="857"/>
      <c r="AC393" s="857"/>
      <c r="AD393" s="857"/>
      <c r="AE393" s="857"/>
      <c r="AF393" s="857"/>
      <c r="AG393" s="857"/>
      <c r="AH393" s="857"/>
      <c r="AI393" s="857"/>
      <c r="AJ393" s="857"/>
      <c r="AK393" s="857"/>
      <c r="AL393" s="857"/>
      <c r="AM393" s="857"/>
      <c r="AN393" s="857"/>
      <c r="AO393" s="857"/>
      <c r="AP393" s="857"/>
      <c r="AQ393" s="857"/>
      <c r="AR393" s="857"/>
      <c r="AS393" s="857"/>
      <c r="AT393" s="855"/>
      <c r="AV393" s="857"/>
      <c r="AW393" s="857"/>
      <c r="AX393" s="857"/>
      <c r="AY393" s="857"/>
      <c r="AZ393" s="857"/>
      <c r="BA393" s="857"/>
      <c r="BB393" s="857"/>
      <c r="BC393" s="857"/>
      <c r="BD393" s="857"/>
      <c r="BE393" s="857"/>
      <c r="BF393" s="857"/>
      <c r="BG393" s="857"/>
    </row>
    <row r="394" spans="1:59" ht="15.75" customHeight="1">
      <c r="A394" s="857"/>
      <c r="B394" s="857"/>
      <c r="C394" s="857"/>
      <c r="D394" s="857"/>
      <c r="E394" s="857"/>
      <c r="F394" s="857"/>
      <c r="G394" s="857"/>
      <c r="H394" s="857"/>
      <c r="I394" s="857"/>
      <c r="J394" s="857"/>
      <c r="K394" s="857"/>
      <c r="L394" s="857"/>
      <c r="M394" s="857"/>
      <c r="N394" s="857"/>
      <c r="O394" s="857"/>
      <c r="P394" s="857"/>
      <c r="Q394" s="857"/>
      <c r="R394" s="857"/>
      <c r="S394" s="857"/>
      <c r="T394" s="857"/>
      <c r="U394" s="857"/>
      <c r="V394" s="857"/>
      <c r="W394" s="857"/>
      <c r="X394" s="857"/>
      <c r="Y394" s="857"/>
      <c r="Z394" s="857"/>
      <c r="AA394" s="857"/>
      <c r="AB394" s="857"/>
      <c r="AC394" s="857"/>
      <c r="AD394" s="857"/>
      <c r="AE394" s="857"/>
      <c r="AF394" s="857"/>
      <c r="AG394" s="857"/>
      <c r="AH394" s="857"/>
      <c r="AI394" s="857"/>
      <c r="AJ394" s="857"/>
      <c r="AK394" s="857"/>
      <c r="AL394" s="857"/>
      <c r="AM394" s="857"/>
      <c r="AN394" s="857"/>
      <c r="AO394" s="857"/>
      <c r="AP394" s="857"/>
      <c r="AQ394" s="857"/>
      <c r="AR394" s="857"/>
      <c r="AS394" s="857"/>
      <c r="AT394" s="855"/>
      <c r="AV394" s="857"/>
      <c r="AW394" s="857"/>
      <c r="AX394" s="857"/>
      <c r="AY394" s="857"/>
      <c r="AZ394" s="857"/>
      <c r="BA394" s="857"/>
      <c r="BB394" s="857"/>
      <c r="BC394" s="857"/>
      <c r="BD394" s="857"/>
      <c r="BE394" s="857"/>
      <c r="BF394" s="857"/>
      <c r="BG394" s="857"/>
    </row>
    <row r="395" spans="1:59" ht="15.75" customHeight="1">
      <c r="A395" s="857"/>
      <c r="B395" s="857"/>
      <c r="C395" s="857"/>
      <c r="D395" s="857"/>
      <c r="E395" s="857"/>
      <c r="F395" s="857"/>
      <c r="G395" s="857"/>
      <c r="H395" s="857"/>
      <c r="I395" s="857"/>
      <c r="J395" s="857"/>
      <c r="K395" s="857"/>
      <c r="L395" s="857"/>
      <c r="M395" s="857"/>
      <c r="N395" s="857"/>
      <c r="O395" s="857"/>
      <c r="P395" s="857"/>
      <c r="Q395" s="857"/>
      <c r="R395" s="857"/>
      <c r="S395" s="857"/>
      <c r="T395" s="857"/>
      <c r="U395" s="857"/>
      <c r="V395" s="857"/>
      <c r="W395" s="857"/>
      <c r="X395" s="857"/>
      <c r="Y395" s="857"/>
      <c r="Z395" s="857"/>
      <c r="AA395" s="857"/>
      <c r="AB395" s="857"/>
      <c r="AC395" s="857"/>
      <c r="AD395" s="857"/>
      <c r="AE395" s="857"/>
      <c r="AF395" s="857"/>
      <c r="AG395" s="857"/>
      <c r="AH395" s="857"/>
      <c r="AI395" s="857"/>
      <c r="AJ395" s="857"/>
      <c r="AK395" s="857"/>
      <c r="AL395" s="857"/>
      <c r="AM395" s="857"/>
      <c r="AN395" s="857"/>
      <c r="AO395" s="857"/>
      <c r="AP395" s="857"/>
      <c r="AQ395" s="857"/>
      <c r="AR395" s="857"/>
      <c r="AS395" s="857"/>
      <c r="AT395" s="855"/>
      <c r="AV395" s="857"/>
      <c r="AW395" s="857"/>
      <c r="AX395" s="857"/>
      <c r="AY395" s="857"/>
      <c r="AZ395" s="857"/>
      <c r="BA395" s="857"/>
      <c r="BB395" s="857"/>
      <c r="BC395" s="857"/>
      <c r="BD395" s="857"/>
      <c r="BE395" s="857"/>
      <c r="BF395" s="857"/>
      <c r="BG395" s="857"/>
    </row>
    <row r="396" spans="1:59" ht="15.75" customHeight="1">
      <c r="A396" s="857"/>
      <c r="B396" s="857"/>
      <c r="C396" s="857"/>
      <c r="D396" s="857"/>
      <c r="E396" s="857"/>
      <c r="F396" s="857"/>
      <c r="G396" s="857"/>
      <c r="H396" s="857"/>
      <c r="I396" s="857"/>
      <c r="J396" s="857"/>
      <c r="K396" s="857"/>
      <c r="L396" s="857"/>
      <c r="M396" s="857"/>
      <c r="N396" s="857"/>
      <c r="O396" s="857"/>
      <c r="P396" s="857"/>
      <c r="Q396" s="857"/>
      <c r="R396" s="857"/>
      <c r="S396" s="857"/>
      <c r="T396" s="857"/>
      <c r="U396" s="857"/>
      <c r="V396" s="857"/>
      <c r="W396" s="857"/>
      <c r="X396" s="857"/>
      <c r="Y396" s="857"/>
      <c r="Z396" s="857"/>
      <c r="AA396" s="857"/>
      <c r="AB396" s="857"/>
      <c r="AC396" s="857"/>
      <c r="AD396" s="857"/>
      <c r="AE396" s="857"/>
      <c r="AF396" s="857"/>
      <c r="AG396" s="857"/>
      <c r="AH396" s="857"/>
      <c r="AI396" s="857"/>
      <c r="AJ396" s="857"/>
      <c r="AK396" s="857"/>
      <c r="AL396" s="857"/>
      <c r="AM396" s="857"/>
      <c r="AN396" s="857"/>
      <c r="AO396" s="857"/>
      <c r="AP396" s="857"/>
      <c r="AQ396" s="857"/>
      <c r="AR396" s="857"/>
      <c r="AS396" s="857"/>
      <c r="AT396" s="855"/>
      <c r="AV396" s="857"/>
      <c r="AW396" s="857"/>
      <c r="AX396" s="857"/>
      <c r="AY396" s="857"/>
      <c r="AZ396" s="857"/>
      <c r="BA396" s="857"/>
      <c r="BB396" s="857"/>
      <c r="BC396" s="857"/>
      <c r="BD396" s="857"/>
      <c r="BE396" s="857"/>
      <c r="BF396" s="857"/>
      <c r="BG396" s="857"/>
    </row>
    <row r="397" spans="1:59" ht="15.75" customHeight="1">
      <c r="A397" s="857"/>
      <c r="B397" s="857"/>
      <c r="C397" s="857"/>
      <c r="D397" s="857"/>
      <c r="E397" s="857"/>
      <c r="F397" s="857"/>
      <c r="G397" s="857"/>
      <c r="H397" s="857"/>
      <c r="I397" s="857"/>
      <c r="J397" s="857"/>
      <c r="K397" s="857"/>
      <c r="L397" s="857"/>
      <c r="M397" s="857"/>
      <c r="N397" s="857"/>
      <c r="O397" s="857"/>
      <c r="P397" s="857"/>
      <c r="Q397" s="857"/>
      <c r="R397" s="857"/>
      <c r="S397" s="857"/>
      <c r="T397" s="857"/>
      <c r="U397" s="857"/>
      <c r="V397" s="857"/>
      <c r="W397" s="857"/>
      <c r="X397" s="857"/>
      <c r="Y397" s="857"/>
      <c r="Z397" s="857"/>
      <c r="AA397" s="857"/>
      <c r="AB397" s="857"/>
      <c r="AC397" s="857"/>
      <c r="AD397" s="857"/>
      <c r="AE397" s="857"/>
      <c r="AF397" s="857"/>
      <c r="AG397" s="857"/>
      <c r="AH397" s="857"/>
      <c r="AI397" s="857"/>
      <c r="AJ397" s="857"/>
      <c r="AK397" s="857"/>
      <c r="AL397" s="857"/>
      <c r="AM397" s="857"/>
      <c r="AN397" s="857"/>
      <c r="AO397" s="857"/>
      <c r="AP397" s="857"/>
      <c r="AQ397" s="857"/>
      <c r="AR397" s="857"/>
      <c r="AS397" s="857"/>
      <c r="AT397" s="855"/>
      <c r="AV397" s="857"/>
      <c r="AW397" s="857"/>
      <c r="AX397" s="857"/>
      <c r="AY397" s="857"/>
      <c r="AZ397" s="857"/>
      <c r="BA397" s="857"/>
      <c r="BB397" s="857"/>
      <c r="BC397" s="857"/>
      <c r="BD397" s="857"/>
      <c r="BE397" s="857"/>
      <c r="BF397" s="857"/>
      <c r="BG397" s="857"/>
    </row>
    <row r="398" spans="1:59" ht="15.75" customHeight="1">
      <c r="A398" s="857"/>
      <c r="B398" s="857"/>
      <c r="C398" s="857"/>
      <c r="D398" s="857"/>
      <c r="E398" s="857"/>
      <c r="F398" s="857"/>
      <c r="G398" s="857"/>
      <c r="H398" s="857"/>
      <c r="I398" s="857"/>
      <c r="J398" s="857"/>
      <c r="K398" s="857"/>
      <c r="L398" s="857"/>
      <c r="M398" s="857"/>
      <c r="N398" s="857"/>
      <c r="O398" s="857"/>
      <c r="P398" s="857"/>
      <c r="Q398" s="857"/>
      <c r="R398" s="857"/>
      <c r="S398" s="857"/>
      <c r="T398" s="857"/>
      <c r="U398" s="857"/>
      <c r="V398" s="857"/>
      <c r="W398" s="857"/>
      <c r="X398" s="857"/>
      <c r="Y398" s="857"/>
      <c r="Z398" s="857"/>
      <c r="AA398" s="857"/>
      <c r="AB398" s="857"/>
      <c r="AC398" s="857"/>
      <c r="AD398" s="857"/>
      <c r="AE398" s="857"/>
      <c r="AF398" s="857"/>
      <c r="AG398" s="857"/>
      <c r="AH398" s="857"/>
      <c r="AI398" s="857"/>
      <c r="AJ398" s="857"/>
      <c r="AK398" s="857"/>
      <c r="AL398" s="857"/>
      <c r="AM398" s="857"/>
      <c r="AN398" s="857"/>
      <c r="AO398" s="857"/>
      <c r="AP398" s="857"/>
      <c r="AQ398" s="857"/>
      <c r="AR398" s="857"/>
      <c r="AS398" s="857"/>
      <c r="AT398" s="855"/>
      <c r="AV398" s="857"/>
      <c r="AW398" s="857"/>
      <c r="AX398" s="857"/>
      <c r="AY398" s="857"/>
      <c r="AZ398" s="857"/>
      <c r="BA398" s="857"/>
      <c r="BB398" s="857"/>
      <c r="BC398" s="857"/>
      <c r="BD398" s="857"/>
      <c r="BE398" s="857"/>
      <c r="BF398" s="857"/>
      <c r="BG398" s="857"/>
    </row>
    <row r="399" spans="1:59" ht="15.75" customHeight="1">
      <c r="A399" s="857"/>
      <c r="B399" s="857"/>
      <c r="C399" s="857"/>
      <c r="D399" s="857"/>
      <c r="E399" s="857"/>
      <c r="F399" s="857"/>
      <c r="G399" s="857"/>
      <c r="H399" s="857"/>
      <c r="I399" s="857"/>
      <c r="J399" s="857"/>
      <c r="K399" s="857"/>
      <c r="L399" s="857"/>
      <c r="M399" s="857"/>
      <c r="N399" s="857"/>
      <c r="O399" s="857"/>
      <c r="P399" s="857"/>
      <c r="Q399" s="857"/>
      <c r="R399" s="857"/>
      <c r="S399" s="857"/>
      <c r="T399" s="857"/>
      <c r="U399" s="857"/>
      <c r="V399" s="857"/>
      <c r="W399" s="857"/>
      <c r="X399" s="857"/>
      <c r="Y399" s="857"/>
      <c r="Z399" s="857"/>
      <c r="AA399" s="857"/>
      <c r="AB399" s="857"/>
      <c r="AC399" s="857"/>
      <c r="AD399" s="857"/>
      <c r="AE399" s="857"/>
      <c r="AF399" s="857"/>
      <c r="AG399" s="857"/>
      <c r="AH399" s="857"/>
      <c r="AI399" s="857"/>
      <c r="AJ399" s="857"/>
      <c r="AK399" s="857"/>
      <c r="AL399" s="857"/>
      <c r="AM399" s="857"/>
      <c r="AN399" s="857"/>
      <c r="AO399" s="857"/>
      <c r="AP399" s="857"/>
      <c r="AQ399" s="857"/>
      <c r="AR399" s="857"/>
      <c r="AS399" s="857"/>
      <c r="AT399" s="855"/>
      <c r="AV399" s="857"/>
      <c r="AW399" s="857"/>
      <c r="AX399" s="857"/>
      <c r="AY399" s="857"/>
      <c r="AZ399" s="857"/>
      <c r="BA399" s="857"/>
      <c r="BB399" s="857"/>
      <c r="BC399" s="857"/>
      <c r="BD399" s="857"/>
      <c r="BE399" s="857"/>
      <c r="BF399" s="857"/>
      <c r="BG399" s="857"/>
    </row>
    <row r="400" spans="1:59" ht="15.75" customHeight="1">
      <c r="A400" s="857"/>
      <c r="B400" s="857"/>
      <c r="C400" s="857"/>
      <c r="D400" s="857"/>
      <c r="E400" s="857"/>
      <c r="F400" s="857"/>
      <c r="G400" s="857"/>
      <c r="H400" s="857"/>
      <c r="I400" s="857"/>
      <c r="J400" s="857"/>
      <c r="K400" s="857"/>
      <c r="L400" s="857"/>
      <c r="M400" s="857"/>
      <c r="N400" s="857"/>
      <c r="O400" s="857"/>
      <c r="P400" s="857"/>
      <c r="Q400" s="857"/>
      <c r="R400" s="857"/>
      <c r="S400" s="857"/>
      <c r="T400" s="857"/>
      <c r="U400" s="857"/>
      <c r="V400" s="857"/>
      <c r="W400" s="857"/>
      <c r="X400" s="857"/>
      <c r="Y400" s="857"/>
      <c r="Z400" s="857"/>
      <c r="AA400" s="857"/>
      <c r="AB400" s="857"/>
      <c r="AC400" s="857"/>
      <c r="AD400" s="857"/>
      <c r="AE400" s="857"/>
      <c r="AF400" s="857"/>
      <c r="AG400" s="857"/>
      <c r="AH400" s="857"/>
      <c r="AI400" s="857"/>
      <c r="AJ400" s="857"/>
      <c r="AK400" s="857"/>
      <c r="AL400" s="857"/>
      <c r="AM400" s="857"/>
      <c r="AN400" s="857"/>
      <c r="AO400" s="857"/>
      <c r="AP400" s="857"/>
      <c r="AQ400" s="857"/>
      <c r="AR400" s="857"/>
      <c r="AS400" s="857"/>
      <c r="AT400" s="855"/>
      <c r="AV400" s="857"/>
      <c r="AW400" s="857"/>
      <c r="AX400" s="857"/>
      <c r="AY400" s="857"/>
      <c r="AZ400" s="857"/>
      <c r="BA400" s="857"/>
      <c r="BB400" s="857"/>
      <c r="BC400" s="857"/>
      <c r="BD400" s="857"/>
      <c r="BE400" s="857"/>
      <c r="BF400" s="857"/>
      <c r="BG400" s="857"/>
    </row>
    <row r="401" spans="1:59" ht="15.75" customHeight="1">
      <c r="A401" s="857"/>
      <c r="B401" s="857"/>
      <c r="C401" s="857"/>
      <c r="D401" s="857"/>
      <c r="E401" s="857"/>
      <c r="F401" s="857"/>
      <c r="G401" s="857"/>
      <c r="H401" s="857"/>
      <c r="I401" s="857"/>
      <c r="J401" s="857"/>
      <c r="K401" s="857"/>
      <c r="L401" s="857"/>
      <c r="M401" s="857"/>
      <c r="N401" s="857"/>
      <c r="O401" s="857"/>
      <c r="P401" s="857"/>
      <c r="Q401" s="857"/>
      <c r="R401" s="857"/>
      <c r="S401" s="857"/>
      <c r="T401" s="857"/>
      <c r="U401" s="857"/>
      <c r="V401" s="857"/>
      <c r="W401" s="857"/>
      <c r="X401" s="857"/>
      <c r="Y401" s="857"/>
      <c r="Z401" s="857"/>
      <c r="AA401" s="857"/>
      <c r="AB401" s="857"/>
      <c r="AC401" s="857"/>
      <c r="AD401" s="857"/>
      <c r="AE401" s="857"/>
      <c r="AF401" s="857"/>
      <c r="AG401" s="857"/>
      <c r="AH401" s="857"/>
      <c r="AI401" s="857"/>
      <c r="AJ401" s="857"/>
      <c r="AK401" s="857"/>
      <c r="AL401" s="857"/>
      <c r="AM401" s="857"/>
      <c r="AN401" s="857"/>
      <c r="AO401" s="857"/>
      <c r="AP401" s="857"/>
      <c r="AQ401" s="857"/>
      <c r="AR401" s="857"/>
      <c r="AS401" s="857"/>
      <c r="AT401" s="855"/>
      <c r="AV401" s="857"/>
      <c r="AW401" s="857"/>
      <c r="AX401" s="857"/>
      <c r="AY401" s="857"/>
      <c r="AZ401" s="857"/>
      <c r="BA401" s="857"/>
      <c r="BB401" s="857"/>
      <c r="BC401" s="857"/>
      <c r="BD401" s="857"/>
      <c r="BE401" s="857"/>
      <c r="BF401" s="857"/>
      <c r="BG401" s="857"/>
    </row>
    <row r="402" spans="1:59" ht="15.75" customHeight="1">
      <c r="A402" s="857"/>
      <c r="B402" s="857"/>
      <c r="C402" s="857"/>
      <c r="D402" s="857"/>
      <c r="E402" s="857"/>
      <c r="F402" s="857"/>
      <c r="G402" s="857"/>
      <c r="H402" s="857"/>
      <c r="I402" s="857"/>
      <c r="J402" s="857"/>
      <c r="K402" s="857"/>
      <c r="L402" s="857"/>
      <c r="M402" s="857"/>
      <c r="N402" s="857"/>
      <c r="O402" s="857"/>
      <c r="P402" s="857"/>
      <c r="Q402" s="857"/>
      <c r="R402" s="857"/>
      <c r="S402" s="857"/>
      <c r="T402" s="857"/>
      <c r="U402" s="857"/>
      <c r="V402" s="857"/>
      <c r="W402" s="857"/>
      <c r="X402" s="857"/>
      <c r="Y402" s="857"/>
      <c r="Z402" s="857"/>
      <c r="AA402" s="857"/>
      <c r="AB402" s="857"/>
      <c r="AC402" s="857"/>
      <c r="AD402" s="857"/>
      <c r="AE402" s="857"/>
      <c r="AF402" s="857"/>
      <c r="AG402" s="857"/>
      <c r="AH402" s="857"/>
      <c r="AI402" s="857"/>
      <c r="AJ402" s="857"/>
      <c r="AK402" s="857"/>
      <c r="AL402" s="857"/>
      <c r="AM402" s="857"/>
      <c r="AN402" s="857"/>
      <c r="AO402" s="857"/>
      <c r="AP402" s="857"/>
      <c r="AQ402" s="857"/>
      <c r="AR402" s="857"/>
      <c r="AS402" s="857"/>
      <c r="AT402" s="855"/>
      <c r="AV402" s="857"/>
      <c r="AW402" s="857"/>
      <c r="AX402" s="857"/>
      <c r="AY402" s="857"/>
      <c r="AZ402" s="857"/>
      <c r="BA402" s="857"/>
      <c r="BB402" s="857"/>
      <c r="BC402" s="857"/>
      <c r="BD402" s="857"/>
      <c r="BE402" s="857"/>
      <c r="BF402" s="857"/>
      <c r="BG402" s="857"/>
    </row>
    <row r="403" spans="1:59" ht="15.75" customHeight="1">
      <c r="A403" s="857"/>
      <c r="B403" s="857"/>
      <c r="C403" s="857"/>
      <c r="D403" s="857"/>
      <c r="E403" s="857"/>
      <c r="F403" s="857"/>
      <c r="G403" s="857"/>
      <c r="H403" s="857"/>
      <c r="I403" s="857"/>
      <c r="J403" s="857"/>
      <c r="K403" s="857"/>
      <c r="L403" s="857"/>
      <c r="M403" s="857"/>
      <c r="N403" s="857"/>
      <c r="O403" s="857"/>
      <c r="P403" s="857"/>
      <c r="Q403" s="857"/>
      <c r="R403" s="857"/>
      <c r="S403" s="857"/>
      <c r="T403" s="857"/>
      <c r="U403" s="857"/>
      <c r="V403" s="857"/>
      <c r="W403" s="857"/>
      <c r="X403" s="857"/>
      <c r="Y403" s="857"/>
      <c r="Z403" s="857"/>
      <c r="AA403" s="857"/>
      <c r="AB403" s="857"/>
      <c r="AC403" s="857"/>
      <c r="AD403" s="857"/>
      <c r="AE403" s="857"/>
      <c r="AF403" s="857"/>
      <c r="AG403" s="857"/>
      <c r="AH403" s="857"/>
      <c r="AI403" s="857"/>
      <c r="AJ403" s="857"/>
      <c r="AK403" s="857"/>
      <c r="AL403" s="857"/>
      <c r="AM403" s="857"/>
      <c r="AN403" s="857"/>
      <c r="AO403" s="857"/>
      <c r="AP403" s="857"/>
      <c r="AQ403" s="857"/>
      <c r="AR403" s="857"/>
      <c r="AS403" s="857"/>
      <c r="AT403" s="855"/>
      <c r="AV403" s="857"/>
      <c r="AW403" s="857"/>
      <c r="AX403" s="857"/>
      <c r="AY403" s="857"/>
      <c r="AZ403" s="857"/>
      <c r="BA403" s="857"/>
      <c r="BB403" s="857"/>
      <c r="BC403" s="857"/>
      <c r="BD403" s="857"/>
      <c r="BE403" s="857"/>
      <c r="BF403" s="857"/>
      <c r="BG403" s="857"/>
    </row>
    <row r="404" spans="1:59" ht="15.75" customHeight="1">
      <c r="A404" s="857"/>
      <c r="B404" s="857"/>
      <c r="C404" s="857"/>
      <c r="D404" s="857"/>
      <c r="E404" s="857"/>
      <c r="F404" s="857"/>
      <c r="G404" s="857"/>
      <c r="H404" s="857"/>
      <c r="I404" s="857"/>
      <c r="J404" s="857"/>
      <c r="K404" s="857"/>
      <c r="L404" s="857"/>
      <c r="M404" s="857"/>
      <c r="N404" s="857"/>
      <c r="O404" s="857"/>
      <c r="P404" s="857"/>
      <c r="Q404" s="857"/>
      <c r="R404" s="857"/>
      <c r="S404" s="857"/>
      <c r="T404" s="857"/>
      <c r="U404" s="857"/>
      <c r="V404" s="857"/>
      <c r="W404" s="857"/>
      <c r="X404" s="857"/>
      <c r="Y404" s="857"/>
      <c r="Z404" s="857"/>
      <c r="AA404" s="857"/>
      <c r="AB404" s="857"/>
      <c r="AC404" s="857"/>
      <c r="AD404" s="857"/>
      <c r="AE404" s="857"/>
      <c r="AF404" s="857"/>
      <c r="AG404" s="857"/>
      <c r="AH404" s="857"/>
      <c r="AI404" s="857"/>
      <c r="AJ404" s="857"/>
      <c r="AK404" s="857"/>
      <c r="AL404" s="857"/>
      <c r="AM404" s="857"/>
      <c r="AN404" s="857"/>
      <c r="AO404" s="857"/>
      <c r="AP404" s="857"/>
      <c r="AQ404" s="857"/>
      <c r="AR404" s="857"/>
      <c r="AS404" s="857"/>
      <c r="AT404" s="855"/>
      <c r="AV404" s="857"/>
      <c r="AW404" s="857"/>
      <c r="AX404" s="857"/>
      <c r="AY404" s="857"/>
      <c r="AZ404" s="857"/>
      <c r="BA404" s="857"/>
      <c r="BB404" s="857"/>
      <c r="BC404" s="857"/>
      <c r="BD404" s="857"/>
      <c r="BE404" s="857"/>
      <c r="BF404" s="857"/>
      <c r="BG404" s="857"/>
    </row>
    <row r="405" spans="1:59" ht="15.75" customHeight="1">
      <c r="A405" s="857"/>
      <c r="B405" s="857"/>
      <c r="C405" s="857"/>
      <c r="D405" s="857"/>
      <c r="E405" s="857"/>
      <c r="F405" s="857"/>
      <c r="G405" s="857"/>
      <c r="H405" s="857"/>
      <c r="I405" s="857"/>
      <c r="J405" s="857"/>
      <c r="K405" s="857"/>
      <c r="L405" s="857"/>
      <c r="M405" s="857"/>
      <c r="N405" s="857"/>
      <c r="O405" s="857"/>
      <c r="P405" s="857"/>
      <c r="Q405" s="857"/>
      <c r="R405" s="857"/>
      <c r="S405" s="857"/>
      <c r="T405" s="857"/>
      <c r="U405" s="857"/>
      <c r="V405" s="857"/>
      <c r="W405" s="857"/>
      <c r="X405" s="857"/>
      <c r="Y405" s="857"/>
      <c r="Z405" s="857"/>
      <c r="AA405" s="857"/>
      <c r="AB405" s="857"/>
      <c r="AC405" s="857"/>
      <c r="AD405" s="857"/>
      <c r="AE405" s="857"/>
      <c r="AF405" s="857"/>
      <c r="AG405" s="857"/>
      <c r="AH405" s="857"/>
      <c r="AI405" s="857"/>
      <c r="AJ405" s="857"/>
      <c r="AK405" s="857"/>
      <c r="AL405" s="857"/>
      <c r="AM405" s="857"/>
      <c r="AN405" s="857"/>
      <c r="AO405" s="857"/>
      <c r="AP405" s="857"/>
      <c r="AQ405" s="857"/>
      <c r="AR405" s="857"/>
      <c r="AS405" s="857"/>
      <c r="AT405" s="855"/>
      <c r="AV405" s="857"/>
      <c r="AW405" s="857"/>
      <c r="AX405" s="857"/>
      <c r="AY405" s="857"/>
      <c r="AZ405" s="857"/>
      <c r="BA405" s="857"/>
      <c r="BB405" s="857"/>
      <c r="BC405" s="857"/>
      <c r="BD405" s="857"/>
      <c r="BE405" s="857"/>
      <c r="BF405" s="857"/>
      <c r="BG405" s="857"/>
    </row>
    <row r="406" spans="1:59" ht="15.75" customHeight="1">
      <c r="A406" s="857"/>
      <c r="B406" s="857"/>
      <c r="C406" s="857"/>
      <c r="D406" s="857"/>
      <c r="E406" s="857"/>
      <c r="F406" s="857"/>
      <c r="G406" s="857"/>
      <c r="H406" s="857"/>
      <c r="I406" s="857"/>
      <c r="J406" s="857"/>
      <c r="K406" s="857"/>
      <c r="L406" s="857"/>
      <c r="M406" s="857"/>
      <c r="N406" s="857"/>
      <c r="O406" s="857"/>
      <c r="P406" s="857"/>
      <c r="Q406" s="857"/>
      <c r="R406" s="857"/>
      <c r="S406" s="857"/>
      <c r="T406" s="857"/>
      <c r="U406" s="857"/>
      <c r="V406" s="857"/>
      <c r="W406" s="857"/>
      <c r="X406" s="857"/>
      <c r="Y406" s="857"/>
      <c r="Z406" s="857"/>
      <c r="AA406" s="857"/>
      <c r="AB406" s="857"/>
      <c r="AC406" s="857"/>
      <c r="AD406" s="857"/>
      <c r="AE406" s="857"/>
      <c r="AF406" s="857"/>
      <c r="AG406" s="857"/>
      <c r="AH406" s="857"/>
      <c r="AI406" s="857"/>
      <c r="AJ406" s="857"/>
      <c r="AK406" s="857"/>
      <c r="AL406" s="857"/>
      <c r="AM406" s="857"/>
      <c r="AN406" s="857"/>
      <c r="AO406" s="857"/>
      <c r="AP406" s="857"/>
      <c r="AQ406" s="857"/>
      <c r="AR406" s="857"/>
      <c r="AS406" s="857"/>
      <c r="AT406" s="855"/>
      <c r="AV406" s="857"/>
      <c r="AW406" s="857"/>
      <c r="AX406" s="857"/>
      <c r="AY406" s="857"/>
      <c r="AZ406" s="857"/>
      <c r="BA406" s="857"/>
      <c r="BB406" s="857"/>
      <c r="BC406" s="857"/>
      <c r="BD406" s="857"/>
      <c r="BE406" s="857"/>
      <c r="BF406" s="857"/>
      <c r="BG406" s="857"/>
    </row>
    <row r="407" spans="1:59" ht="15.75" customHeight="1">
      <c r="A407" s="857"/>
      <c r="B407" s="857"/>
      <c r="C407" s="857"/>
      <c r="D407" s="857"/>
      <c r="E407" s="857"/>
      <c r="F407" s="857"/>
      <c r="G407" s="857"/>
      <c r="H407" s="857"/>
      <c r="I407" s="857"/>
      <c r="J407" s="857"/>
      <c r="K407" s="857"/>
      <c r="L407" s="857"/>
      <c r="M407" s="857"/>
      <c r="N407" s="857"/>
      <c r="O407" s="857"/>
      <c r="P407" s="857"/>
      <c r="Q407" s="857"/>
      <c r="R407" s="857"/>
      <c r="S407" s="857"/>
      <c r="T407" s="857"/>
      <c r="U407" s="857"/>
      <c r="V407" s="857"/>
      <c r="W407" s="857"/>
      <c r="X407" s="857"/>
      <c r="Y407" s="857"/>
      <c r="Z407" s="857"/>
      <c r="AA407" s="857"/>
      <c r="AB407" s="857"/>
      <c r="AC407" s="857"/>
      <c r="AD407" s="857"/>
      <c r="AE407" s="857"/>
      <c r="AF407" s="857"/>
      <c r="AG407" s="857"/>
      <c r="AH407" s="857"/>
      <c r="AI407" s="857"/>
      <c r="AJ407" s="857"/>
      <c r="AK407" s="857"/>
      <c r="AL407" s="857"/>
      <c r="AM407" s="857"/>
      <c r="AN407" s="857"/>
      <c r="AO407" s="857"/>
      <c r="AP407" s="857"/>
      <c r="AQ407" s="857"/>
      <c r="AR407" s="857"/>
      <c r="AS407" s="857"/>
      <c r="AT407" s="855"/>
      <c r="AV407" s="857"/>
      <c r="AW407" s="857"/>
      <c r="AX407" s="857"/>
      <c r="AY407" s="857"/>
      <c r="AZ407" s="857"/>
      <c r="BA407" s="857"/>
      <c r="BB407" s="857"/>
      <c r="BC407" s="857"/>
      <c r="BD407" s="857"/>
      <c r="BE407" s="857"/>
      <c r="BF407" s="857"/>
      <c r="BG407" s="857"/>
    </row>
    <row r="408" spans="1:59" ht="15.75" customHeight="1">
      <c r="A408" s="857"/>
      <c r="B408" s="857"/>
      <c r="C408" s="857"/>
      <c r="D408" s="857"/>
      <c r="E408" s="857"/>
      <c r="F408" s="857"/>
      <c r="G408" s="857"/>
      <c r="H408" s="857"/>
      <c r="I408" s="857"/>
      <c r="J408" s="857"/>
      <c r="K408" s="857"/>
      <c r="L408" s="857"/>
      <c r="M408" s="857"/>
      <c r="N408" s="857"/>
      <c r="O408" s="857"/>
      <c r="P408" s="857"/>
      <c r="Q408" s="857"/>
      <c r="R408" s="857"/>
      <c r="S408" s="857"/>
      <c r="T408" s="857"/>
      <c r="U408" s="857"/>
      <c r="V408" s="857"/>
      <c r="W408" s="857"/>
      <c r="X408" s="857"/>
      <c r="Y408" s="857"/>
      <c r="Z408" s="857"/>
      <c r="AA408" s="857"/>
      <c r="AB408" s="857"/>
      <c r="AC408" s="857"/>
      <c r="AD408" s="857"/>
      <c r="AE408" s="857"/>
      <c r="AF408" s="857"/>
      <c r="AG408" s="857"/>
      <c r="AH408" s="857"/>
      <c r="AI408" s="857"/>
      <c r="AJ408" s="857"/>
      <c r="AK408" s="857"/>
      <c r="AL408" s="857"/>
      <c r="AM408" s="857"/>
      <c r="AN408" s="857"/>
      <c r="AO408" s="857"/>
      <c r="AP408" s="857"/>
      <c r="AQ408" s="857"/>
      <c r="AR408" s="857"/>
      <c r="AS408" s="857"/>
      <c r="AT408" s="855"/>
      <c r="AV408" s="857"/>
      <c r="AW408" s="857"/>
      <c r="AX408" s="857"/>
      <c r="AY408" s="857"/>
      <c r="AZ408" s="857"/>
      <c r="BA408" s="857"/>
      <c r="BB408" s="857"/>
      <c r="BC408" s="857"/>
      <c r="BD408" s="857"/>
      <c r="BE408" s="857"/>
      <c r="BF408" s="857"/>
      <c r="BG408" s="857"/>
    </row>
    <row r="409" spans="1:59" ht="15.75" customHeight="1">
      <c r="A409" s="857"/>
      <c r="B409" s="857"/>
      <c r="C409" s="857"/>
      <c r="D409" s="857"/>
      <c r="E409" s="857"/>
      <c r="F409" s="857"/>
      <c r="G409" s="857"/>
      <c r="H409" s="857"/>
      <c r="I409" s="857"/>
      <c r="J409" s="857"/>
      <c r="K409" s="857"/>
      <c r="L409" s="857"/>
      <c r="M409" s="857"/>
      <c r="N409" s="857"/>
      <c r="O409" s="857"/>
      <c r="P409" s="857"/>
      <c r="Q409" s="857"/>
      <c r="R409" s="857"/>
      <c r="S409" s="857"/>
      <c r="T409" s="857"/>
      <c r="U409" s="857"/>
      <c r="V409" s="857"/>
      <c r="W409" s="857"/>
      <c r="X409" s="857"/>
      <c r="Y409" s="857"/>
      <c r="Z409" s="857"/>
      <c r="AA409" s="857"/>
      <c r="AB409" s="857"/>
      <c r="AC409" s="857"/>
      <c r="AD409" s="857"/>
      <c r="AE409" s="857"/>
      <c r="AF409" s="857"/>
      <c r="AG409" s="857"/>
      <c r="AH409" s="857"/>
      <c r="AI409" s="857"/>
      <c r="AJ409" s="857"/>
      <c r="AK409" s="857"/>
      <c r="AL409" s="857"/>
      <c r="AM409" s="857"/>
      <c r="AN409" s="857"/>
      <c r="AO409" s="857"/>
      <c r="AP409" s="857"/>
      <c r="AQ409" s="857"/>
      <c r="AR409" s="857"/>
      <c r="AS409" s="857"/>
      <c r="AT409" s="855"/>
      <c r="AV409" s="857"/>
      <c r="AW409" s="857"/>
      <c r="AX409" s="857"/>
      <c r="AY409" s="857"/>
      <c r="AZ409" s="857"/>
      <c r="BA409" s="857"/>
      <c r="BB409" s="857"/>
      <c r="BC409" s="857"/>
      <c r="BD409" s="857"/>
      <c r="BE409" s="857"/>
      <c r="BF409" s="857"/>
      <c r="BG409" s="857"/>
    </row>
    <row r="410" spans="1:59" ht="15.75" customHeight="1">
      <c r="A410" s="857"/>
      <c r="B410" s="857"/>
      <c r="C410" s="857"/>
      <c r="D410" s="857"/>
      <c r="E410" s="857"/>
      <c r="F410" s="857"/>
      <c r="G410" s="857"/>
      <c r="H410" s="857"/>
      <c r="I410" s="857"/>
      <c r="J410" s="857"/>
      <c r="K410" s="857"/>
      <c r="L410" s="857"/>
      <c r="M410" s="857"/>
      <c r="N410" s="857"/>
      <c r="O410" s="857"/>
      <c r="P410" s="857"/>
      <c r="Q410" s="857"/>
      <c r="R410" s="857"/>
      <c r="S410" s="857"/>
      <c r="T410" s="857"/>
      <c r="U410" s="857"/>
      <c r="V410" s="857"/>
      <c r="W410" s="857"/>
      <c r="X410" s="857"/>
      <c r="Y410" s="857"/>
      <c r="Z410" s="857"/>
      <c r="AA410" s="857"/>
      <c r="AB410" s="857"/>
      <c r="AC410" s="857"/>
      <c r="AD410" s="857"/>
      <c r="AE410" s="857"/>
      <c r="AF410" s="857"/>
      <c r="AG410" s="857"/>
      <c r="AH410" s="857"/>
      <c r="AI410" s="857"/>
      <c r="AJ410" s="857"/>
      <c r="AK410" s="857"/>
      <c r="AL410" s="857"/>
      <c r="AM410" s="857"/>
      <c r="AN410" s="857"/>
      <c r="AO410" s="857"/>
      <c r="AP410" s="857"/>
      <c r="AQ410" s="857"/>
      <c r="AR410" s="857"/>
      <c r="AS410" s="857"/>
      <c r="AT410" s="855"/>
      <c r="AV410" s="857"/>
      <c r="AW410" s="857"/>
      <c r="AX410" s="857"/>
      <c r="AY410" s="857"/>
      <c r="AZ410" s="857"/>
      <c r="BA410" s="857"/>
      <c r="BB410" s="857"/>
      <c r="BC410" s="857"/>
      <c r="BD410" s="857"/>
      <c r="BE410" s="857"/>
      <c r="BF410" s="857"/>
      <c r="BG410" s="857"/>
    </row>
    <row r="411" spans="1:59" ht="15.75" customHeight="1">
      <c r="A411" s="857"/>
      <c r="B411" s="857"/>
      <c r="C411" s="857"/>
      <c r="D411" s="857"/>
      <c r="E411" s="857"/>
      <c r="F411" s="857"/>
      <c r="G411" s="857"/>
      <c r="H411" s="857"/>
      <c r="I411" s="857"/>
      <c r="J411" s="857"/>
      <c r="K411" s="857"/>
      <c r="L411" s="857"/>
      <c r="M411" s="857"/>
      <c r="N411" s="857"/>
      <c r="O411" s="857"/>
      <c r="P411" s="857"/>
      <c r="Q411" s="857"/>
      <c r="R411" s="857"/>
      <c r="S411" s="857"/>
      <c r="T411" s="857"/>
      <c r="U411" s="857"/>
      <c r="V411" s="857"/>
      <c r="W411" s="857"/>
      <c r="X411" s="857"/>
      <c r="Y411" s="857"/>
      <c r="Z411" s="857"/>
      <c r="AA411" s="857"/>
      <c r="AB411" s="857"/>
      <c r="AC411" s="857"/>
      <c r="AD411" s="857"/>
      <c r="AE411" s="857"/>
      <c r="AF411" s="857"/>
      <c r="AG411" s="857"/>
      <c r="AH411" s="857"/>
      <c r="AI411" s="857"/>
      <c r="AJ411" s="857"/>
      <c r="AK411" s="857"/>
      <c r="AL411" s="857"/>
      <c r="AM411" s="857"/>
      <c r="AN411" s="857"/>
      <c r="AO411" s="857"/>
      <c r="AP411" s="857"/>
      <c r="AQ411" s="857"/>
      <c r="AR411" s="857"/>
      <c r="AS411" s="857"/>
      <c r="AT411" s="855"/>
      <c r="AV411" s="857"/>
      <c r="AW411" s="857"/>
      <c r="AX411" s="857"/>
      <c r="AY411" s="857"/>
      <c r="AZ411" s="857"/>
      <c r="BA411" s="857"/>
      <c r="BB411" s="857"/>
      <c r="BC411" s="857"/>
      <c r="BD411" s="857"/>
      <c r="BE411" s="857"/>
      <c r="BF411" s="857"/>
      <c r="BG411" s="857"/>
    </row>
    <row r="412" spans="1:59" ht="15.75" customHeight="1">
      <c r="A412" s="857"/>
      <c r="B412" s="857"/>
      <c r="C412" s="857"/>
      <c r="D412" s="857"/>
      <c r="E412" s="857"/>
      <c r="F412" s="857"/>
      <c r="G412" s="857"/>
      <c r="H412" s="857"/>
      <c r="I412" s="857"/>
      <c r="J412" s="857"/>
      <c r="K412" s="857"/>
      <c r="L412" s="857"/>
      <c r="M412" s="857"/>
      <c r="N412" s="857"/>
      <c r="O412" s="857"/>
      <c r="P412" s="857"/>
      <c r="Q412" s="857"/>
      <c r="R412" s="857"/>
      <c r="S412" s="857"/>
      <c r="T412" s="857"/>
      <c r="U412" s="857"/>
      <c r="V412" s="857"/>
      <c r="W412" s="857"/>
      <c r="X412" s="857"/>
      <c r="Y412" s="857"/>
      <c r="Z412" s="857"/>
      <c r="AA412" s="857"/>
      <c r="AB412" s="857"/>
      <c r="AC412" s="857"/>
      <c r="AD412" s="857"/>
      <c r="AE412" s="857"/>
      <c r="AF412" s="857"/>
      <c r="AG412" s="857"/>
      <c r="AH412" s="857"/>
      <c r="AI412" s="857"/>
      <c r="AJ412" s="857"/>
      <c r="AK412" s="857"/>
      <c r="AL412" s="857"/>
      <c r="AM412" s="857"/>
      <c r="AN412" s="857"/>
      <c r="AO412" s="857"/>
      <c r="AP412" s="857"/>
      <c r="AQ412" s="857"/>
      <c r="AR412" s="857"/>
      <c r="AS412" s="857"/>
      <c r="AT412" s="855"/>
      <c r="AV412" s="857"/>
      <c r="AW412" s="857"/>
      <c r="AX412" s="857"/>
      <c r="AY412" s="857"/>
      <c r="AZ412" s="857"/>
      <c r="BA412" s="857"/>
      <c r="BB412" s="857"/>
      <c r="BC412" s="857"/>
      <c r="BD412" s="857"/>
      <c r="BE412" s="857"/>
      <c r="BF412" s="857"/>
      <c r="BG412" s="857"/>
    </row>
    <row r="413" spans="1:59" ht="15.75" customHeight="1">
      <c r="A413" s="857"/>
      <c r="B413" s="857"/>
      <c r="C413" s="857"/>
      <c r="D413" s="857"/>
      <c r="E413" s="857"/>
      <c r="F413" s="857"/>
      <c r="G413" s="857"/>
      <c r="H413" s="857"/>
      <c r="I413" s="857"/>
      <c r="J413" s="857"/>
      <c r="K413" s="857"/>
      <c r="L413" s="857"/>
      <c r="M413" s="857"/>
      <c r="N413" s="857"/>
      <c r="O413" s="857"/>
      <c r="P413" s="857"/>
      <c r="Q413" s="857"/>
      <c r="R413" s="857"/>
      <c r="S413" s="857"/>
      <c r="T413" s="857"/>
      <c r="U413" s="857"/>
      <c r="V413" s="857"/>
      <c r="W413" s="857"/>
      <c r="X413" s="857"/>
      <c r="Y413" s="857"/>
      <c r="Z413" s="857"/>
      <c r="AA413" s="857"/>
      <c r="AB413" s="857"/>
      <c r="AC413" s="857"/>
      <c r="AD413" s="857"/>
      <c r="AE413" s="857"/>
      <c r="AF413" s="857"/>
      <c r="AG413" s="857"/>
      <c r="AH413" s="857"/>
      <c r="AI413" s="857"/>
      <c r="AJ413" s="857"/>
      <c r="AK413" s="857"/>
      <c r="AL413" s="857"/>
      <c r="AM413" s="857"/>
      <c r="AN413" s="857"/>
      <c r="AO413" s="857"/>
      <c r="AP413" s="857"/>
      <c r="AQ413" s="857"/>
      <c r="AR413" s="857"/>
      <c r="AS413" s="857"/>
      <c r="AT413" s="855"/>
      <c r="AV413" s="857"/>
      <c r="AW413" s="857"/>
      <c r="AX413" s="857"/>
      <c r="AY413" s="857"/>
      <c r="AZ413" s="857"/>
      <c r="BA413" s="857"/>
      <c r="BB413" s="857"/>
      <c r="BC413" s="857"/>
      <c r="BD413" s="857"/>
      <c r="BE413" s="857"/>
      <c r="BF413" s="857"/>
      <c r="BG413" s="857"/>
    </row>
    <row r="414" spans="1:59" ht="15.75" customHeight="1">
      <c r="A414" s="857"/>
      <c r="B414" s="857"/>
      <c r="C414" s="857"/>
      <c r="D414" s="857"/>
      <c r="E414" s="857"/>
      <c r="F414" s="857"/>
      <c r="G414" s="857"/>
      <c r="H414" s="857"/>
      <c r="I414" s="857"/>
      <c r="J414" s="857"/>
      <c r="K414" s="857"/>
      <c r="L414" s="857"/>
      <c r="M414" s="857"/>
      <c r="N414" s="857"/>
      <c r="O414" s="857"/>
      <c r="P414" s="857"/>
      <c r="Q414" s="857"/>
      <c r="R414" s="857"/>
      <c r="S414" s="857"/>
      <c r="T414" s="857"/>
      <c r="U414" s="857"/>
      <c r="V414" s="857"/>
      <c r="W414" s="857"/>
      <c r="X414" s="857"/>
      <c r="Y414" s="857"/>
      <c r="Z414" s="857"/>
      <c r="AA414" s="857"/>
      <c r="AB414" s="857"/>
      <c r="AC414" s="857"/>
      <c r="AD414" s="857"/>
      <c r="AE414" s="857"/>
      <c r="AF414" s="857"/>
      <c r="AG414" s="857"/>
      <c r="AH414" s="857"/>
      <c r="AI414" s="857"/>
      <c r="AJ414" s="857"/>
      <c r="AK414" s="857"/>
      <c r="AL414" s="857"/>
      <c r="AM414" s="857"/>
      <c r="AN414" s="857"/>
      <c r="AO414" s="857"/>
      <c r="AP414" s="857"/>
      <c r="AQ414" s="857"/>
      <c r="AR414" s="857"/>
      <c r="AS414" s="857"/>
      <c r="AT414" s="855"/>
      <c r="AV414" s="857"/>
      <c r="AW414" s="857"/>
      <c r="AX414" s="857"/>
      <c r="AY414" s="857"/>
      <c r="AZ414" s="857"/>
      <c r="BA414" s="857"/>
      <c r="BB414" s="857"/>
      <c r="BC414" s="857"/>
      <c r="BD414" s="857"/>
      <c r="BE414" s="857"/>
      <c r="BF414" s="857"/>
      <c r="BG414" s="857"/>
    </row>
    <row r="415" spans="1:59" ht="15.75" customHeight="1">
      <c r="A415" s="857"/>
      <c r="B415" s="857"/>
      <c r="C415" s="857"/>
      <c r="D415" s="857"/>
      <c r="E415" s="857"/>
      <c r="F415" s="857"/>
      <c r="G415" s="857"/>
      <c r="H415" s="857"/>
      <c r="I415" s="857"/>
      <c r="J415" s="857"/>
      <c r="K415" s="857"/>
      <c r="L415" s="857"/>
      <c r="M415" s="857"/>
      <c r="N415" s="857"/>
      <c r="O415" s="857"/>
      <c r="P415" s="857"/>
      <c r="Q415" s="857"/>
      <c r="R415" s="857"/>
      <c r="S415" s="857"/>
      <c r="T415" s="857"/>
      <c r="U415" s="857"/>
      <c r="V415" s="857"/>
      <c r="W415" s="857"/>
      <c r="X415" s="857"/>
      <c r="Y415" s="857"/>
      <c r="Z415" s="857"/>
      <c r="AA415" s="857"/>
      <c r="AB415" s="857"/>
      <c r="AC415" s="857"/>
      <c r="AD415" s="857"/>
      <c r="AE415" s="857"/>
      <c r="AF415" s="857"/>
      <c r="AG415" s="857"/>
      <c r="AH415" s="857"/>
      <c r="AI415" s="857"/>
      <c r="AJ415" s="857"/>
      <c r="AK415" s="857"/>
      <c r="AL415" s="857"/>
      <c r="AM415" s="857"/>
      <c r="AN415" s="857"/>
      <c r="AO415" s="857"/>
      <c r="AP415" s="857"/>
      <c r="AQ415" s="857"/>
      <c r="AR415" s="857"/>
      <c r="AS415" s="857"/>
      <c r="AT415" s="855"/>
      <c r="AV415" s="857"/>
      <c r="AW415" s="857"/>
      <c r="AX415" s="857"/>
      <c r="AY415" s="857"/>
      <c r="AZ415" s="857"/>
      <c r="BA415" s="857"/>
      <c r="BB415" s="857"/>
      <c r="BC415" s="857"/>
      <c r="BD415" s="857"/>
      <c r="BE415" s="857"/>
      <c r="BF415" s="857"/>
      <c r="BG415" s="857"/>
    </row>
    <row r="416" spans="1:59" ht="15.75" customHeight="1">
      <c r="A416" s="857"/>
      <c r="B416" s="857"/>
      <c r="C416" s="857"/>
      <c r="D416" s="857"/>
      <c r="E416" s="857"/>
      <c r="F416" s="857"/>
      <c r="G416" s="857"/>
      <c r="H416" s="857"/>
      <c r="I416" s="857"/>
      <c r="J416" s="857"/>
      <c r="K416" s="857"/>
      <c r="L416" s="857"/>
      <c r="M416" s="857"/>
      <c r="N416" s="857"/>
      <c r="O416" s="857"/>
      <c r="P416" s="857"/>
      <c r="Q416" s="857"/>
      <c r="R416" s="857"/>
      <c r="S416" s="857"/>
      <c r="T416" s="857"/>
      <c r="U416" s="857"/>
      <c r="V416" s="857"/>
      <c r="W416" s="857"/>
      <c r="X416" s="857"/>
      <c r="Y416" s="857"/>
      <c r="Z416" s="857"/>
      <c r="AA416" s="857"/>
      <c r="AB416" s="857"/>
      <c r="AC416" s="857"/>
      <c r="AD416" s="857"/>
      <c r="AE416" s="857"/>
      <c r="AF416" s="857"/>
      <c r="AG416" s="857"/>
      <c r="AH416" s="857"/>
      <c r="AI416" s="857"/>
      <c r="AJ416" s="857"/>
      <c r="AK416" s="857"/>
      <c r="AL416" s="857"/>
      <c r="AM416" s="857"/>
      <c r="AN416" s="857"/>
      <c r="AO416" s="857"/>
      <c r="AP416" s="857"/>
      <c r="AQ416" s="857"/>
      <c r="AR416" s="857"/>
      <c r="AS416" s="857"/>
      <c r="AT416" s="855"/>
      <c r="AV416" s="857"/>
      <c r="AW416" s="857"/>
      <c r="AX416" s="857"/>
      <c r="AY416" s="857"/>
      <c r="AZ416" s="857"/>
      <c r="BA416" s="857"/>
      <c r="BB416" s="857"/>
      <c r="BC416" s="857"/>
      <c r="BD416" s="857"/>
      <c r="BE416" s="857"/>
      <c r="BF416" s="857"/>
      <c r="BG416" s="857"/>
    </row>
    <row r="417" spans="1:59" ht="15.75" customHeight="1">
      <c r="A417" s="857"/>
      <c r="B417" s="857"/>
      <c r="C417" s="857"/>
      <c r="D417" s="857"/>
      <c r="E417" s="857"/>
      <c r="F417" s="857"/>
      <c r="G417" s="857"/>
      <c r="H417" s="857"/>
      <c r="I417" s="857"/>
      <c r="J417" s="857"/>
      <c r="K417" s="857"/>
      <c r="L417" s="857"/>
      <c r="M417" s="857"/>
      <c r="N417" s="857"/>
      <c r="O417" s="857"/>
      <c r="P417" s="857"/>
      <c r="Q417" s="857"/>
      <c r="R417" s="857"/>
      <c r="S417" s="857"/>
      <c r="T417" s="857"/>
      <c r="U417" s="857"/>
      <c r="V417" s="857"/>
      <c r="W417" s="857"/>
      <c r="X417" s="857"/>
      <c r="Y417" s="857"/>
      <c r="Z417" s="857"/>
      <c r="AA417" s="857"/>
      <c r="AB417" s="857"/>
      <c r="AC417" s="857"/>
      <c r="AD417" s="857"/>
      <c r="AE417" s="857"/>
      <c r="AF417" s="857"/>
      <c r="AG417" s="857"/>
      <c r="AH417" s="857"/>
      <c r="AI417" s="857"/>
      <c r="AJ417" s="857"/>
      <c r="AK417" s="857"/>
      <c r="AL417" s="857"/>
      <c r="AM417" s="857"/>
      <c r="AN417" s="857"/>
      <c r="AO417" s="857"/>
      <c r="AP417" s="857"/>
      <c r="AQ417" s="857"/>
      <c r="AR417" s="857"/>
      <c r="AS417" s="857"/>
      <c r="AT417" s="855"/>
      <c r="AV417" s="857"/>
      <c r="AW417" s="857"/>
      <c r="AX417" s="857"/>
      <c r="AY417" s="857"/>
      <c r="AZ417" s="857"/>
      <c r="BA417" s="857"/>
      <c r="BB417" s="857"/>
      <c r="BC417" s="857"/>
      <c r="BD417" s="857"/>
      <c r="BE417" s="857"/>
      <c r="BF417" s="857"/>
      <c r="BG417" s="857"/>
    </row>
    <row r="418" spans="1:59" ht="15.75" customHeight="1">
      <c r="A418" s="857"/>
      <c r="B418" s="857"/>
      <c r="C418" s="857"/>
      <c r="D418" s="857"/>
      <c r="E418" s="857"/>
      <c r="F418" s="857"/>
      <c r="G418" s="857"/>
      <c r="H418" s="857"/>
      <c r="I418" s="857"/>
      <c r="J418" s="857"/>
      <c r="K418" s="857"/>
      <c r="L418" s="857"/>
      <c r="M418" s="857"/>
      <c r="N418" s="857"/>
      <c r="O418" s="857"/>
      <c r="P418" s="857"/>
      <c r="Q418" s="857"/>
      <c r="R418" s="857"/>
      <c r="S418" s="857"/>
      <c r="T418" s="857"/>
      <c r="U418" s="857"/>
      <c r="V418" s="857"/>
      <c r="W418" s="857"/>
      <c r="X418" s="857"/>
      <c r="Y418" s="857"/>
      <c r="Z418" s="857"/>
      <c r="AA418" s="857"/>
      <c r="AB418" s="857"/>
      <c r="AC418" s="857"/>
      <c r="AD418" s="857"/>
      <c r="AE418" s="857"/>
      <c r="AF418" s="857"/>
      <c r="AG418" s="857"/>
      <c r="AH418" s="857"/>
      <c r="AI418" s="857"/>
      <c r="AJ418" s="857"/>
      <c r="AK418" s="857"/>
      <c r="AL418" s="857"/>
      <c r="AM418" s="857"/>
      <c r="AN418" s="857"/>
      <c r="AO418" s="857"/>
      <c r="AP418" s="857"/>
      <c r="AQ418" s="857"/>
      <c r="AR418" s="857"/>
      <c r="AS418" s="857"/>
      <c r="AT418" s="855"/>
      <c r="AV418" s="857"/>
      <c r="AW418" s="857"/>
      <c r="AX418" s="857"/>
      <c r="AY418" s="857"/>
      <c r="AZ418" s="857"/>
      <c r="BA418" s="857"/>
      <c r="BB418" s="857"/>
      <c r="BC418" s="857"/>
      <c r="BD418" s="857"/>
      <c r="BE418" s="857"/>
      <c r="BF418" s="857"/>
      <c r="BG418" s="857"/>
    </row>
    <row r="419" spans="1:59" ht="15.75" customHeight="1">
      <c r="A419" s="857"/>
      <c r="B419" s="857"/>
      <c r="C419" s="857"/>
      <c r="D419" s="857"/>
      <c r="E419" s="857"/>
      <c r="F419" s="857"/>
      <c r="G419" s="857"/>
      <c r="H419" s="857"/>
      <c r="I419" s="857"/>
      <c r="J419" s="857"/>
      <c r="K419" s="857"/>
      <c r="L419" s="857"/>
      <c r="M419" s="857"/>
      <c r="N419" s="857"/>
      <c r="O419" s="857"/>
      <c r="P419" s="857"/>
      <c r="Q419" s="857"/>
      <c r="R419" s="857"/>
      <c r="S419" s="857"/>
      <c r="T419" s="857"/>
      <c r="U419" s="857"/>
      <c r="V419" s="857"/>
      <c r="W419" s="857"/>
      <c r="X419" s="857"/>
      <c r="Y419" s="857"/>
      <c r="Z419" s="857"/>
      <c r="AA419" s="857"/>
      <c r="AB419" s="857"/>
      <c r="AC419" s="857"/>
      <c r="AD419" s="857"/>
      <c r="AE419" s="857"/>
      <c r="AF419" s="857"/>
      <c r="AG419" s="857"/>
      <c r="AH419" s="857"/>
      <c r="AI419" s="857"/>
      <c r="AJ419" s="857"/>
      <c r="AK419" s="857"/>
      <c r="AL419" s="857"/>
      <c r="AM419" s="857"/>
      <c r="AN419" s="857"/>
      <c r="AO419" s="857"/>
      <c r="AP419" s="857"/>
      <c r="AQ419" s="857"/>
      <c r="AR419" s="857"/>
      <c r="AS419" s="857"/>
      <c r="AT419" s="855"/>
      <c r="AV419" s="857"/>
      <c r="AW419" s="857"/>
      <c r="AX419" s="857"/>
      <c r="AY419" s="857"/>
      <c r="AZ419" s="857"/>
      <c r="BA419" s="857"/>
      <c r="BB419" s="857"/>
      <c r="BC419" s="857"/>
      <c r="BD419" s="857"/>
      <c r="BE419" s="857"/>
      <c r="BF419" s="857"/>
      <c r="BG419" s="857"/>
    </row>
    <row r="420" spans="1:59" ht="15.75" customHeight="1">
      <c r="A420" s="857"/>
      <c r="B420" s="857"/>
      <c r="C420" s="857"/>
      <c r="D420" s="857"/>
      <c r="E420" s="857"/>
      <c r="F420" s="857"/>
      <c r="G420" s="857"/>
      <c r="H420" s="857"/>
      <c r="I420" s="857"/>
      <c r="J420" s="857"/>
      <c r="K420" s="857"/>
      <c r="L420" s="857"/>
      <c r="M420" s="857"/>
      <c r="N420" s="857"/>
      <c r="O420" s="857"/>
      <c r="P420" s="857"/>
      <c r="Q420" s="857"/>
      <c r="R420" s="857"/>
      <c r="S420" s="857"/>
      <c r="T420" s="857"/>
      <c r="U420" s="857"/>
      <c r="V420" s="857"/>
      <c r="W420" s="857"/>
      <c r="X420" s="857"/>
      <c r="Y420" s="857"/>
      <c r="Z420" s="857"/>
      <c r="AA420" s="857"/>
      <c r="AB420" s="857"/>
      <c r="AC420" s="857"/>
      <c r="AD420" s="857"/>
      <c r="AE420" s="857"/>
      <c r="AF420" s="857"/>
      <c r="AG420" s="857"/>
      <c r="AH420" s="857"/>
      <c r="AI420" s="857"/>
      <c r="AJ420" s="857"/>
      <c r="AK420" s="857"/>
      <c r="AL420" s="857"/>
      <c r="AM420" s="857"/>
      <c r="AN420" s="857"/>
      <c r="AO420" s="857"/>
      <c r="AP420" s="857"/>
      <c r="AQ420" s="857"/>
      <c r="AR420" s="857"/>
      <c r="AS420" s="857"/>
      <c r="AT420" s="855"/>
      <c r="AV420" s="857"/>
      <c r="AW420" s="857"/>
      <c r="AX420" s="857"/>
      <c r="AY420" s="857"/>
      <c r="AZ420" s="857"/>
      <c r="BA420" s="857"/>
      <c r="BB420" s="857"/>
      <c r="BC420" s="857"/>
      <c r="BD420" s="857"/>
      <c r="BE420" s="857"/>
      <c r="BF420" s="857"/>
      <c r="BG420" s="857"/>
    </row>
    <row r="421" spans="1:59" ht="15.75" customHeight="1">
      <c r="A421" s="857"/>
      <c r="B421" s="857"/>
      <c r="C421" s="857"/>
      <c r="D421" s="857"/>
      <c r="E421" s="857"/>
      <c r="F421" s="857"/>
      <c r="G421" s="857"/>
      <c r="H421" s="857"/>
      <c r="I421" s="857"/>
      <c r="J421" s="857"/>
      <c r="K421" s="857"/>
      <c r="L421" s="857"/>
      <c r="M421" s="857"/>
      <c r="N421" s="857"/>
      <c r="O421" s="857"/>
      <c r="P421" s="857"/>
      <c r="Q421" s="857"/>
      <c r="R421" s="857"/>
      <c r="S421" s="857"/>
      <c r="T421" s="857"/>
      <c r="U421" s="857"/>
      <c r="V421" s="857"/>
      <c r="W421" s="857"/>
      <c r="X421" s="857"/>
      <c r="Y421" s="857"/>
      <c r="Z421" s="857"/>
      <c r="AA421" s="857"/>
      <c r="AB421" s="857"/>
      <c r="AC421" s="857"/>
      <c r="AD421" s="857"/>
      <c r="AE421" s="857"/>
      <c r="AF421" s="857"/>
      <c r="AG421" s="857"/>
      <c r="AH421" s="857"/>
      <c r="AI421" s="857"/>
      <c r="AJ421" s="857"/>
      <c r="AK421" s="857"/>
      <c r="AL421" s="857"/>
      <c r="AM421" s="857"/>
      <c r="AN421" s="857"/>
      <c r="AO421" s="857"/>
      <c r="AP421" s="857"/>
      <c r="AQ421" s="857"/>
      <c r="AR421" s="857"/>
      <c r="AS421" s="857"/>
      <c r="AT421" s="855"/>
      <c r="AV421" s="857"/>
      <c r="AW421" s="857"/>
      <c r="AX421" s="857"/>
      <c r="AY421" s="857"/>
      <c r="AZ421" s="857"/>
      <c r="BA421" s="857"/>
      <c r="BB421" s="857"/>
      <c r="BC421" s="857"/>
      <c r="BD421" s="857"/>
      <c r="BE421" s="857"/>
      <c r="BF421" s="857"/>
      <c r="BG421" s="857"/>
    </row>
    <row r="422" spans="1:59" ht="15.75" customHeight="1">
      <c r="A422" s="857"/>
      <c r="B422" s="857"/>
      <c r="C422" s="857"/>
      <c r="D422" s="857"/>
      <c r="E422" s="857"/>
      <c r="F422" s="857"/>
      <c r="G422" s="857"/>
      <c r="H422" s="857"/>
      <c r="I422" s="857"/>
      <c r="J422" s="857"/>
      <c r="K422" s="857"/>
      <c r="L422" s="857"/>
      <c r="M422" s="857"/>
      <c r="N422" s="857"/>
      <c r="O422" s="857"/>
      <c r="P422" s="857"/>
      <c r="Q422" s="857"/>
      <c r="R422" s="857"/>
      <c r="S422" s="857"/>
      <c r="T422" s="857"/>
      <c r="U422" s="857"/>
      <c r="V422" s="857"/>
      <c r="W422" s="857"/>
      <c r="X422" s="857"/>
      <c r="Y422" s="857"/>
      <c r="Z422" s="857"/>
      <c r="AA422" s="857"/>
      <c r="AB422" s="857"/>
      <c r="AC422" s="857"/>
      <c r="AD422" s="857"/>
      <c r="AE422" s="857"/>
      <c r="AF422" s="857"/>
      <c r="AG422" s="857"/>
      <c r="AH422" s="857"/>
      <c r="AI422" s="857"/>
      <c r="AJ422" s="857"/>
      <c r="AK422" s="857"/>
      <c r="AL422" s="857"/>
      <c r="AM422" s="857"/>
      <c r="AN422" s="857"/>
      <c r="AO422" s="857"/>
      <c r="AP422" s="857"/>
      <c r="AQ422" s="857"/>
      <c r="AR422" s="857"/>
      <c r="AS422" s="857"/>
      <c r="AT422" s="855"/>
      <c r="AV422" s="857"/>
      <c r="AW422" s="857"/>
      <c r="AX422" s="857"/>
      <c r="AY422" s="857"/>
      <c r="AZ422" s="857"/>
      <c r="BA422" s="857"/>
      <c r="BB422" s="857"/>
      <c r="BC422" s="857"/>
      <c r="BD422" s="857"/>
      <c r="BE422" s="857"/>
      <c r="BF422" s="857"/>
      <c r="BG422" s="857"/>
    </row>
    <row r="423" spans="1:59" ht="15.75" customHeight="1">
      <c r="A423" s="857"/>
      <c r="B423" s="857"/>
      <c r="C423" s="857"/>
      <c r="D423" s="857"/>
      <c r="E423" s="857"/>
      <c r="F423" s="857"/>
      <c r="G423" s="857"/>
      <c r="H423" s="857"/>
      <c r="I423" s="857"/>
      <c r="J423" s="857"/>
      <c r="K423" s="857"/>
      <c r="L423" s="857"/>
      <c r="M423" s="857"/>
      <c r="N423" s="857"/>
      <c r="O423" s="857"/>
      <c r="P423" s="857"/>
      <c r="Q423" s="857"/>
      <c r="R423" s="857"/>
      <c r="S423" s="857"/>
      <c r="T423" s="857"/>
      <c r="U423" s="857"/>
      <c r="V423" s="857"/>
      <c r="W423" s="857"/>
      <c r="X423" s="857"/>
      <c r="Y423" s="857"/>
      <c r="Z423" s="857"/>
      <c r="AA423" s="857"/>
      <c r="AB423" s="857"/>
      <c r="AC423" s="857"/>
      <c r="AD423" s="857"/>
      <c r="AE423" s="857"/>
      <c r="AF423" s="857"/>
      <c r="AG423" s="857"/>
      <c r="AH423" s="857"/>
      <c r="AI423" s="857"/>
      <c r="AJ423" s="857"/>
      <c r="AK423" s="857"/>
      <c r="AL423" s="857"/>
      <c r="AM423" s="857"/>
      <c r="AN423" s="857"/>
      <c r="AO423" s="857"/>
      <c r="AP423" s="857"/>
      <c r="AQ423" s="857"/>
      <c r="AR423" s="857"/>
      <c r="AS423" s="857"/>
      <c r="AT423" s="855"/>
      <c r="AV423" s="857"/>
      <c r="AW423" s="857"/>
      <c r="AX423" s="857"/>
      <c r="AY423" s="857"/>
      <c r="AZ423" s="857"/>
      <c r="BA423" s="857"/>
      <c r="BB423" s="857"/>
      <c r="BC423" s="857"/>
      <c r="BD423" s="857"/>
      <c r="BE423" s="857"/>
      <c r="BF423" s="857"/>
      <c r="BG423" s="857"/>
    </row>
    <row r="424" spans="1:59" ht="15.75" customHeight="1">
      <c r="A424" s="857"/>
      <c r="B424" s="857"/>
      <c r="C424" s="857"/>
      <c r="D424" s="857"/>
      <c r="E424" s="857"/>
      <c r="F424" s="857"/>
      <c r="G424" s="857"/>
      <c r="H424" s="857"/>
      <c r="I424" s="857"/>
      <c r="J424" s="857"/>
      <c r="K424" s="857"/>
      <c r="L424" s="857"/>
      <c r="M424" s="857"/>
      <c r="N424" s="857"/>
      <c r="O424" s="857"/>
      <c r="P424" s="857"/>
      <c r="Q424" s="857"/>
      <c r="R424" s="857"/>
      <c r="S424" s="857"/>
      <c r="T424" s="857"/>
      <c r="U424" s="857"/>
      <c r="V424" s="857"/>
      <c r="W424" s="857"/>
      <c r="X424" s="857"/>
      <c r="Y424" s="857"/>
      <c r="Z424" s="857"/>
      <c r="AA424" s="857"/>
      <c r="AB424" s="857"/>
      <c r="AC424" s="857"/>
      <c r="AD424" s="857"/>
      <c r="AE424" s="857"/>
      <c r="AF424" s="857"/>
      <c r="AG424" s="857"/>
      <c r="AH424" s="857"/>
      <c r="AI424" s="857"/>
      <c r="AJ424" s="857"/>
      <c r="AK424" s="857"/>
      <c r="AL424" s="857"/>
      <c r="AM424" s="857"/>
      <c r="AN424" s="857"/>
      <c r="AO424" s="857"/>
      <c r="AP424" s="857"/>
      <c r="AQ424" s="857"/>
      <c r="AR424" s="857"/>
      <c r="AS424" s="857"/>
      <c r="AT424" s="855"/>
      <c r="AV424" s="857"/>
      <c r="AW424" s="857"/>
      <c r="AX424" s="857"/>
      <c r="AY424" s="857"/>
      <c r="AZ424" s="857"/>
      <c r="BA424" s="857"/>
      <c r="BB424" s="857"/>
      <c r="BC424" s="857"/>
      <c r="BD424" s="857"/>
      <c r="BE424" s="857"/>
      <c r="BF424" s="857"/>
      <c r="BG424" s="857"/>
    </row>
    <row r="425" spans="1:59" ht="15.75" customHeight="1">
      <c r="A425" s="857"/>
      <c r="B425" s="857"/>
      <c r="C425" s="857"/>
      <c r="D425" s="857"/>
      <c r="E425" s="857"/>
      <c r="F425" s="857"/>
      <c r="G425" s="857"/>
      <c r="H425" s="857"/>
      <c r="I425" s="857"/>
      <c r="J425" s="857"/>
      <c r="K425" s="857"/>
      <c r="L425" s="857"/>
      <c r="M425" s="857"/>
      <c r="N425" s="857"/>
      <c r="O425" s="857"/>
      <c r="P425" s="857"/>
      <c r="Q425" s="857"/>
      <c r="R425" s="857"/>
      <c r="S425" s="857"/>
      <c r="T425" s="857"/>
      <c r="U425" s="857"/>
      <c r="V425" s="857"/>
      <c r="W425" s="857"/>
      <c r="X425" s="857"/>
      <c r="Y425" s="857"/>
      <c r="Z425" s="857"/>
      <c r="AA425" s="857"/>
      <c r="AB425" s="857"/>
      <c r="AC425" s="857"/>
      <c r="AD425" s="857"/>
      <c r="AE425" s="857"/>
      <c r="AF425" s="857"/>
      <c r="AG425" s="857"/>
      <c r="AH425" s="857"/>
      <c r="AI425" s="857"/>
      <c r="AJ425" s="857"/>
      <c r="AK425" s="857"/>
      <c r="AL425" s="857"/>
      <c r="AM425" s="857"/>
      <c r="AN425" s="857"/>
      <c r="AO425" s="857"/>
      <c r="AP425" s="857"/>
      <c r="AQ425" s="857"/>
      <c r="AR425" s="857"/>
      <c r="AS425" s="857"/>
      <c r="AT425" s="855"/>
      <c r="AV425" s="857"/>
      <c r="AW425" s="857"/>
      <c r="AX425" s="857"/>
      <c r="AY425" s="857"/>
      <c r="AZ425" s="857"/>
      <c r="BA425" s="857"/>
      <c r="BB425" s="857"/>
      <c r="BC425" s="857"/>
      <c r="BD425" s="857"/>
      <c r="BE425" s="857"/>
      <c r="BF425" s="857"/>
      <c r="BG425" s="857"/>
    </row>
    <row r="426" spans="1:59" ht="15.75" customHeight="1">
      <c r="A426" s="857"/>
      <c r="B426" s="857"/>
      <c r="C426" s="857"/>
      <c r="D426" s="857"/>
      <c r="E426" s="857"/>
      <c r="F426" s="857"/>
      <c r="G426" s="857"/>
      <c r="H426" s="857"/>
      <c r="I426" s="857"/>
      <c r="J426" s="857"/>
      <c r="K426" s="857"/>
      <c r="L426" s="857"/>
      <c r="M426" s="857"/>
      <c r="N426" s="857"/>
      <c r="O426" s="857"/>
      <c r="P426" s="857"/>
      <c r="Q426" s="857"/>
      <c r="R426" s="857"/>
      <c r="S426" s="857"/>
      <c r="T426" s="857"/>
      <c r="U426" s="857"/>
      <c r="V426" s="857"/>
      <c r="W426" s="857"/>
      <c r="X426" s="857"/>
      <c r="Y426" s="857"/>
      <c r="Z426" s="857"/>
      <c r="AA426" s="857"/>
      <c r="AB426" s="857"/>
      <c r="AC426" s="857"/>
      <c r="AD426" s="857"/>
      <c r="AE426" s="857"/>
      <c r="AF426" s="857"/>
      <c r="AG426" s="857"/>
      <c r="AH426" s="857"/>
      <c r="AI426" s="857"/>
      <c r="AJ426" s="857"/>
      <c r="AK426" s="857"/>
      <c r="AL426" s="857"/>
      <c r="AM426" s="857"/>
      <c r="AN426" s="857"/>
      <c r="AO426" s="857"/>
      <c r="AP426" s="857"/>
      <c r="AQ426" s="857"/>
      <c r="AR426" s="857"/>
      <c r="AS426" s="857"/>
      <c r="AT426" s="855"/>
      <c r="AV426" s="857"/>
      <c r="AW426" s="857"/>
      <c r="AX426" s="857"/>
      <c r="AY426" s="857"/>
      <c r="AZ426" s="857"/>
      <c r="BA426" s="857"/>
      <c r="BB426" s="857"/>
      <c r="BC426" s="857"/>
      <c r="BD426" s="857"/>
      <c r="BE426" s="857"/>
      <c r="BF426" s="857"/>
      <c r="BG426" s="857"/>
    </row>
    <row r="427" spans="1:59" ht="15.75" customHeight="1">
      <c r="A427" s="857"/>
      <c r="B427" s="857"/>
      <c r="C427" s="857"/>
      <c r="D427" s="857"/>
      <c r="E427" s="857"/>
      <c r="F427" s="857"/>
      <c r="G427" s="857"/>
      <c r="H427" s="857"/>
      <c r="I427" s="857"/>
      <c r="J427" s="857"/>
      <c r="K427" s="857"/>
      <c r="L427" s="857"/>
      <c r="M427" s="857"/>
      <c r="N427" s="857"/>
      <c r="O427" s="857"/>
      <c r="P427" s="857"/>
      <c r="Q427" s="857"/>
      <c r="R427" s="857"/>
      <c r="S427" s="857"/>
      <c r="T427" s="857"/>
      <c r="U427" s="857"/>
      <c r="V427" s="857"/>
      <c r="W427" s="857"/>
      <c r="X427" s="857"/>
      <c r="Y427" s="857"/>
      <c r="Z427" s="857"/>
      <c r="AA427" s="857"/>
      <c r="AB427" s="857"/>
      <c r="AC427" s="857"/>
      <c r="AD427" s="857"/>
      <c r="AE427" s="857"/>
      <c r="AF427" s="857"/>
      <c r="AG427" s="857"/>
      <c r="AH427" s="857"/>
      <c r="AI427" s="857"/>
      <c r="AJ427" s="857"/>
      <c r="AK427" s="857"/>
      <c r="AL427" s="857"/>
      <c r="AM427" s="857"/>
      <c r="AN427" s="857"/>
      <c r="AO427" s="857"/>
      <c r="AP427" s="857"/>
      <c r="AQ427" s="857"/>
      <c r="AR427" s="857"/>
      <c r="AS427" s="857"/>
      <c r="AT427" s="855"/>
      <c r="AV427" s="857"/>
      <c r="AW427" s="857"/>
      <c r="AX427" s="857"/>
      <c r="AY427" s="857"/>
      <c r="AZ427" s="857"/>
      <c r="BA427" s="857"/>
      <c r="BB427" s="857"/>
      <c r="BC427" s="857"/>
      <c r="BD427" s="857"/>
      <c r="BE427" s="857"/>
      <c r="BF427" s="857"/>
      <c r="BG427" s="857"/>
    </row>
    <row r="428" spans="1:59" ht="15.75" customHeight="1">
      <c r="A428" s="857"/>
      <c r="B428" s="857"/>
      <c r="C428" s="857"/>
      <c r="D428" s="857"/>
      <c r="E428" s="857"/>
      <c r="F428" s="857"/>
      <c r="G428" s="857"/>
      <c r="H428" s="857"/>
      <c r="I428" s="857"/>
      <c r="J428" s="857"/>
      <c r="K428" s="857"/>
      <c r="L428" s="857"/>
      <c r="M428" s="857"/>
      <c r="N428" s="857"/>
      <c r="O428" s="857"/>
      <c r="P428" s="857"/>
      <c r="Q428" s="857"/>
      <c r="R428" s="857"/>
      <c r="S428" s="857"/>
      <c r="T428" s="857"/>
      <c r="U428" s="857"/>
      <c r="V428" s="857"/>
      <c r="W428" s="857"/>
      <c r="X428" s="857"/>
      <c r="Y428" s="857"/>
      <c r="Z428" s="857"/>
      <c r="AA428" s="857"/>
      <c r="AB428" s="857"/>
      <c r="AC428" s="857"/>
      <c r="AD428" s="857"/>
      <c r="AE428" s="857"/>
      <c r="AF428" s="857"/>
      <c r="AG428" s="857"/>
      <c r="AH428" s="857"/>
      <c r="AI428" s="857"/>
      <c r="AJ428" s="857"/>
      <c r="AK428" s="857"/>
      <c r="AL428" s="857"/>
      <c r="AM428" s="857"/>
      <c r="AN428" s="857"/>
      <c r="AO428" s="857"/>
      <c r="AP428" s="857"/>
      <c r="AQ428" s="857"/>
      <c r="AR428" s="857"/>
      <c r="AS428" s="857"/>
      <c r="AT428" s="855"/>
      <c r="AV428" s="857"/>
      <c r="AW428" s="857"/>
      <c r="AX428" s="857"/>
      <c r="AY428" s="857"/>
      <c r="AZ428" s="857"/>
      <c r="BA428" s="857"/>
      <c r="BB428" s="857"/>
      <c r="BC428" s="857"/>
      <c r="BD428" s="857"/>
      <c r="BE428" s="857"/>
      <c r="BF428" s="857"/>
      <c r="BG428" s="857"/>
    </row>
    <row r="429" spans="1:59" ht="15.75" customHeight="1">
      <c r="A429" s="857"/>
      <c r="B429" s="857"/>
      <c r="C429" s="857"/>
      <c r="D429" s="857"/>
      <c r="E429" s="857"/>
      <c r="F429" s="857"/>
      <c r="G429" s="857"/>
      <c r="H429" s="857"/>
      <c r="I429" s="857"/>
      <c r="J429" s="857"/>
      <c r="K429" s="857"/>
      <c r="L429" s="857"/>
      <c r="M429" s="857"/>
      <c r="N429" s="857"/>
      <c r="O429" s="857"/>
      <c r="P429" s="857"/>
      <c r="Q429" s="857"/>
      <c r="R429" s="857"/>
      <c r="S429" s="857"/>
      <c r="T429" s="857"/>
      <c r="U429" s="857"/>
      <c r="V429" s="857"/>
      <c r="W429" s="857"/>
      <c r="X429" s="857"/>
      <c r="Y429" s="857"/>
      <c r="Z429" s="857"/>
      <c r="AA429" s="857"/>
      <c r="AB429" s="857"/>
      <c r="AC429" s="857"/>
      <c r="AD429" s="857"/>
      <c r="AE429" s="857"/>
      <c r="AF429" s="857"/>
      <c r="AG429" s="857"/>
      <c r="AH429" s="857"/>
      <c r="AI429" s="857"/>
      <c r="AJ429" s="857"/>
      <c r="AK429" s="857"/>
      <c r="AL429" s="857"/>
      <c r="AM429" s="857"/>
      <c r="AN429" s="857"/>
      <c r="AO429" s="857"/>
      <c r="AP429" s="857"/>
      <c r="AQ429" s="857"/>
      <c r="AR429" s="857"/>
      <c r="AS429" s="857"/>
      <c r="AT429" s="855"/>
      <c r="AV429" s="857"/>
      <c r="AW429" s="857"/>
      <c r="AX429" s="857"/>
      <c r="AY429" s="857"/>
      <c r="AZ429" s="857"/>
      <c r="BA429" s="857"/>
      <c r="BB429" s="857"/>
      <c r="BC429" s="857"/>
      <c r="BD429" s="857"/>
      <c r="BE429" s="857"/>
      <c r="BF429" s="857"/>
      <c r="BG429" s="857"/>
    </row>
    <row r="430" spans="1:59" ht="15.75" customHeight="1">
      <c r="A430" s="857"/>
      <c r="B430" s="857"/>
      <c r="C430" s="857"/>
      <c r="D430" s="857"/>
      <c r="E430" s="857"/>
      <c r="F430" s="857"/>
      <c r="G430" s="857"/>
      <c r="H430" s="857"/>
      <c r="I430" s="857"/>
      <c r="J430" s="857"/>
      <c r="K430" s="857"/>
      <c r="L430" s="857"/>
      <c r="M430" s="857"/>
      <c r="N430" s="857"/>
      <c r="O430" s="857"/>
      <c r="P430" s="857"/>
      <c r="Q430" s="857"/>
      <c r="R430" s="857"/>
      <c r="S430" s="857"/>
      <c r="T430" s="857"/>
      <c r="U430" s="857"/>
      <c r="V430" s="857"/>
      <c r="W430" s="857"/>
      <c r="X430" s="857"/>
      <c r="Y430" s="857"/>
      <c r="Z430" s="857"/>
      <c r="AA430" s="857"/>
      <c r="AB430" s="857"/>
      <c r="AC430" s="857"/>
      <c r="AD430" s="857"/>
      <c r="AE430" s="857"/>
      <c r="AF430" s="857"/>
      <c r="AG430" s="857"/>
      <c r="AH430" s="857"/>
      <c r="AI430" s="857"/>
      <c r="AJ430" s="857"/>
      <c r="AK430" s="857"/>
      <c r="AL430" s="857"/>
      <c r="AM430" s="857"/>
      <c r="AN430" s="857"/>
      <c r="AO430" s="857"/>
      <c r="AP430" s="857"/>
      <c r="AQ430" s="857"/>
      <c r="AR430" s="857"/>
      <c r="AS430" s="857"/>
      <c r="AT430" s="855"/>
      <c r="AV430" s="857"/>
      <c r="AW430" s="857"/>
      <c r="AX430" s="857"/>
      <c r="AY430" s="857"/>
      <c r="AZ430" s="857"/>
      <c r="BA430" s="857"/>
      <c r="BB430" s="857"/>
      <c r="BC430" s="857"/>
      <c r="BD430" s="857"/>
      <c r="BE430" s="857"/>
      <c r="BF430" s="857"/>
      <c r="BG430" s="857"/>
    </row>
    <row r="431" spans="1:59" ht="15.75" customHeight="1">
      <c r="A431" s="857"/>
      <c r="B431" s="857"/>
      <c r="C431" s="857"/>
      <c r="D431" s="857"/>
      <c r="E431" s="857"/>
      <c r="F431" s="857"/>
      <c r="G431" s="857"/>
      <c r="H431" s="857"/>
      <c r="I431" s="857"/>
      <c r="J431" s="857"/>
      <c r="K431" s="857"/>
      <c r="L431" s="857"/>
      <c r="M431" s="857"/>
      <c r="N431" s="857"/>
      <c r="O431" s="857"/>
      <c r="P431" s="857"/>
      <c r="Q431" s="857"/>
      <c r="R431" s="857"/>
      <c r="S431" s="857"/>
      <c r="T431" s="857"/>
      <c r="U431" s="857"/>
      <c r="V431" s="857"/>
      <c r="W431" s="857"/>
      <c r="X431" s="857"/>
      <c r="Y431" s="857"/>
      <c r="Z431" s="857"/>
      <c r="AA431" s="857"/>
      <c r="AB431" s="857"/>
      <c r="AC431" s="857"/>
      <c r="AD431" s="857"/>
      <c r="AE431" s="857"/>
      <c r="AF431" s="857"/>
      <c r="AG431" s="857"/>
      <c r="AH431" s="857"/>
      <c r="AI431" s="857"/>
      <c r="AJ431" s="857"/>
      <c r="AK431" s="857"/>
      <c r="AL431" s="857"/>
      <c r="AM431" s="857"/>
      <c r="AN431" s="857"/>
      <c r="AO431" s="857"/>
      <c r="AP431" s="857"/>
      <c r="AQ431" s="857"/>
      <c r="AR431" s="857"/>
      <c r="AS431" s="857"/>
      <c r="AT431" s="855"/>
      <c r="AV431" s="857"/>
      <c r="AW431" s="857"/>
      <c r="AX431" s="857"/>
      <c r="AY431" s="857"/>
      <c r="AZ431" s="857"/>
      <c r="BA431" s="857"/>
      <c r="BB431" s="857"/>
      <c r="BC431" s="857"/>
      <c r="BD431" s="857"/>
      <c r="BE431" s="857"/>
      <c r="BF431" s="857"/>
      <c r="BG431" s="857"/>
    </row>
    <row r="432" spans="1:59" ht="15.75" customHeight="1">
      <c r="A432" s="857"/>
      <c r="B432" s="857"/>
      <c r="C432" s="857"/>
      <c r="D432" s="857"/>
      <c r="E432" s="857"/>
      <c r="F432" s="857"/>
      <c r="G432" s="857"/>
      <c r="H432" s="857"/>
      <c r="I432" s="857"/>
      <c r="J432" s="857"/>
      <c r="K432" s="857"/>
      <c r="L432" s="857"/>
      <c r="M432" s="857"/>
      <c r="N432" s="857"/>
      <c r="O432" s="857"/>
      <c r="P432" s="857"/>
      <c r="Q432" s="857"/>
      <c r="R432" s="857"/>
      <c r="S432" s="857"/>
      <c r="T432" s="857"/>
      <c r="U432" s="857"/>
      <c r="V432" s="857"/>
      <c r="W432" s="857"/>
      <c r="X432" s="857"/>
      <c r="Y432" s="857"/>
      <c r="Z432" s="857"/>
      <c r="AA432" s="857"/>
      <c r="AB432" s="857"/>
      <c r="AC432" s="857"/>
      <c r="AD432" s="857"/>
      <c r="AE432" s="857"/>
      <c r="AF432" s="857"/>
      <c r="AG432" s="857"/>
      <c r="AH432" s="857"/>
      <c r="AI432" s="857"/>
      <c r="AJ432" s="857"/>
      <c r="AK432" s="857"/>
      <c r="AL432" s="857"/>
      <c r="AM432" s="857"/>
      <c r="AN432" s="857"/>
      <c r="AO432" s="857"/>
      <c r="AP432" s="857"/>
      <c r="AQ432" s="857"/>
      <c r="AR432" s="857"/>
      <c r="AS432" s="857"/>
      <c r="AT432" s="855"/>
      <c r="AV432" s="857"/>
      <c r="AW432" s="857"/>
      <c r="AX432" s="857"/>
      <c r="AY432" s="857"/>
      <c r="AZ432" s="857"/>
      <c r="BA432" s="857"/>
      <c r="BB432" s="857"/>
      <c r="BC432" s="857"/>
      <c r="BD432" s="857"/>
      <c r="BE432" s="857"/>
      <c r="BF432" s="857"/>
      <c r="BG432" s="857"/>
    </row>
    <row r="433" spans="1:59" ht="15.75" customHeight="1">
      <c r="A433" s="857"/>
      <c r="B433" s="857"/>
      <c r="C433" s="857"/>
      <c r="D433" s="857"/>
      <c r="E433" s="857"/>
      <c r="F433" s="857"/>
      <c r="G433" s="857"/>
      <c r="H433" s="857"/>
      <c r="I433" s="857"/>
      <c r="J433" s="857"/>
      <c r="K433" s="857"/>
      <c r="L433" s="857"/>
      <c r="M433" s="857"/>
      <c r="N433" s="857"/>
      <c r="O433" s="857"/>
      <c r="P433" s="857"/>
      <c r="Q433" s="857"/>
      <c r="R433" s="857"/>
      <c r="S433" s="857"/>
      <c r="T433" s="857"/>
      <c r="U433" s="857"/>
      <c r="V433" s="857"/>
      <c r="W433" s="857"/>
      <c r="X433" s="857"/>
      <c r="Y433" s="857"/>
      <c r="Z433" s="857"/>
      <c r="AA433" s="857"/>
      <c r="AB433" s="857"/>
      <c r="AC433" s="857"/>
      <c r="AD433" s="857"/>
      <c r="AE433" s="857"/>
      <c r="AF433" s="857"/>
      <c r="AG433" s="857"/>
      <c r="AH433" s="857"/>
      <c r="AI433" s="857"/>
      <c r="AJ433" s="857"/>
      <c r="AK433" s="857"/>
      <c r="AL433" s="857"/>
      <c r="AM433" s="857"/>
      <c r="AN433" s="857"/>
      <c r="AO433" s="857"/>
      <c r="AP433" s="857"/>
      <c r="AQ433" s="857"/>
      <c r="AR433" s="857"/>
      <c r="AS433" s="857"/>
      <c r="AT433" s="855"/>
      <c r="AV433" s="857"/>
      <c r="AW433" s="857"/>
      <c r="AX433" s="857"/>
      <c r="AY433" s="857"/>
      <c r="AZ433" s="857"/>
      <c r="BA433" s="857"/>
      <c r="BB433" s="857"/>
      <c r="BC433" s="857"/>
      <c r="BD433" s="857"/>
      <c r="BE433" s="857"/>
      <c r="BF433" s="857"/>
      <c r="BG433" s="857"/>
    </row>
    <row r="434" spans="1:59" ht="15.75" customHeight="1">
      <c r="A434" s="857"/>
      <c r="B434" s="857"/>
      <c r="C434" s="857"/>
      <c r="D434" s="857"/>
      <c r="E434" s="857"/>
      <c r="F434" s="857"/>
      <c r="G434" s="857"/>
      <c r="H434" s="857"/>
      <c r="I434" s="857"/>
      <c r="J434" s="857"/>
      <c r="K434" s="857"/>
      <c r="L434" s="857"/>
      <c r="M434" s="857"/>
      <c r="N434" s="857"/>
      <c r="O434" s="857"/>
      <c r="P434" s="857"/>
      <c r="Q434" s="857"/>
      <c r="R434" s="857"/>
      <c r="S434" s="857"/>
      <c r="T434" s="857"/>
      <c r="U434" s="857"/>
      <c r="V434" s="857"/>
      <c r="W434" s="857"/>
      <c r="X434" s="857"/>
      <c r="Y434" s="857"/>
      <c r="Z434" s="857"/>
      <c r="AA434" s="857"/>
      <c r="AB434" s="857"/>
      <c r="AC434" s="857"/>
      <c r="AD434" s="857"/>
      <c r="AE434" s="857"/>
      <c r="AF434" s="857"/>
      <c r="AG434" s="857"/>
      <c r="AH434" s="857"/>
      <c r="AI434" s="857"/>
      <c r="AJ434" s="857"/>
      <c r="AK434" s="857"/>
      <c r="AL434" s="857"/>
      <c r="AM434" s="857"/>
      <c r="AN434" s="857"/>
      <c r="AO434" s="857"/>
      <c r="AP434" s="857"/>
      <c r="AQ434" s="857"/>
      <c r="AR434" s="857"/>
      <c r="AS434" s="857"/>
      <c r="AT434" s="855"/>
      <c r="AV434" s="857"/>
      <c r="AW434" s="857"/>
      <c r="AX434" s="857"/>
      <c r="AY434" s="857"/>
      <c r="AZ434" s="857"/>
      <c r="BA434" s="857"/>
      <c r="BB434" s="857"/>
      <c r="BC434" s="857"/>
      <c r="BD434" s="857"/>
      <c r="BE434" s="857"/>
      <c r="BF434" s="857"/>
      <c r="BG434" s="857"/>
    </row>
    <row r="435" spans="1:59" ht="15.75" customHeight="1">
      <c r="A435" s="857"/>
      <c r="B435" s="857"/>
      <c r="C435" s="857"/>
      <c r="D435" s="857"/>
      <c r="E435" s="857"/>
      <c r="F435" s="857"/>
      <c r="G435" s="857"/>
      <c r="H435" s="857"/>
      <c r="I435" s="857"/>
      <c r="J435" s="857"/>
      <c r="K435" s="857"/>
      <c r="L435" s="857"/>
      <c r="M435" s="857"/>
      <c r="N435" s="857"/>
      <c r="O435" s="857"/>
      <c r="P435" s="857"/>
      <c r="Q435" s="857"/>
      <c r="R435" s="857"/>
      <c r="S435" s="857"/>
      <c r="T435" s="857"/>
      <c r="U435" s="857"/>
      <c r="V435" s="857"/>
      <c r="W435" s="857"/>
      <c r="X435" s="857"/>
      <c r="Y435" s="857"/>
      <c r="Z435" s="857"/>
      <c r="AA435" s="857"/>
      <c r="AB435" s="857"/>
      <c r="AC435" s="857"/>
      <c r="AD435" s="857"/>
      <c r="AE435" s="857"/>
      <c r="AF435" s="857"/>
      <c r="AG435" s="857"/>
      <c r="AH435" s="857"/>
      <c r="AI435" s="857"/>
      <c r="AJ435" s="857"/>
      <c r="AK435" s="857"/>
      <c r="AL435" s="857"/>
      <c r="AM435" s="857"/>
      <c r="AN435" s="857"/>
      <c r="AO435" s="857"/>
      <c r="AP435" s="857"/>
      <c r="AQ435" s="857"/>
      <c r="AR435" s="857"/>
      <c r="AS435" s="857"/>
      <c r="AT435" s="855"/>
      <c r="AV435" s="857"/>
      <c r="AW435" s="857"/>
      <c r="AX435" s="857"/>
      <c r="AY435" s="857"/>
      <c r="AZ435" s="857"/>
      <c r="BA435" s="857"/>
      <c r="BB435" s="857"/>
      <c r="BC435" s="857"/>
      <c r="BD435" s="857"/>
      <c r="BE435" s="857"/>
      <c r="BF435" s="857"/>
      <c r="BG435" s="857"/>
    </row>
    <row r="436" spans="1:59" ht="15.75" customHeight="1">
      <c r="A436" s="857"/>
      <c r="B436" s="857"/>
      <c r="C436" s="857"/>
      <c r="D436" s="857"/>
      <c r="E436" s="857"/>
      <c r="F436" s="857"/>
      <c r="G436" s="857"/>
      <c r="H436" s="857"/>
      <c r="I436" s="857"/>
      <c r="J436" s="857"/>
      <c r="K436" s="857"/>
      <c r="L436" s="857"/>
      <c r="M436" s="857"/>
      <c r="N436" s="857"/>
      <c r="O436" s="857"/>
      <c r="P436" s="857"/>
      <c r="Q436" s="857"/>
      <c r="R436" s="857"/>
      <c r="S436" s="857"/>
      <c r="T436" s="857"/>
      <c r="U436" s="857"/>
      <c r="V436" s="857"/>
      <c r="W436" s="857"/>
      <c r="X436" s="857"/>
      <c r="Y436" s="857"/>
      <c r="Z436" s="857"/>
      <c r="AA436" s="857"/>
      <c r="AB436" s="857"/>
      <c r="AC436" s="857"/>
      <c r="AD436" s="857"/>
      <c r="AE436" s="857"/>
      <c r="AF436" s="857"/>
      <c r="AG436" s="857"/>
      <c r="AH436" s="857"/>
      <c r="AI436" s="857"/>
      <c r="AJ436" s="857"/>
      <c r="AK436" s="857"/>
      <c r="AL436" s="857"/>
      <c r="AM436" s="857"/>
      <c r="AN436" s="857"/>
      <c r="AO436" s="857"/>
      <c r="AP436" s="857"/>
      <c r="AQ436" s="857"/>
      <c r="AR436" s="857"/>
      <c r="AS436" s="857"/>
      <c r="AT436" s="855"/>
      <c r="AV436" s="857"/>
      <c r="AW436" s="857"/>
      <c r="AX436" s="857"/>
      <c r="AY436" s="857"/>
      <c r="AZ436" s="857"/>
      <c r="BA436" s="857"/>
      <c r="BB436" s="857"/>
      <c r="BC436" s="857"/>
      <c r="BD436" s="857"/>
      <c r="BE436" s="857"/>
      <c r="BF436" s="857"/>
      <c r="BG436" s="857"/>
    </row>
    <row r="437" spans="1:59" ht="15.75" customHeight="1">
      <c r="A437" s="857"/>
      <c r="B437" s="857"/>
      <c r="C437" s="857"/>
      <c r="D437" s="857"/>
      <c r="E437" s="857"/>
      <c r="F437" s="857"/>
      <c r="G437" s="857"/>
      <c r="H437" s="857"/>
      <c r="I437" s="857"/>
      <c r="J437" s="857"/>
      <c r="K437" s="857"/>
      <c r="L437" s="857"/>
      <c r="M437" s="857"/>
      <c r="N437" s="857"/>
      <c r="O437" s="857"/>
      <c r="P437" s="857"/>
      <c r="Q437" s="857"/>
      <c r="R437" s="857"/>
      <c r="S437" s="857"/>
      <c r="T437" s="857"/>
      <c r="U437" s="857"/>
      <c r="V437" s="857"/>
      <c r="W437" s="857"/>
      <c r="X437" s="857"/>
      <c r="Y437" s="857"/>
      <c r="Z437" s="857"/>
      <c r="AA437" s="857"/>
      <c r="AB437" s="857"/>
      <c r="AC437" s="857"/>
      <c r="AD437" s="857"/>
      <c r="AE437" s="857"/>
      <c r="AF437" s="857"/>
      <c r="AG437" s="857"/>
      <c r="AH437" s="857"/>
      <c r="AI437" s="857"/>
      <c r="AJ437" s="857"/>
      <c r="AK437" s="857"/>
      <c r="AL437" s="857"/>
      <c r="AM437" s="857"/>
      <c r="AN437" s="857"/>
      <c r="AO437" s="857"/>
      <c r="AP437" s="857"/>
      <c r="AQ437" s="857"/>
      <c r="AR437" s="857"/>
      <c r="AS437" s="857"/>
      <c r="AT437" s="855"/>
      <c r="AV437" s="857"/>
      <c r="AW437" s="857"/>
      <c r="AX437" s="857"/>
      <c r="AY437" s="857"/>
      <c r="AZ437" s="857"/>
      <c r="BA437" s="857"/>
      <c r="BB437" s="857"/>
      <c r="BC437" s="857"/>
      <c r="BD437" s="857"/>
      <c r="BE437" s="857"/>
      <c r="BF437" s="857"/>
      <c r="BG437" s="857"/>
    </row>
    <row r="438" spans="1:59" ht="15.75" customHeight="1">
      <c r="A438" s="857"/>
      <c r="B438" s="857"/>
      <c r="C438" s="857"/>
      <c r="D438" s="857"/>
      <c r="E438" s="857"/>
      <c r="F438" s="857"/>
      <c r="G438" s="857"/>
      <c r="H438" s="857"/>
      <c r="I438" s="857"/>
      <c r="J438" s="857"/>
      <c r="K438" s="857"/>
      <c r="L438" s="857"/>
      <c r="M438" s="857"/>
      <c r="N438" s="857"/>
      <c r="O438" s="857"/>
      <c r="P438" s="857"/>
      <c r="Q438" s="857"/>
      <c r="R438" s="857"/>
      <c r="S438" s="857"/>
      <c r="T438" s="857"/>
      <c r="U438" s="857"/>
      <c r="V438" s="857"/>
      <c r="W438" s="857"/>
      <c r="X438" s="857"/>
      <c r="Y438" s="857"/>
      <c r="Z438" s="857"/>
      <c r="AA438" s="857"/>
      <c r="AB438" s="857"/>
      <c r="AC438" s="857"/>
      <c r="AD438" s="857"/>
      <c r="AE438" s="857"/>
      <c r="AF438" s="857"/>
      <c r="AG438" s="857"/>
      <c r="AH438" s="857"/>
      <c r="AI438" s="857"/>
      <c r="AJ438" s="857"/>
      <c r="AK438" s="857"/>
      <c r="AL438" s="857"/>
      <c r="AM438" s="857"/>
      <c r="AN438" s="857"/>
      <c r="AO438" s="857"/>
      <c r="AP438" s="857"/>
      <c r="AQ438" s="857"/>
      <c r="AR438" s="857"/>
      <c r="AS438" s="857"/>
      <c r="AT438" s="855"/>
      <c r="AV438" s="857"/>
      <c r="AW438" s="857"/>
      <c r="AX438" s="857"/>
      <c r="AY438" s="857"/>
      <c r="AZ438" s="857"/>
      <c r="BA438" s="857"/>
      <c r="BB438" s="857"/>
      <c r="BC438" s="857"/>
      <c r="BD438" s="857"/>
      <c r="BE438" s="857"/>
      <c r="BF438" s="857"/>
      <c r="BG438" s="857"/>
    </row>
    <row r="439" spans="1:59" ht="15.75" customHeight="1">
      <c r="A439" s="857"/>
      <c r="B439" s="857"/>
      <c r="C439" s="857"/>
      <c r="D439" s="857"/>
      <c r="E439" s="857"/>
      <c r="F439" s="857"/>
      <c r="G439" s="857"/>
      <c r="H439" s="857"/>
      <c r="I439" s="857"/>
      <c r="J439" s="857"/>
      <c r="K439" s="857"/>
      <c r="L439" s="857"/>
      <c r="M439" s="857"/>
      <c r="N439" s="857"/>
      <c r="O439" s="857"/>
      <c r="P439" s="857"/>
      <c r="Q439" s="857"/>
      <c r="R439" s="857"/>
      <c r="S439" s="857"/>
      <c r="T439" s="857"/>
      <c r="U439" s="857"/>
      <c r="V439" s="857"/>
      <c r="W439" s="857"/>
      <c r="X439" s="857"/>
      <c r="Y439" s="857"/>
      <c r="Z439" s="857"/>
      <c r="AA439" s="857"/>
      <c r="AB439" s="857"/>
      <c r="AC439" s="857"/>
      <c r="AD439" s="857"/>
      <c r="AE439" s="857"/>
      <c r="AF439" s="857"/>
      <c r="AG439" s="857"/>
      <c r="AH439" s="857"/>
      <c r="AI439" s="857"/>
      <c r="AJ439" s="857"/>
      <c r="AK439" s="857"/>
      <c r="AL439" s="857"/>
      <c r="AM439" s="857"/>
      <c r="AN439" s="857"/>
      <c r="AO439" s="857"/>
      <c r="AP439" s="857"/>
      <c r="AQ439" s="857"/>
      <c r="AR439" s="857"/>
      <c r="AS439" s="857"/>
      <c r="AT439" s="855"/>
      <c r="AV439" s="857"/>
      <c r="AW439" s="857"/>
      <c r="AX439" s="857"/>
      <c r="AY439" s="857"/>
      <c r="AZ439" s="857"/>
      <c r="BA439" s="857"/>
      <c r="BB439" s="857"/>
      <c r="BC439" s="857"/>
      <c r="BD439" s="857"/>
      <c r="BE439" s="857"/>
      <c r="BF439" s="857"/>
      <c r="BG439" s="857"/>
    </row>
    <row r="440" spans="1:59" ht="15.75" customHeight="1">
      <c r="A440" s="857"/>
      <c r="B440" s="857"/>
      <c r="C440" s="857"/>
      <c r="D440" s="857"/>
      <c r="E440" s="857"/>
      <c r="F440" s="857"/>
      <c r="G440" s="857"/>
      <c r="H440" s="857"/>
      <c r="I440" s="857"/>
      <c r="J440" s="857"/>
      <c r="K440" s="857"/>
      <c r="L440" s="857"/>
      <c r="M440" s="857"/>
      <c r="N440" s="857"/>
      <c r="O440" s="857"/>
      <c r="P440" s="857"/>
      <c r="Q440" s="857"/>
      <c r="R440" s="857"/>
      <c r="S440" s="857"/>
      <c r="T440" s="857"/>
      <c r="U440" s="857"/>
      <c r="V440" s="857"/>
      <c r="W440" s="857"/>
      <c r="X440" s="857"/>
      <c r="Y440" s="857"/>
      <c r="Z440" s="857"/>
      <c r="AA440" s="857"/>
      <c r="AB440" s="857"/>
      <c r="AC440" s="857"/>
      <c r="AD440" s="857"/>
      <c r="AE440" s="857"/>
      <c r="AF440" s="857"/>
      <c r="AG440" s="857"/>
      <c r="AH440" s="857"/>
      <c r="AI440" s="857"/>
      <c r="AJ440" s="857"/>
      <c r="AK440" s="857"/>
      <c r="AL440" s="857"/>
      <c r="AM440" s="857"/>
      <c r="AN440" s="857"/>
      <c r="AO440" s="857"/>
      <c r="AP440" s="857"/>
      <c r="AQ440" s="857"/>
      <c r="AR440" s="857"/>
      <c r="AS440" s="857"/>
      <c r="AT440" s="855"/>
      <c r="AV440" s="857"/>
      <c r="AW440" s="857"/>
      <c r="AX440" s="857"/>
      <c r="AY440" s="857"/>
      <c r="AZ440" s="857"/>
      <c r="BA440" s="857"/>
      <c r="BB440" s="857"/>
      <c r="BC440" s="857"/>
      <c r="BD440" s="857"/>
      <c r="BE440" s="857"/>
      <c r="BF440" s="857"/>
      <c r="BG440" s="857"/>
    </row>
    <row r="441" spans="1:59" ht="15.75" customHeight="1">
      <c r="A441" s="857"/>
      <c r="B441" s="857"/>
      <c r="C441" s="857"/>
      <c r="D441" s="857"/>
      <c r="E441" s="857"/>
      <c r="F441" s="857"/>
      <c r="G441" s="857"/>
      <c r="H441" s="857"/>
      <c r="I441" s="857"/>
      <c r="J441" s="857"/>
      <c r="K441" s="857"/>
      <c r="L441" s="857"/>
      <c r="M441" s="857"/>
      <c r="N441" s="857"/>
      <c r="O441" s="857"/>
      <c r="P441" s="857"/>
      <c r="Q441" s="857"/>
      <c r="R441" s="857"/>
      <c r="S441" s="857"/>
      <c r="T441" s="857"/>
      <c r="U441" s="857"/>
      <c r="V441" s="857"/>
      <c r="W441" s="857"/>
      <c r="X441" s="857"/>
      <c r="Y441" s="857"/>
      <c r="Z441" s="857"/>
      <c r="AA441" s="857"/>
      <c r="AB441" s="857"/>
      <c r="AC441" s="857"/>
      <c r="AD441" s="857"/>
      <c r="AE441" s="857"/>
      <c r="AF441" s="857"/>
      <c r="AG441" s="857"/>
      <c r="AH441" s="857"/>
      <c r="AI441" s="857"/>
      <c r="AJ441" s="857"/>
      <c r="AK441" s="857"/>
      <c r="AL441" s="857"/>
      <c r="AM441" s="857"/>
      <c r="AN441" s="857"/>
      <c r="AO441" s="857"/>
      <c r="AP441" s="857"/>
      <c r="AQ441" s="857"/>
      <c r="AR441" s="857"/>
      <c r="AS441" s="857"/>
      <c r="AT441" s="855"/>
      <c r="AV441" s="857"/>
      <c r="AW441" s="857"/>
      <c r="AX441" s="857"/>
      <c r="AY441" s="857"/>
      <c r="AZ441" s="857"/>
      <c r="BA441" s="857"/>
      <c r="BB441" s="857"/>
      <c r="BC441" s="857"/>
      <c r="BD441" s="857"/>
      <c r="BE441" s="857"/>
      <c r="BF441" s="857"/>
      <c r="BG441" s="857"/>
    </row>
    <row r="442" spans="1:59" ht="15.75" customHeight="1">
      <c r="A442" s="857"/>
      <c r="B442" s="857"/>
      <c r="C442" s="857"/>
      <c r="D442" s="857"/>
      <c r="E442" s="857"/>
      <c r="F442" s="857"/>
      <c r="G442" s="857"/>
      <c r="H442" s="857"/>
      <c r="I442" s="857"/>
      <c r="J442" s="857"/>
      <c r="K442" s="857"/>
      <c r="L442" s="857"/>
      <c r="M442" s="857"/>
      <c r="N442" s="857"/>
      <c r="O442" s="857"/>
      <c r="P442" s="857"/>
      <c r="Q442" s="857"/>
      <c r="R442" s="857"/>
      <c r="S442" s="857"/>
      <c r="T442" s="857"/>
      <c r="U442" s="857"/>
      <c r="V442" s="857"/>
      <c r="W442" s="857"/>
      <c r="X442" s="857"/>
      <c r="Y442" s="857"/>
      <c r="Z442" s="857"/>
      <c r="AA442" s="857"/>
      <c r="AB442" s="857"/>
      <c r="AC442" s="857"/>
      <c r="AD442" s="857"/>
      <c r="AE442" s="857"/>
      <c r="AF442" s="857"/>
      <c r="AG442" s="857"/>
      <c r="AH442" s="857"/>
      <c r="AI442" s="857"/>
      <c r="AJ442" s="857"/>
      <c r="AK442" s="857"/>
      <c r="AL442" s="857"/>
      <c r="AM442" s="857"/>
      <c r="AN442" s="857"/>
      <c r="AO442" s="857"/>
      <c r="AP442" s="857"/>
      <c r="AQ442" s="857"/>
      <c r="AR442" s="857"/>
      <c r="AS442" s="857"/>
      <c r="AT442" s="855"/>
      <c r="AV442" s="857"/>
      <c r="AW442" s="857"/>
      <c r="AX442" s="857"/>
      <c r="AY442" s="857"/>
      <c r="AZ442" s="857"/>
      <c r="BA442" s="857"/>
      <c r="BB442" s="857"/>
      <c r="BC442" s="857"/>
      <c r="BD442" s="857"/>
      <c r="BE442" s="857"/>
      <c r="BF442" s="857"/>
      <c r="BG442" s="857"/>
    </row>
    <row r="443" spans="1:59" ht="15.75" customHeight="1">
      <c r="A443" s="857"/>
      <c r="B443" s="857"/>
      <c r="C443" s="857"/>
      <c r="D443" s="857"/>
      <c r="E443" s="857"/>
      <c r="F443" s="857"/>
      <c r="G443" s="857"/>
      <c r="H443" s="857"/>
      <c r="I443" s="857"/>
      <c r="J443" s="857"/>
      <c r="K443" s="857"/>
      <c r="L443" s="857"/>
      <c r="M443" s="857"/>
      <c r="N443" s="857"/>
      <c r="O443" s="857"/>
      <c r="P443" s="857"/>
      <c r="Q443" s="857"/>
      <c r="R443" s="857"/>
      <c r="S443" s="857"/>
      <c r="T443" s="857"/>
      <c r="U443" s="857"/>
      <c r="V443" s="857"/>
      <c r="W443" s="857"/>
      <c r="X443" s="857"/>
      <c r="Y443" s="857"/>
      <c r="Z443" s="857"/>
      <c r="AA443" s="857"/>
      <c r="AB443" s="857"/>
      <c r="AC443" s="857"/>
      <c r="AD443" s="857"/>
      <c r="AE443" s="857"/>
      <c r="AF443" s="857"/>
      <c r="AG443" s="857"/>
      <c r="AH443" s="857"/>
      <c r="AI443" s="857"/>
      <c r="AJ443" s="857"/>
      <c r="AK443" s="857"/>
      <c r="AL443" s="857"/>
      <c r="AM443" s="857"/>
      <c r="AN443" s="857"/>
      <c r="AO443" s="857"/>
      <c r="AP443" s="857"/>
      <c r="AQ443" s="857"/>
      <c r="AR443" s="857"/>
      <c r="AS443" s="857"/>
      <c r="AT443" s="855"/>
      <c r="AV443" s="857"/>
      <c r="AW443" s="857"/>
      <c r="AX443" s="857"/>
      <c r="AY443" s="857"/>
      <c r="AZ443" s="857"/>
      <c r="BA443" s="857"/>
      <c r="BB443" s="857"/>
      <c r="BC443" s="857"/>
      <c r="BD443" s="857"/>
      <c r="BE443" s="857"/>
      <c r="BF443" s="857"/>
      <c r="BG443" s="857"/>
    </row>
    <row r="444" spans="1:59" ht="15.75" customHeight="1">
      <c r="A444" s="857"/>
      <c r="B444" s="857"/>
      <c r="C444" s="857"/>
      <c r="D444" s="857"/>
      <c r="E444" s="857"/>
      <c r="F444" s="857"/>
      <c r="G444" s="857"/>
      <c r="H444" s="857"/>
      <c r="I444" s="857"/>
      <c r="J444" s="857"/>
      <c r="K444" s="857"/>
      <c r="L444" s="857"/>
      <c r="M444" s="857"/>
      <c r="N444" s="857"/>
      <c r="O444" s="857"/>
      <c r="P444" s="857"/>
      <c r="Q444" s="857"/>
      <c r="R444" s="857"/>
      <c r="S444" s="857"/>
      <c r="T444" s="857"/>
      <c r="U444" s="857"/>
      <c r="V444" s="857"/>
      <c r="W444" s="857"/>
      <c r="X444" s="857"/>
      <c r="Y444" s="857"/>
      <c r="Z444" s="857"/>
      <c r="AA444" s="857"/>
      <c r="AB444" s="857"/>
      <c r="AC444" s="857"/>
      <c r="AD444" s="857"/>
      <c r="AE444" s="857"/>
      <c r="AF444" s="857"/>
      <c r="AG444" s="857"/>
      <c r="AH444" s="857"/>
      <c r="AI444" s="857"/>
      <c r="AJ444" s="857"/>
      <c r="AK444" s="857"/>
      <c r="AL444" s="857"/>
      <c r="AM444" s="857"/>
      <c r="AN444" s="857"/>
      <c r="AO444" s="857"/>
      <c r="AP444" s="857"/>
      <c r="AQ444" s="857"/>
      <c r="AR444" s="857"/>
      <c r="AS444" s="857"/>
      <c r="AT444" s="855"/>
      <c r="AV444" s="857"/>
      <c r="AW444" s="857"/>
      <c r="AX444" s="857"/>
      <c r="AY444" s="857"/>
      <c r="AZ444" s="857"/>
      <c r="BA444" s="857"/>
      <c r="BB444" s="857"/>
      <c r="BC444" s="857"/>
      <c r="BD444" s="857"/>
      <c r="BE444" s="857"/>
      <c r="BF444" s="857"/>
      <c r="BG444" s="857"/>
    </row>
    <row r="445" spans="1:59" ht="15.75" customHeight="1">
      <c r="A445" s="857"/>
      <c r="B445" s="857"/>
      <c r="C445" s="857"/>
      <c r="D445" s="857"/>
      <c r="E445" s="857"/>
      <c r="F445" s="857"/>
      <c r="G445" s="857"/>
      <c r="H445" s="857"/>
      <c r="I445" s="857"/>
      <c r="J445" s="857"/>
      <c r="K445" s="857"/>
      <c r="L445" s="857"/>
      <c r="M445" s="857"/>
      <c r="N445" s="857"/>
      <c r="O445" s="857"/>
      <c r="P445" s="857"/>
      <c r="Q445" s="857"/>
      <c r="R445" s="857"/>
      <c r="S445" s="857"/>
      <c r="T445" s="857"/>
      <c r="U445" s="857"/>
      <c r="V445" s="857"/>
      <c r="W445" s="857"/>
      <c r="X445" s="857"/>
      <c r="Y445" s="857"/>
      <c r="Z445" s="857"/>
      <c r="AA445" s="857"/>
      <c r="AB445" s="857"/>
      <c r="AC445" s="857"/>
      <c r="AD445" s="857"/>
      <c r="AE445" s="857"/>
      <c r="AF445" s="857"/>
      <c r="AG445" s="857"/>
      <c r="AH445" s="857"/>
      <c r="AI445" s="857"/>
      <c r="AJ445" s="857"/>
      <c r="AK445" s="857"/>
      <c r="AL445" s="857"/>
      <c r="AM445" s="857"/>
      <c r="AN445" s="857"/>
      <c r="AO445" s="857"/>
      <c r="AP445" s="857"/>
      <c r="AQ445" s="857"/>
      <c r="AR445" s="857"/>
      <c r="AS445" s="857"/>
      <c r="AT445" s="855"/>
      <c r="AV445" s="857"/>
      <c r="AW445" s="857"/>
      <c r="AX445" s="857"/>
      <c r="AY445" s="857"/>
      <c r="AZ445" s="857"/>
      <c r="BA445" s="857"/>
      <c r="BB445" s="857"/>
      <c r="BC445" s="857"/>
      <c r="BD445" s="857"/>
      <c r="BE445" s="857"/>
      <c r="BF445" s="857"/>
      <c r="BG445" s="857"/>
    </row>
    <row r="446" spans="1:59" ht="15.75" customHeight="1">
      <c r="A446" s="857"/>
      <c r="B446" s="857"/>
      <c r="C446" s="857"/>
      <c r="D446" s="857"/>
      <c r="E446" s="857"/>
      <c r="F446" s="857"/>
      <c r="G446" s="857"/>
      <c r="H446" s="857"/>
      <c r="I446" s="857"/>
      <c r="J446" s="857"/>
      <c r="K446" s="857"/>
      <c r="L446" s="857"/>
      <c r="M446" s="857"/>
      <c r="N446" s="857"/>
      <c r="O446" s="857"/>
      <c r="P446" s="857"/>
      <c r="Q446" s="857"/>
      <c r="R446" s="857"/>
      <c r="S446" s="857"/>
      <c r="T446" s="857"/>
      <c r="U446" s="857"/>
      <c r="V446" s="857"/>
      <c r="W446" s="857"/>
      <c r="X446" s="857"/>
      <c r="Y446" s="857"/>
      <c r="Z446" s="857"/>
      <c r="AA446" s="857"/>
      <c r="AB446" s="857"/>
      <c r="AC446" s="857"/>
      <c r="AD446" s="857"/>
      <c r="AE446" s="857"/>
      <c r="AF446" s="857"/>
      <c r="AG446" s="857"/>
      <c r="AH446" s="857"/>
      <c r="AI446" s="857"/>
      <c r="AJ446" s="857"/>
      <c r="AK446" s="857"/>
      <c r="AL446" s="857"/>
      <c r="AM446" s="857"/>
      <c r="AN446" s="857"/>
      <c r="AO446" s="857"/>
      <c r="AP446" s="857"/>
      <c r="AQ446" s="857"/>
      <c r="AR446" s="857"/>
      <c r="AS446" s="857"/>
      <c r="AT446" s="855"/>
      <c r="AV446" s="857"/>
      <c r="AW446" s="857"/>
      <c r="AX446" s="857"/>
      <c r="AY446" s="857"/>
      <c r="AZ446" s="857"/>
      <c r="BA446" s="857"/>
      <c r="BB446" s="857"/>
      <c r="BC446" s="857"/>
      <c r="BD446" s="857"/>
      <c r="BE446" s="857"/>
      <c r="BF446" s="857"/>
      <c r="BG446" s="857"/>
    </row>
    <row r="447" spans="1:59" ht="15.75" customHeight="1">
      <c r="A447" s="857"/>
      <c r="B447" s="857"/>
      <c r="C447" s="857"/>
      <c r="D447" s="857"/>
      <c r="E447" s="857"/>
      <c r="F447" s="857"/>
      <c r="G447" s="857"/>
      <c r="H447" s="857"/>
      <c r="I447" s="857"/>
      <c r="J447" s="857"/>
      <c r="K447" s="857"/>
      <c r="L447" s="857"/>
      <c r="M447" s="857"/>
      <c r="N447" s="857"/>
      <c r="O447" s="857"/>
      <c r="P447" s="857"/>
      <c r="Q447" s="857"/>
      <c r="R447" s="857"/>
      <c r="S447" s="857"/>
      <c r="T447" s="857"/>
      <c r="U447" s="857"/>
      <c r="V447" s="857"/>
      <c r="W447" s="857"/>
      <c r="X447" s="857"/>
      <c r="Y447" s="857"/>
      <c r="Z447" s="857"/>
      <c r="AA447" s="857"/>
      <c r="AB447" s="857"/>
      <c r="AC447" s="857"/>
      <c r="AD447" s="857"/>
      <c r="AE447" s="857"/>
      <c r="AF447" s="857"/>
      <c r="AG447" s="857"/>
      <c r="AH447" s="857"/>
      <c r="AI447" s="857"/>
      <c r="AJ447" s="857"/>
      <c r="AK447" s="857"/>
      <c r="AL447" s="857"/>
      <c r="AM447" s="857"/>
      <c r="AN447" s="857"/>
      <c r="AO447" s="857"/>
      <c r="AP447" s="857"/>
      <c r="AQ447" s="857"/>
      <c r="AR447" s="857"/>
      <c r="AS447" s="857"/>
      <c r="AT447" s="855"/>
      <c r="AV447" s="857"/>
      <c r="AW447" s="857"/>
      <c r="AX447" s="857"/>
      <c r="AY447" s="857"/>
      <c r="AZ447" s="857"/>
      <c r="BA447" s="857"/>
      <c r="BB447" s="857"/>
      <c r="BC447" s="857"/>
      <c r="BD447" s="857"/>
      <c r="BE447" s="857"/>
      <c r="BF447" s="857"/>
      <c r="BG447" s="857"/>
    </row>
    <row r="448" spans="1:59" ht="15.75" customHeight="1">
      <c r="A448" s="857"/>
      <c r="B448" s="857"/>
      <c r="C448" s="857"/>
      <c r="D448" s="857"/>
      <c r="E448" s="857"/>
      <c r="F448" s="857"/>
      <c r="G448" s="857"/>
      <c r="H448" s="857"/>
      <c r="I448" s="857"/>
      <c r="J448" s="857"/>
      <c r="K448" s="857"/>
      <c r="L448" s="857"/>
      <c r="M448" s="857"/>
      <c r="N448" s="857"/>
      <c r="O448" s="857"/>
      <c r="P448" s="857"/>
      <c r="Q448" s="857"/>
      <c r="R448" s="857"/>
      <c r="S448" s="857"/>
      <c r="T448" s="857"/>
      <c r="U448" s="857"/>
      <c r="V448" s="857"/>
      <c r="W448" s="857"/>
      <c r="X448" s="857"/>
      <c r="Y448" s="857"/>
      <c r="Z448" s="857"/>
      <c r="AA448" s="857"/>
      <c r="AB448" s="857"/>
      <c r="AC448" s="857"/>
      <c r="AD448" s="857"/>
      <c r="AE448" s="857"/>
      <c r="AF448" s="857"/>
      <c r="AG448" s="857"/>
      <c r="AH448" s="857"/>
      <c r="AI448" s="857"/>
      <c r="AJ448" s="857"/>
      <c r="AK448" s="857"/>
      <c r="AL448" s="857"/>
      <c r="AM448" s="857"/>
      <c r="AN448" s="857"/>
      <c r="AO448" s="857"/>
      <c r="AP448" s="857"/>
      <c r="AQ448" s="857"/>
      <c r="AR448" s="857"/>
      <c r="AS448" s="857"/>
      <c r="AT448" s="855"/>
      <c r="AV448" s="857"/>
      <c r="AW448" s="857"/>
      <c r="AX448" s="857"/>
      <c r="AY448" s="857"/>
      <c r="AZ448" s="857"/>
      <c r="BA448" s="857"/>
      <c r="BB448" s="857"/>
      <c r="BC448" s="857"/>
      <c r="BD448" s="857"/>
      <c r="BE448" s="857"/>
      <c r="BF448" s="857"/>
      <c r="BG448" s="857"/>
    </row>
    <row r="449" spans="1:59" ht="15.75" customHeight="1">
      <c r="A449" s="857"/>
      <c r="B449" s="857"/>
      <c r="C449" s="857"/>
      <c r="D449" s="857"/>
      <c r="E449" s="857"/>
      <c r="F449" s="857"/>
      <c r="G449" s="857"/>
      <c r="H449" s="857"/>
      <c r="I449" s="857"/>
      <c r="J449" s="857"/>
      <c r="K449" s="857"/>
      <c r="L449" s="857"/>
      <c r="M449" s="857"/>
      <c r="N449" s="857"/>
      <c r="O449" s="857"/>
      <c r="P449" s="857"/>
      <c r="Q449" s="857"/>
      <c r="R449" s="857"/>
      <c r="S449" s="857"/>
      <c r="T449" s="857"/>
      <c r="U449" s="857"/>
      <c r="V449" s="857"/>
      <c r="W449" s="857"/>
      <c r="X449" s="857"/>
      <c r="Y449" s="857"/>
      <c r="Z449" s="857"/>
      <c r="AA449" s="857"/>
      <c r="AB449" s="857"/>
      <c r="AC449" s="857"/>
      <c r="AD449" s="857"/>
      <c r="AE449" s="857"/>
      <c r="AF449" s="857"/>
      <c r="AG449" s="857"/>
      <c r="AH449" s="857"/>
      <c r="AI449" s="857"/>
      <c r="AJ449" s="857"/>
      <c r="AK449" s="857"/>
      <c r="AL449" s="857"/>
      <c r="AM449" s="857"/>
      <c r="AN449" s="857"/>
      <c r="AO449" s="857"/>
      <c r="AP449" s="857"/>
      <c r="AQ449" s="857"/>
      <c r="AR449" s="857"/>
      <c r="AS449" s="857"/>
      <c r="AT449" s="855"/>
      <c r="AV449" s="857"/>
      <c r="AW449" s="857"/>
      <c r="AX449" s="857"/>
      <c r="AY449" s="857"/>
      <c r="AZ449" s="857"/>
      <c r="BA449" s="857"/>
      <c r="BB449" s="857"/>
      <c r="BC449" s="857"/>
      <c r="BD449" s="857"/>
      <c r="BE449" s="857"/>
      <c r="BF449" s="857"/>
      <c r="BG449" s="857"/>
    </row>
    <row r="450" spans="1:59" ht="15.75" customHeight="1">
      <c r="A450" s="857"/>
      <c r="B450" s="857"/>
      <c r="C450" s="857"/>
      <c r="D450" s="857"/>
      <c r="E450" s="857"/>
      <c r="F450" s="857"/>
      <c r="G450" s="857"/>
      <c r="H450" s="857"/>
      <c r="I450" s="857"/>
      <c r="J450" s="857"/>
      <c r="K450" s="857"/>
      <c r="L450" s="857"/>
      <c r="M450" s="857"/>
      <c r="N450" s="857"/>
      <c r="O450" s="857"/>
      <c r="P450" s="857"/>
      <c r="Q450" s="857"/>
      <c r="R450" s="857"/>
      <c r="S450" s="857"/>
      <c r="T450" s="857"/>
      <c r="U450" s="857"/>
      <c r="V450" s="857"/>
      <c r="W450" s="857"/>
      <c r="X450" s="857"/>
      <c r="Y450" s="857"/>
      <c r="Z450" s="857"/>
      <c r="AA450" s="857"/>
      <c r="AB450" s="857"/>
      <c r="AC450" s="857"/>
      <c r="AD450" s="857"/>
      <c r="AE450" s="857"/>
      <c r="AF450" s="857"/>
      <c r="AG450" s="857"/>
      <c r="AH450" s="857"/>
      <c r="AI450" s="857"/>
      <c r="AJ450" s="857"/>
      <c r="AK450" s="857"/>
      <c r="AL450" s="857"/>
      <c r="AM450" s="857"/>
      <c r="AN450" s="857"/>
      <c r="AO450" s="857"/>
      <c r="AP450" s="857"/>
      <c r="AQ450" s="857"/>
      <c r="AR450" s="857"/>
      <c r="AS450" s="857"/>
      <c r="AT450" s="855"/>
      <c r="AV450" s="857"/>
      <c r="AW450" s="857"/>
      <c r="AX450" s="857"/>
      <c r="AY450" s="857"/>
      <c r="AZ450" s="857"/>
      <c r="BA450" s="857"/>
      <c r="BB450" s="857"/>
      <c r="BC450" s="857"/>
      <c r="BD450" s="857"/>
      <c r="BE450" s="857"/>
      <c r="BF450" s="857"/>
      <c r="BG450" s="857"/>
    </row>
    <row r="451" spans="1:59" ht="15.75" customHeight="1">
      <c r="A451" s="857"/>
      <c r="B451" s="857"/>
      <c r="C451" s="857"/>
      <c r="D451" s="857"/>
      <c r="E451" s="857"/>
      <c r="F451" s="857"/>
      <c r="G451" s="857"/>
      <c r="H451" s="857"/>
      <c r="I451" s="857"/>
      <c r="J451" s="857"/>
      <c r="K451" s="857"/>
      <c r="L451" s="857"/>
      <c r="M451" s="857"/>
      <c r="N451" s="857"/>
      <c r="O451" s="857"/>
      <c r="P451" s="857"/>
      <c r="Q451" s="857"/>
      <c r="R451" s="857"/>
      <c r="S451" s="857"/>
      <c r="T451" s="857"/>
      <c r="U451" s="857"/>
      <c r="V451" s="857"/>
      <c r="W451" s="857"/>
      <c r="X451" s="857"/>
      <c r="Y451" s="857"/>
      <c r="Z451" s="857"/>
      <c r="AA451" s="857"/>
      <c r="AB451" s="857"/>
      <c r="AC451" s="857"/>
      <c r="AD451" s="857"/>
      <c r="AE451" s="857"/>
      <c r="AF451" s="857"/>
      <c r="AG451" s="857"/>
      <c r="AH451" s="857"/>
      <c r="AI451" s="857"/>
      <c r="AJ451" s="857"/>
      <c r="AK451" s="857"/>
      <c r="AL451" s="857"/>
      <c r="AM451" s="857"/>
      <c r="AN451" s="857"/>
      <c r="AO451" s="857"/>
      <c r="AP451" s="857"/>
      <c r="AQ451" s="857"/>
      <c r="AR451" s="857"/>
      <c r="AS451" s="857"/>
      <c r="AT451" s="855"/>
      <c r="AV451" s="857"/>
      <c r="AW451" s="857"/>
      <c r="AX451" s="857"/>
      <c r="AY451" s="857"/>
      <c r="AZ451" s="857"/>
      <c r="BA451" s="857"/>
      <c r="BB451" s="857"/>
      <c r="BC451" s="857"/>
      <c r="BD451" s="857"/>
      <c r="BE451" s="857"/>
      <c r="BF451" s="857"/>
      <c r="BG451" s="857"/>
    </row>
    <row r="452" spans="1:59" ht="15.75" customHeight="1">
      <c r="A452" s="857"/>
      <c r="B452" s="857"/>
      <c r="C452" s="857"/>
      <c r="D452" s="857"/>
      <c r="E452" s="857"/>
      <c r="F452" s="857"/>
      <c r="G452" s="857"/>
      <c r="H452" s="857"/>
      <c r="I452" s="857"/>
      <c r="J452" s="857"/>
      <c r="K452" s="857"/>
      <c r="L452" s="857"/>
      <c r="M452" s="857"/>
      <c r="N452" s="857"/>
      <c r="O452" s="857"/>
      <c r="P452" s="857"/>
      <c r="Q452" s="857"/>
      <c r="R452" s="857"/>
      <c r="S452" s="857"/>
      <c r="T452" s="857"/>
      <c r="U452" s="857"/>
      <c r="V452" s="857"/>
      <c r="W452" s="857"/>
      <c r="X452" s="857"/>
      <c r="Y452" s="857"/>
      <c r="Z452" s="857"/>
      <c r="AA452" s="857"/>
      <c r="AB452" s="857"/>
      <c r="AC452" s="857"/>
      <c r="AD452" s="857"/>
      <c r="AE452" s="857"/>
      <c r="AF452" s="857"/>
      <c r="AG452" s="857"/>
      <c r="AH452" s="857"/>
      <c r="AI452" s="857"/>
      <c r="AJ452" s="857"/>
      <c r="AK452" s="857"/>
      <c r="AL452" s="857"/>
      <c r="AM452" s="857"/>
      <c r="AN452" s="857"/>
      <c r="AO452" s="857"/>
      <c r="AP452" s="857"/>
      <c r="AQ452" s="857"/>
      <c r="AR452" s="857"/>
      <c r="AS452" s="857"/>
      <c r="AT452" s="855"/>
      <c r="AV452" s="857"/>
      <c r="AW452" s="857"/>
      <c r="AX452" s="857"/>
      <c r="AY452" s="857"/>
      <c r="AZ452" s="857"/>
      <c r="BA452" s="857"/>
      <c r="BB452" s="857"/>
      <c r="BC452" s="857"/>
      <c r="BD452" s="857"/>
      <c r="BE452" s="857"/>
      <c r="BF452" s="857"/>
      <c r="BG452" s="857"/>
    </row>
    <row r="453" spans="1:59" ht="15.75" customHeight="1">
      <c r="A453" s="857"/>
      <c r="B453" s="857"/>
      <c r="C453" s="857"/>
      <c r="D453" s="857"/>
      <c r="E453" s="857"/>
      <c r="F453" s="857"/>
      <c r="G453" s="857"/>
      <c r="H453" s="857"/>
      <c r="I453" s="857"/>
      <c r="J453" s="857"/>
      <c r="K453" s="857"/>
      <c r="L453" s="857"/>
      <c r="M453" s="857"/>
      <c r="N453" s="857"/>
      <c r="O453" s="857"/>
      <c r="P453" s="857"/>
      <c r="Q453" s="857"/>
      <c r="R453" s="857"/>
      <c r="S453" s="857"/>
      <c r="T453" s="857"/>
      <c r="U453" s="857"/>
      <c r="V453" s="857"/>
      <c r="W453" s="857"/>
      <c r="X453" s="857"/>
      <c r="Y453" s="857"/>
      <c r="Z453" s="857"/>
      <c r="AA453" s="857"/>
      <c r="AB453" s="857"/>
      <c r="AC453" s="857"/>
      <c r="AD453" s="857"/>
      <c r="AE453" s="857"/>
      <c r="AF453" s="857"/>
      <c r="AG453" s="857"/>
      <c r="AH453" s="857"/>
      <c r="AI453" s="857"/>
      <c r="AJ453" s="857"/>
      <c r="AK453" s="857"/>
      <c r="AL453" s="857"/>
      <c r="AM453" s="857"/>
      <c r="AN453" s="857"/>
      <c r="AO453" s="857"/>
      <c r="AP453" s="857"/>
      <c r="AQ453" s="857"/>
      <c r="AR453" s="857"/>
      <c r="AS453" s="857"/>
      <c r="AT453" s="855"/>
      <c r="AV453" s="857"/>
      <c r="AW453" s="857"/>
      <c r="AX453" s="857"/>
      <c r="AY453" s="857"/>
      <c r="AZ453" s="857"/>
      <c r="BA453" s="857"/>
      <c r="BB453" s="857"/>
      <c r="BC453" s="857"/>
      <c r="BD453" s="857"/>
      <c r="BE453" s="857"/>
      <c r="BF453" s="857"/>
      <c r="BG453" s="857"/>
    </row>
    <row r="454" spans="1:59" ht="15.75" customHeight="1">
      <c r="A454" s="857"/>
      <c r="B454" s="857"/>
      <c r="C454" s="857"/>
      <c r="D454" s="857"/>
      <c r="E454" s="857"/>
      <c r="F454" s="857"/>
      <c r="G454" s="857"/>
      <c r="H454" s="857"/>
      <c r="I454" s="857"/>
      <c r="J454" s="857"/>
      <c r="K454" s="857"/>
      <c r="L454" s="857"/>
      <c r="M454" s="857"/>
      <c r="N454" s="857"/>
      <c r="O454" s="857"/>
      <c r="P454" s="857"/>
      <c r="Q454" s="857"/>
      <c r="R454" s="857"/>
      <c r="S454" s="857"/>
      <c r="T454" s="857"/>
      <c r="U454" s="857"/>
      <c r="V454" s="857"/>
      <c r="W454" s="857"/>
      <c r="X454" s="857"/>
      <c r="Y454" s="857"/>
      <c r="Z454" s="857"/>
      <c r="AA454" s="857"/>
      <c r="AB454" s="857"/>
      <c r="AC454" s="857"/>
      <c r="AD454" s="857"/>
      <c r="AE454" s="857"/>
      <c r="AF454" s="857"/>
      <c r="AG454" s="857"/>
      <c r="AH454" s="857"/>
      <c r="AI454" s="857"/>
      <c r="AJ454" s="857"/>
      <c r="AK454" s="857"/>
      <c r="AL454" s="857"/>
      <c r="AM454" s="857"/>
      <c r="AN454" s="857"/>
      <c r="AO454" s="857"/>
      <c r="AP454" s="857"/>
      <c r="AQ454" s="857"/>
      <c r="AR454" s="857"/>
      <c r="AS454" s="857"/>
      <c r="AT454" s="855"/>
      <c r="AV454" s="857"/>
      <c r="AW454" s="857"/>
      <c r="AX454" s="857"/>
      <c r="AY454" s="857"/>
      <c r="AZ454" s="857"/>
      <c r="BA454" s="857"/>
      <c r="BB454" s="857"/>
      <c r="BC454" s="857"/>
      <c r="BD454" s="857"/>
      <c r="BE454" s="857"/>
      <c r="BF454" s="857"/>
      <c r="BG454" s="857"/>
    </row>
    <row r="455" spans="1:59" ht="15.75" customHeight="1">
      <c r="A455" s="857"/>
      <c r="B455" s="857"/>
      <c r="C455" s="857"/>
      <c r="D455" s="857"/>
      <c r="E455" s="857"/>
      <c r="F455" s="857"/>
      <c r="G455" s="857"/>
      <c r="H455" s="857"/>
      <c r="I455" s="857"/>
      <c r="J455" s="857"/>
      <c r="K455" s="857"/>
      <c r="L455" s="857"/>
      <c r="M455" s="857"/>
      <c r="N455" s="857"/>
      <c r="O455" s="857"/>
      <c r="P455" s="857"/>
      <c r="Q455" s="857"/>
      <c r="R455" s="857"/>
      <c r="S455" s="857"/>
      <c r="T455" s="857"/>
      <c r="U455" s="857"/>
      <c r="V455" s="857"/>
      <c r="W455" s="857"/>
      <c r="X455" s="857"/>
      <c r="Y455" s="857"/>
      <c r="Z455" s="857"/>
      <c r="AA455" s="857"/>
      <c r="AB455" s="857"/>
      <c r="AC455" s="857"/>
      <c r="AD455" s="857"/>
      <c r="AE455" s="857"/>
      <c r="AF455" s="857"/>
      <c r="AG455" s="857"/>
      <c r="AH455" s="857"/>
      <c r="AI455" s="857"/>
      <c r="AJ455" s="857"/>
      <c r="AK455" s="857"/>
      <c r="AL455" s="857"/>
      <c r="AM455" s="857"/>
      <c r="AN455" s="857"/>
      <c r="AO455" s="857"/>
      <c r="AP455" s="857"/>
      <c r="AQ455" s="857"/>
      <c r="AR455" s="857"/>
      <c r="AS455" s="857"/>
      <c r="AT455" s="855"/>
      <c r="AV455" s="857"/>
      <c r="AW455" s="857"/>
      <c r="AX455" s="857"/>
      <c r="AY455" s="857"/>
      <c r="AZ455" s="857"/>
      <c r="BA455" s="857"/>
      <c r="BB455" s="857"/>
      <c r="BC455" s="857"/>
      <c r="BD455" s="857"/>
      <c r="BE455" s="857"/>
      <c r="BF455" s="857"/>
      <c r="BG455" s="857"/>
    </row>
    <row r="456" spans="1:59" ht="15.75" customHeight="1">
      <c r="A456" s="857"/>
      <c r="B456" s="857"/>
      <c r="C456" s="857"/>
      <c r="D456" s="857"/>
      <c r="E456" s="857"/>
      <c r="F456" s="857"/>
      <c r="G456" s="857"/>
      <c r="H456" s="857"/>
      <c r="I456" s="857"/>
      <c r="J456" s="857"/>
      <c r="K456" s="857"/>
      <c r="L456" s="857"/>
      <c r="M456" s="857"/>
      <c r="N456" s="857"/>
      <c r="O456" s="857"/>
      <c r="P456" s="857"/>
      <c r="Q456" s="857"/>
      <c r="R456" s="857"/>
      <c r="S456" s="857"/>
      <c r="T456" s="857"/>
      <c r="U456" s="857"/>
      <c r="V456" s="857"/>
      <c r="W456" s="857"/>
      <c r="X456" s="857"/>
      <c r="Y456" s="857"/>
      <c r="Z456" s="857"/>
      <c r="AA456" s="857"/>
      <c r="AB456" s="857"/>
      <c r="AC456" s="857"/>
      <c r="AD456" s="857"/>
      <c r="AE456" s="857"/>
      <c r="AF456" s="857"/>
      <c r="AG456" s="857"/>
      <c r="AH456" s="857"/>
      <c r="AI456" s="857"/>
      <c r="AJ456" s="857"/>
      <c r="AK456" s="857"/>
      <c r="AL456" s="857"/>
      <c r="AM456" s="857"/>
      <c r="AN456" s="857"/>
      <c r="AO456" s="857"/>
      <c r="AP456" s="857"/>
      <c r="AQ456" s="857"/>
      <c r="AR456" s="857"/>
      <c r="AS456" s="857"/>
      <c r="AT456" s="855"/>
      <c r="AV456" s="857"/>
      <c r="AW456" s="857"/>
      <c r="AX456" s="857"/>
      <c r="AY456" s="857"/>
      <c r="AZ456" s="857"/>
      <c r="BA456" s="857"/>
      <c r="BB456" s="857"/>
      <c r="BC456" s="857"/>
      <c r="BD456" s="857"/>
      <c r="BE456" s="857"/>
      <c r="BF456" s="857"/>
      <c r="BG456" s="857"/>
    </row>
    <row r="457" spans="1:59" ht="15.75" customHeight="1">
      <c r="A457" s="857"/>
      <c r="B457" s="857"/>
      <c r="C457" s="857"/>
      <c r="D457" s="857"/>
      <c r="E457" s="857"/>
      <c r="F457" s="857"/>
      <c r="G457" s="857"/>
      <c r="H457" s="857"/>
      <c r="I457" s="857"/>
      <c r="J457" s="857"/>
      <c r="K457" s="857"/>
      <c r="L457" s="857"/>
      <c r="M457" s="857"/>
      <c r="N457" s="857"/>
      <c r="O457" s="857"/>
      <c r="P457" s="857"/>
      <c r="Q457" s="857"/>
      <c r="R457" s="857"/>
      <c r="S457" s="857"/>
      <c r="T457" s="857"/>
      <c r="U457" s="857"/>
      <c r="V457" s="857"/>
      <c r="W457" s="857"/>
      <c r="X457" s="857"/>
      <c r="Y457" s="857"/>
      <c r="Z457" s="857"/>
      <c r="AA457" s="857"/>
      <c r="AB457" s="857"/>
      <c r="AC457" s="857"/>
      <c r="AD457" s="857"/>
      <c r="AE457" s="857"/>
      <c r="AF457" s="857"/>
      <c r="AG457" s="857"/>
      <c r="AH457" s="857"/>
      <c r="AI457" s="857"/>
      <c r="AJ457" s="857"/>
      <c r="AK457" s="857"/>
      <c r="AL457" s="857"/>
      <c r="AM457" s="857"/>
      <c r="AN457" s="857"/>
      <c r="AO457" s="857"/>
      <c r="AP457" s="857"/>
      <c r="AQ457" s="857"/>
      <c r="AR457" s="857"/>
      <c r="AS457" s="857"/>
      <c r="AT457" s="855"/>
      <c r="AV457" s="857"/>
      <c r="AW457" s="857"/>
      <c r="AX457" s="857"/>
      <c r="AY457" s="857"/>
      <c r="AZ457" s="857"/>
      <c r="BA457" s="857"/>
      <c r="BB457" s="857"/>
      <c r="BC457" s="857"/>
      <c r="BD457" s="857"/>
      <c r="BE457" s="857"/>
      <c r="BF457" s="857"/>
      <c r="BG457" s="857"/>
    </row>
    <row r="458" spans="1:59" ht="15.75" customHeight="1">
      <c r="A458" s="857"/>
      <c r="B458" s="857"/>
      <c r="C458" s="857"/>
      <c r="D458" s="857"/>
      <c r="E458" s="857"/>
      <c r="F458" s="857"/>
      <c r="G458" s="857"/>
      <c r="H458" s="857"/>
      <c r="I458" s="857"/>
      <c r="J458" s="857"/>
      <c r="K458" s="857"/>
      <c r="L458" s="857"/>
      <c r="M458" s="857"/>
      <c r="N458" s="857"/>
      <c r="O458" s="857"/>
      <c r="P458" s="857"/>
      <c r="Q458" s="857"/>
      <c r="R458" s="857"/>
      <c r="S458" s="857"/>
      <c r="T458" s="857"/>
      <c r="U458" s="857"/>
      <c r="V458" s="857"/>
      <c r="W458" s="857"/>
      <c r="X458" s="857"/>
      <c r="Y458" s="857"/>
      <c r="Z458" s="857"/>
      <c r="AA458" s="857"/>
      <c r="AB458" s="857"/>
      <c r="AC458" s="857"/>
      <c r="AD458" s="857"/>
      <c r="AE458" s="857"/>
      <c r="AF458" s="857"/>
      <c r="AG458" s="857"/>
      <c r="AH458" s="857"/>
      <c r="AI458" s="857"/>
      <c r="AJ458" s="857"/>
      <c r="AK458" s="857"/>
      <c r="AL458" s="857"/>
      <c r="AM458" s="857"/>
      <c r="AN458" s="857"/>
      <c r="AO458" s="857"/>
      <c r="AP458" s="857"/>
      <c r="AQ458" s="857"/>
      <c r="AR458" s="857"/>
      <c r="AS458" s="857"/>
      <c r="AT458" s="855"/>
      <c r="AV458" s="857"/>
      <c r="AW458" s="857"/>
      <c r="AX458" s="857"/>
      <c r="AY458" s="857"/>
      <c r="AZ458" s="857"/>
      <c r="BA458" s="857"/>
      <c r="BB458" s="857"/>
      <c r="BC458" s="857"/>
      <c r="BD458" s="857"/>
      <c r="BE458" s="857"/>
      <c r="BF458" s="857"/>
      <c r="BG458" s="857"/>
    </row>
    <row r="459" spans="1:59" ht="15.75" customHeight="1">
      <c r="A459" s="857"/>
      <c r="B459" s="857"/>
      <c r="C459" s="857"/>
      <c r="D459" s="857"/>
      <c r="E459" s="857"/>
      <c r="F459" s="857"/>
      <c r="G459" s="857"/>
      <c r="H459" s="857"/>
      <c r="I459" s="857"/>
      <c r="J459" s="857"/>
      <c r="K459" s="857"/>
      <c r="L459" s="857"/>
      <c r="M459" s="857"/>
      <c r="N459" s="857"/>
      <c r="O459" s="857"/>
      <c r="P459" s="857"/>
      <c r="Q459" s="857"/>
      <c r="R459" s="857"/>
      <c r="S459" s="857"/>
      <c r="T459" s="857"/>
      <c r="U459" s="857"/>
      <c r="V459" s="857"/>
      <c r="W459" s="857"/>
      <c r="X459" s="857"/>
      <c r="Y459" s="857"/>
      <c r="Z459" s="857"/>
      <c r="AA459" s="857"/>
      <c r="AB459" s="857"/>
      <c r="AC459" s="857"/>
      <c r="AD459" s="857"/>
      <c r="AE459" s="857"/>
      <c r="AF459" s="857"/>
      <c r="AG459" s="857"/>
      <c r="AH459" s="857"/>
      <c r="AI459" s="857"/>
      <c r="AJ459" s="857"/>
      <c r="AK459" s="857"/>
      <c r="AL459" s="857"/>
      <c r="AM459" s="857"/>
      <c r="AN459" s="857"/>
      <c r="AO459" s="857"/>
      <c r="AP459" s="857"/>
      <c r="AQ459" s="857"/>
      <c r="AR459" s="857"/>
      <c r="AS459" s="857"/>
      <c r="AT459" s="855"/>
      <c r="AV459" s="857"/>
      <c r="AW459" s="857"/>
      <c r="AX459" s="857"/>
      <c r="AY459" s="857"/>
      <c r="AZ459" s="857"/>
      <c r="BA459" s="857"/>
      <c r="BB459" s="857"/>
      <c r="BC459" s="857"/>
      <c r="BD459" s="857"/>
      <c r="BE459" s="857"/>
      <c r="BF459" s="857"/>
      <c r="BG459" s="857"/>
    </row>
    <row r="460" spans="1:59" ht="15.75" customHeight="1">
      <c r="A460" s="857"/>
      <c r="B460" s="857"/>
      <c r="C460" s="857"/>
      <c r="D460" s="857"/>
      <c r="E460" s="857"/>
      <c r="F460" s="857"/>
      <c r="G460" s="857"/>
      <c r="H460" s="857"/>
      <c r="I460" s="857"/>
      <c r="J460" s="857"/>
      <c r="K460" s="857"/>
      <c r="L460" s="857"/>
      <c r="M460" s="857"/>
      <c r="N460" s="857"/>
      <c r="O460" s="857"/>
      <c r="P460" s="857"/>
      <c r="Q460" s="857"/>
      <c r="R460" s="857"/>
      <c r="S460" s="857"/>
      <c r="T460" s="857"/>
      <c r="U460" s="857"/>
      <c r="V460" s="857"/>
      <c r="W460" s="857"/>
      <c r="X460" s="857"/>
      <c r="Y460" s="857"/>
      <c r="Z460" s="857"/>
      <c r="AA460" s="857"/>
      <c r="AB460" s="857"/>
      <c r="AC460" s="857"/>
      <c r="AD460" s="857"/>
      <c r="AE460" s="857"/>
      <c r="AF460" s="857"/>
      <c r="AG460" s="857"/>
      <c r="AH460" s="857"/>
      <c r="AI460" s="857"/>
      <c r="AJ460" s="857"/>
      <c r="AK460" s="857"/>
      <c r="AL460" s="857"/>
      <c r="AM460" s="857"/>
      <c r="AN460" s="857"/>
      <c r="AO460" s="857"/>
      <c r="AP460" s="857"/>
      <c r="AQ460" s="857"/>
      <c r="AR460" s="857"/>
      <c r="AS460" s="857"/>
      <c r="AT460" s="855"/>
      <c r="AV460" s="857"/>
      <c r="AW460" s="857"/>
      <c r="AX460" s="857"/>
      <c r="AY460" s="857"/>
      <c r="AZ460" s="857"/>
      <c r="BA460" s="857"/>
      <c r="BB460" s="857"/>
      <c r="BC460" s="857"/>
      <c r="BD460" s="857"/>
      <c r="BE460" s="857"/>
      <c r="BF460" s="857"/>
      <c r="BG460" s="857"/>
    </row>
    <row r="461" spans="1:59" ht="15.75" customHeight="1">
      <c r="A461" s="857"/>
      <c r="B461" s="857"/>
      <c r="C461" s="857"/>
      <c r="D461" s="857"/>
      <c r="E461" s="857"/>
      <c r="F461" s="857"/>
      <c r="G461" s="857"/>
      <c r="H461" s="857"/>
      <c r="I461" s="857"/>
      <c r="J461" s="857"/>
      <c r="K461" s="857"/>
      <c r="L461" s="857"/>
      <c r="M461" s="857"/>
      <c r="N461" s="857"/>
      <c r="O461" s="857"/>
      <c r="P461" s="857"/>
      <c r="Q461" s="857"/>
      <c r="R461" s="857"/>
      <c r="S461" s="857"/>
      <c r="T461" s="857"/>
      <c r="U461" s="857"/>
      <c r="V461" s="857"/>
      <c r="W461" s="857"/>
      <c r="X461" s="857"/>
      <c r="Y461" s="857"/>
      <c r="Z461" s="857"/>
      <c r="AA461" s="857"/>
      <c r="AB461" s="857"/>
      <c r="AC461" s="857"/>
      <c r="AD461" s="857"/>
      <c r="AE461" s="857"/>
      <c r="AF461" s="857"/>
      <c r="AG461" s="857"/>
      <c r="AH461" s="857"/>
      <c r="AI461" s="857"/>
      <c r="AJ461" s="857"/>
      <c r="AK461" s="857"/>
      <c r="AL461" s="857"/>
      <c r="AM461" s="857"/>
      <c r="AN461" s="857"/>
      <c r="AO461" s="857"/>
      <c r="AP461" s="857"/>
      <c r="AQ461" s="857"/>
      <c r="AR461" s="857"/>
      <c r="AS461" s="857"/>
      <c r="AT461" s="855"/>
      <c r="AV461" s="857"/>
      <c r="AW461" s="857"/>
      <c r="AX461" s="857"/>
      <c r="AY461" s="857"/>
      <c r="AZ461" s="857"/>
      <c r="BA461" s="857"/>
      <c r="BB461" s="857"/>
      <c r="BC461" s="857"/>
      <c r="BD461" s="857"/>
      <c r="BE461" s="857"/>
      <c r="BF461" s="857"/>
      <c r="BG461" s="857"/>
    </row>
    <row r="462" spans="1:59" ht="15.75" customHeight="1">
      <c r="A462" s="857"/>
      <c r="B462" s="857"/>
      <c r="C462" s="857"/>
      <c r="D462" s="857"/>
      <c r="E462" s="857"/>
      <c r="F462" s="857"/>
      <c r="G462" s="857"/>
      <c r="H462" s="857"/>
      <c r="I462" s="857"/>
      <c r="J462" s="857"/>
      <c r="K462" s="857"/>
      <c r="L462" s="857"/>
      <c r="M462" s="857"/>
      <c r="N462" s="857"/>
      <c r="O462" s="857"/>
      <c r="P462" s="857"/>
      <c r="Q462" s="857"/>
      <c r="R462" s="857"/>
      <c r="S462" s="857"/>
      <c r="T462" s="857"/>
      <c r="U462" s="857"/>
      <c r="V462" s="857"/>
      <c r="W462" s="857"/>
      <c r="X462" s="857"/>
      <c r="Y462" s="857"/>
      <c r="Z462" s="857"/>
      <c r="AA462" s="857"/>
      <c r="AB462" s="857"/>
      <c r="AC462" s="857"/>
      <c r="AD462" s="857"/>
      <c r="AE462" s="857"/>
      <c r="AF462" s="857"/>
      <c r="AG462" s="857"/>
      <c r="AH462" s="857"/>
      <c r="AI462" s="857"/>
      <c r="AJ462" s="857"/>
      <c r="AK462" s="857"/>
      <c r="AL462" s="857"/>
      <c r="AM462" s="857"/>
      <c r="AN462" s="857"/>
      <c r="AO462" s="857"/>
      <c r="AP462" s="857"/>
      <c r="AQ462" s="857"/>
      <c r="AR462" s="857"/>
      <c r="AS462" s="857"/>
      <c r="AT462" s="855"/>
      <c r="AV462" s="857"/>
      <c r="AW462" s="857"/>
      <c r="AX462" s="857"/>
      <c r="AY462" s="857"/>
      <c r="AZ462" s="857"/>
      <c r="BA462" s="857"/>
      <c r="BB462" s="857"/>
      <c r="BC462" s="857"/>
      <c r="BD462" s="857"/>
      <c r="BE462" s="857"/>
      <c r="BF462" s="857"/>
      <c r="BG462" s="857"/>
    </row>
    <row r="463" spans="1:59" ht="15.75" customHeight="1">
      <c r="A463" s="857"/>
      <c r="B463" s="857"/>
      <c r="C463" s="857"/>
      <c r="D463" s="857"/>
      <c r="E463" s="857"/>
      <c r="F463" s="857"/>
      <c r="G463" s="857"/>
      <c r="H463" s="857"/>
      <c r="I463" s="857"/>
      <c r="J463" s="857"/>
      <c r="K463" s="857"/>
      <c r="L463" s="857"/>
      <c r="M463" s="857"/>
      <c r="N463" s="857"/>
      <c r="O463" s="857"/>
      <c r="P463" s="857"/>
      <c r="Q463" s="857"/>
      <c r="R463" s="857"/>
      <c r="S463" s="857"/>
      <c r="T463" s="857"/>
      <c r="U463" s="857"/>
      <c r="V463" s="857"/>
      <c r="W463" s="857"/>
      <c r="X463" s="857"/>
      <c r="Y463" s="857"/>
      <c r="Z463" s="857"/>
      <c r="AA463" s="857"/>
      <c r="AB463" s="857"/>
      <c r="AC463" s="857"/>
      <c r="AD463" s="857"/>
      <c r="AE463" s="857"/>
      <c r="AF463" s="857"/>
      <c r="AG463" s="857"/>
      <c r="AH463" s="857"/>
      <c r="AI463" s="857"/>
      <c r="AJ463" s="857"/>
      <c r="AK463" s="857"/>
      <c r="AL463" s="857"/>
      <c r="AM463" s="857"/>
      <c r="AN463" s="857"/>
      <c r="AO463" s="857"/>
      <c r="AP463" s="857"/>
      <c r="AQ463" s="857"/>
      <c r="AR463" s="857"/>
      <c r="AS463" s="857"/>
      <c r="AT463" s="855"/>
      <c r="AV463" s="857"/>
      <c r="AW463" s="857"/>
      <c r="AX463" s="857"/>
      <c r="AY463" s="857"/>
      <c r="AZ463" s="857"/>
      <c r="BA463" s="857"/>
      <c r="BB463" s="857"/>
      <c r="BC463" s="857"/>
      <c r="BD463" s="857"/>
      <c r="BE463" s="857"/>
      <c r="BF463" s="857"/>
      <c r="BG463" s="857"/>
    </row>
    <row r="464" spans="1:59" ht="15.75" customHeight="1">
      <c r="A464" s="857"/>
      <c r="B464" s="857"/>
      <c r="C464" s="857"/>
      <c r="D464" s="857"/>
      <c r="E464" s="857"/>
      <c r="F464" s="857"/>
      <c r="G464" s="857"/>
      <c r="H464" s="857"/>
      <c r="I464" s="857"/>
      <c r="J464" s="857"/>
      <c r="K464" s="857"/>
      <c r="L464" s="857"/>
      <c r="M464" s="857"/>
      <c r="N464" s="857"/>
      <c r="O464" s="857"/>
      <c r="P464" s="857"/>
      <c r="Q464" s="857"/>
      <c r="R464" s="857"/>
      <c r="S464" s="857"/>
      <c r="T464" s="857"/>
      <c r="U464" s="857"/>
      <c r="V464" s="857"/>
      <c r="W464" s="857"/>
      <c r="X464" s="857"/>
      <c r="Y464" s="857"/>
      <c r="Z464" s="857"/>
      <c r="AA464" s="857"/>
      <c r="AB464" s="857"/>
      <c r="AC464" s="857"/>
      <c r="AD464" s="857"/>
      <c r="AE464" s="857"/>
      <c r="AF464" s="857"/>
      <c r="AG464" s="857"/>
      <c r="AH464" s="857"/>
      <c r="AI464" s="857"/>
      <c r="AJ464" s="857"/>
      <c r="AK464" s="857"/>
      <c r="AL464" s="857"/>
      <c r="AM464" s="857"/>
      <c r="AN464" s="857"/>
      <c r="AO464" s="857"/>
      <c r="AP464" s="857"/>
      <c r="AQ464" s="857"/>
      <c r="AR464" s="857"/>
      <c r="AS464" s="857"/>
      <c r="AT464" s="855"/>
      <c r="AV464" s="857"/>
      <c r="AW464" s="857"/>
      <c r="AX464" s="857"/>
      <c r="AY464" s="857"/>
      <c r="AZ464" s="857"/>
      <c r="BA464" s="857"/>
      <c r="BB464" s="857"/>
      <c r="BC464" s="857"/>
      <c r="BD464" s="857"/>
      <c r="BE464" s="857"/>
      <c r="BF464" s="857"/>
      <c r="BG464" s="857"/>
    </row>
    <row r="465" spans="1:59" ht="15.75" customHeight="1">
      <c r="A465" s="857"/>
      <c r="B465" s="857"/>
      <c r="C465" s="857"/>
      <c r="D465" s="857"/>
      <c r="E465" s="857"/>
      <c r="F465" s="857"/>
      <c r="G465" s="857"/>
      <c r="H465" s="857"/>
      <c r="I465" s="857"/>
      <c r="J465" s="857"/>
      <c r="K465" s="857"/>
      <c r="L465" s="857"/>
      <c r="M465" s="857"/>
      <c r="N465" s="857"/>
      <c r="O465" s="857"/>
      <c r="P465" s="857"/>
      <c r="Q465" s="857"/>
      <c r="R465" s="857"/>
      <c r="S465" s="857"/>
      <c r="T465" s="857"/>
      <c r="U465" s="857"/>
      <c r="V465" s="857"/>
      <c r="W465" s="857"/>
      <c r="X465" s="857"/>
      <c r="Y465" s="857"/>
      <c r="Z465" s="857"/>
      <c r="AA465" s="857"/>
      <c r="AB465" s="857"/>
      <c r="AC465" s="857"/>
      <c r="AD465" s="857"/>
      <c r="AE465" s="857"/>
      <c r="AF465" s="857"/>
      <c r="AG465" s="857"/>
      <c r="AH465" s="857"/>
      <c r="AI465" s="857"/>
      <c r="AJ465" s="857"/>
      <c r="AK465" s="857"/>
      <c r="AL465" s="857"/>
      <c r="AM465" s="857"/>
      <c r="AN465" s="857"/>
      <c r="AO465" s="857"/>
      <c r="AP465" s="857"/>
      <c r="AQ465" s="857"/>
      <c r="AR465" s="857"/>
      <c r="AS465" s="857"/>
      <c r="AT465" s="855"/>
      <c r="AV465" s="857"/>
      <c r="AW465" s="857"/>
      <c r="AX465" s="857"/>
      <c r="AY465" s="857"/>
      <c r="AZ465" s="857"/>
      <c r="BA465" s="857"/>
      <c r="BB465" s="857"/>
      <c r="BC465" s="857"/>
      <c r="BD465" s="857"/>
      <c r="BE465" s="857"/>
      <c r="BF465" s="857"/>
      <c r="BG465" s="857"/>
    </row>
    <row r="466" spans="1:59" ht="15.75" customHeight="1">
      <c r="A466" s="857"/>
      <c r="B466" s="857"/>
      <c r="C466" s="857"/>
      <c r="D466" s="857"/>
      <c r="E466" s="857"/>
      <c r="F466" s="857"/>
      <c r="G466" s="857"/>
      <c r="H466" s="857"/>
      <c r="I466" s="857"/>
      <c r="J466" s="857"/>
      <c r="K466" s="857"/>
      <c r="L466" s="857"/>
      <c r="M466" s="857"/>
      <c r="N466" s="857"/>
      <c r="O466" s="857"/>
      <c r="P466" s="857"/>
      <c r="Q466" s="857"/>
      <c r="R466" s="857"/>
      <c r="S466" s="857"/>
      <c r="T466" s="857"/>
      <c r="U466" s="857"/>
      <c r="V466" s="857"/>
      <c r="W466" s="857"/>
      <c r="X466" s="857"/>
      <c r="Y466" s="857"/>
      <c r="Z466" s="857"/>
      <c r="AA466" s="857"/>
      <c r="AB466" s="857"/>
      <c r="AC466" s="857"/>
      <c r="AD466" s="857"/>
      <c r="AE466" s="857"/>
      <c r="AF466" s="857"/>
      <c r="AG466" s="857"/>
      <c r="AH466" s="857"/>
      <c r="AI466" s="857"/>
      <c r="AJ466" s="857"/>
      <c r="AK466" s="857"/>
      <c r="AL466" s="857"/>
      <c r="AM466" s="857"/>
      <c r="AN466" s="857"/>
      <c r="AO466" s="857"/>
      <c r="AP466" s="857"/>
      <c r="AQ466" s="857"/>
      <c r="AR466" s="857"/>
      <c r="AS466" s="857"/>
      <c r="AT466" s="855"/>
      <c r="AV466" s="857"/>
      <c r="AW466" s="857"/>
      <c r="AX466" s="857"/>
      <c r="AY466" s="857"/>
      <c r="AZ466" s="857"/>
      <c r="BA466" s="857"/>
      <c r="BB466" s="857"/>
      <c r="BC466" s="857"/>
      <c r="BD466" s="857"/>
      <c r="BE466" s="857"/>
      <c r="BF466" s="857"/>
      <c r="BG466" s="857"/>
    </row>
    <row r="467" spans="1:59" ht="15.75" customHeight="1">
      <c r="A467" s="857"/>
      <c r="B467" s="857"/>
      <c r="C467" s="857"/>
      <c r="D467" s="857"/>
      <c r="E467" s="857"/>
      <c r="F467" s="857"/>
      <c r="G467" s="857"/>
      <c r="H467" s="857"/>
      <c r="I467" s="857"/>
      <c r="J467" s="857"/>
      <c r="K467" s="857"/>
      <c r="L467" s="857"/>
      <c r="M467" s="857"/>
      <c r="N467" s="857"/>
      <c r="O467" s="857"/>
      <c r="P467" s="857"/>
      <c r="Q467" s="857"/>
      <c r="R467" s="857"/>
      <c r="S467" s="857"/>
      <c r="T467" s="857"/>
      <c r="U467" s="857"/>
      <c r="V467" s="857"/>
      <c r="W467" s="857"/>
      <c r="X467" s="857"/>
      <c r="Y467" s="857"/>
      <c r="Z467" s="857"/>
      <c r="AA467" s="857"/>
      <c r="AB467" s="857"/>
      <c r="AC467" s="857"/>
      <c r="AD467" s="857"/>
      <c r="AE467" s="857"/>
      <c r="AF467" s="857"/>
      <c r="AG467" s="857"/>
      <c r="AH467" s="857"/>
      <c r="AI467" s="857"/>
      <c r="AJ467" s="857"/>
      <c r="AK467" s="857"/>
      <c r="AL467" s="857"/>
      <c r="AM467" s="857"/>
      <c r="AN467" s="857"/>
      <c r="AO467" s="857"/>
      <c r="AP467" s="857"/>
      <c r="AQ467" s="857"/>
      <c r="AR467" s="857"/>
      <c r="AS467" s="857"/>
      <c r="AT467" s="855"/>
      <c r="AV467" s="857"/>
      <c r="AW467" s="857"/>
      <c r="AX467" s="857"/>
      <c r="AY467" s="857"/>
      <c r="AZ467" s="857"/>
      <c r="BA467" s="857"/>
      <c r="BB467" s="857"/>
      <c r="BC467" s="857"/>
      <c r="BD467" s="857"/>
      <c r="BE467" s="857"/>
      <c r="BF467" s="857"/>
      <c r="BG467" s="857"/>
    </row>
    <row r="468" spans="1:59" ht="15.75" customHeight="1">
      <c r="A468" s="857"/>
      <c r="B468" s="857"/>
      <c r="C468" s="857"/>
      <c r="D468" s="857"/>
      <c r="E468" s="857"/>
      <c r="F468" s="857"/>
      <c r="G468" s="857"/>
      <c r="H468" s="857"/>
      <c r="I468" s="857"/>
      <c r="J468" s="857"/>
      <c r="K468" s="857"/>
      <c r="L468" s="857"/>
      <c r="M468" s="857"/>
      <c r="N468" s="857"/>
      <c r="O468" s="857"/>
      <c r="P468" s="857"/>
      <c r="Q468" s="857"/>
      <c r="R468" s="857"/>
      <c r="S468" s="857"/>
      <c r="T468" s="857"/>
      <c r="U468" s="857"/>
      <c r="V468" s="857"/>
      <c r="W468" s="857"/>
      <c r="X468" s="857"/>
      <c r="Y468" s="857"/>
      <c r="Z468" s="857"/>
      <c r="AA468" s="857"/>
      <c r="AB468" s="857"/>
      <c r="AC468" s="857"/>
      <c r="AD468" s="857"/>
      <c r="AE468" s="857"/>
      <c r="AF468" s="857"/>
      <c r="AG468" s="857"/>
      <c r="AH468" s="857"/>
      <c r="AI468" s="857"/>
      <c r="AJ468" s="857"/>
      <c r="AK468" s="857"/>
      <c r="AL468" s="857"/>
      <c r="AM468" s="857"/>
      <c r="AN468" s="857"/>
      <c r="AO468" s="857"/>
      <c r="AP468" s="857"/>
      <c r="AQ468" s="857"/>
      <c r="AR468" s="857"/>
      <c r="AS468" s="857"/>
      <c r="AT468" s="855"/>
      <c r="AV468" s="857"/>
      <c r="AW468" s="857"/>
      <c r="AX468" s="857"/>
      <c r="AY468" s="857"/>
      <c r="AZ468" s="857"/>
      <c r="BA468" s="857"/>
      <c r="BB468" s="857"/>
      <c r="BC468" s="857"/>
      <c r="BD468" s="857"/>
      <c r="BE468" s="857"/>
      <c r="BF468" s="857"/>
      <c r="BG468" s="857"/>
    </row>
    <row r="469" spans="1:59" ht="15.75" customHeight="1">
      <c r="A469" s="857"/>
      <c r="B469" s="857"/>
      <c r="C469" s="857"/>
      <c r="D469" s="857"/>
      <c r="E469" s="857"/>
      <c r="F469" s="857"/>
      <c r="G469" s="857"/>
      <c r="H469" s="857"/>
      <c r="I469" s="857"/>
      <c r="J469" s="857"/>
      <c r="K469" s="857"/>
      <c r="L469" s="857"/>
      <c r="M469" s="857"/>
      <c r="N469" s="857"/>
      <c r="O469" s="857"/>
      <c r="P469" s="857"/>
      <c r="Q469" s="857"/>
      <c r="R469" s="857"/>
      <c r="S469" s="857"/>
      <c r="T469" s="857"/>
      <c r="U469" s="857"/>
      <c r="V469" s="857"/>
      <c r="W469" s="857"/>
      <c r="X469" s="857"/>
      <c r="Y469" s="857"/>
      <c r="Z469" s="857"/>
      <c r="AA469" s="857"/>
      <c r="AB469" s="857"/>
      <c r="AC469" s="857"/>
      <c r="AD469" s="857"/>
      <c r="AE469" s="857"/>
      <c r="AF469" s="857"/>
      <c r="AG469" s="857"/>
      <c r="AH469" s="857"/>
      <c r="AI469" s="857"/>
      <c r="AJ469" s="857"/>
      <c r="AK469" s="857"/>
      <c r="AL469" s="857"/>
      <c r="AM469" s="857"/>
      <c r="AN469" s="857"/>
      <c r="AO469" s="857"/>
      <c r="AP469" s="857"/>
      <c r="AQ469" s="857"/>
      <c r="AR469" s="857"/>
      <c r="AS469" s="857"/>
      <c r="AT469" s="855"/>
      <c r="AV469" s="857"/>
      <c r="AW469" s="857"/>
      <c r="AX469" s="857"/>
      <c r="AY469" s="857"/>
      <c r="AZ469" s="857"/>
      <c r="BA469" s="857"/>
      <c r="BB469" s="857"/>
      <c r="BC469" s="857"/>
      <c r="BD469" s="857"/>
      <c r="BE469" s="857"/>
      <c r="BF469" s="857"/>
      <c r="BG469" s="857"/>
    </row>
    <row r="470" spans="1:59" ht="15.75" customHeight="1">
      <c r="A470" s="857"/>
      <c r="B470" s="857"/>
      <c r="C470" s="857"/>
      <c r="D470" s="857"/>
      <c r="E470" s="857"/>
      <c r="F470" s="857"/>
      <c r="G470" s="857"/>
      <c r="H470" s="857"/>
      <c r="I470" s="857"/>
      <c r="J470" s="857"/>
      <c r="K470" s="857"/>
      <c r="L470" s="857"/>
      <c r="M470" s="857"/>
      <c r="N470" s="857"/>
      <c r="O470" s="857"/>
      <c r="P470" s="857"/>
      <c r="Q470" s="857"/>
      <c r="R470" s="857"/>
      <c r="S470" s="857"/>
      <c r="T470" s="857"/>
      <c r="U470" s="857"/>
      <c r="V470" s="857"/>
      <c r="W470" s="857"/>
      <c r="X470" s="857"/>
      <c r="Y470" s="857"/>
      <c r="Z470" s="857"/>
      <c r="AA470" s="857"/>
      <c r="AB470" s="857"/>
      <c r="AC470" s="857"/>
      <c r="AD470" s="857"/>
      <c r="AE470" s="857"/>
      <c r="AF470" s="857"/>
      <c r="AG470" s="857"/>
      <c r="AH470" s="857"/>
      <c r="AI470" s="857"/>
      <c r="AJ470" s="857"/>
      <c r="AK470" s="857"/>
      <c r="AL470" s="857"/>
      <c r="AM470" s="857"/>
      <c r="AN470" s="857"/>
      <c r="AO470" s="857"/>
      <c r="AP470" s="857"/>
      <c r="AQ470" s="857"/>
      <c r="AR470" s="857"/>
      <c r="AS470" s="857"/>
      <c r="AT470" s="855"/>
      <c r="AV470" s="857"/>
      <c r="AW470" s="857"/>
      <c r="AX470" s="857"/>
      <c r="AY470" s="857"/>
      <c r="AZ470" s="857"/>
      <c r="BA470" s="857"/>
      <c r="BB470" s="857"/>
      <c r="BC470" s="857"/>
      <c r="BD470" s="857"/>
      <c r="BE470" s="857"/>
      <c r="BF470" s="857"/>
      <c r="BG470" s="857"/>
    </row>
    <row r="471" spans="1:59" ht="15.75" customHeight="1">
      <c r="A471" s="857"/>
      <c r="B471" s="857"/>
      <c r="C471" s="857"/>
      <c r="D471" s="857"/>
      <c r="E471" s="857"/>
      <c r="F471" s="857"/>
      <c r="G471" s="857"/>
      <c r="H471" s="857"/>
      <c r="I471" s="857"/>
      <c r="J471" s="857"/>
      <c r="K471" s="857"/>
      <c r="L471" s="857"/>
      <c r="M471" s="857"/>
      <c r="N471" s="857"/>
      <c r="O471" s="857"/>
      <c r="P471" s="857"/>
      <c r="Q471" s="857"/>
      <c r="R471" s="857"/>
      <c r="S471" s="857"/>
      <c r="T471" s="857"/>
      <c r="U471" s="857"/>
      <c r="V471" s="857"/>
      <c r="W471" s="857"/>
      <c r="X471" s="857"/>
      <c r="Y471" s="857"/>
      <c r="Z471" s="857"/>
      <c r="AA471" s="857"/>
      <c r="AB471" s="857"/>
      <c r="AC471" s="857"/>
      <c r="AD471" s="857"/>
      <c r="AE471" s="857"/>
      <c r="AF471" s="857"/>
      <c r="AG471" s="857"/>
      <c r="AH471" s="857"/>
      <c r="AI471" s="857"/>
      <c r="AJ471" s="857"/>
      <c r="AK471" s="857"/>
      <c r="AL471" s="857"/>
      <c r="AM471" s="857"/>
      <c r="AN471" s="857"/>
      <c r="AO471" s="857"/>
      <c r="AP471" s="857"/>
      <c r="AQ471" s="857"/>
      <c r="AR471" s="857"/>
      <c r="AS471" s="857"/>
      <c r="AT471" s="855"/>
      <c r="AV471" s="857"/>
      <c r="AW471" s="857"/>
      <c r="AX471" s="857"/>
      <c r="AY471" s="857"/>
      <c r="AZ471" s="857"/>
      <c r="BA471" s="857"/>
      <c r="BB471" s="857"/>
      <c r="BC471" s="857"/>
      <c r="BD471" s="857"/>
      <c r="BE471" s="857"/>
      <c r="BF471" s="857"/>
      <c r="BG471" s="857"/>
    </row>
    <row r="472" spans="1:59" ht="15.75" customHeight="1">
      <c r="A472" s="857"/>
      <c r="B472" s="857"/>
      <c r="C472" s="857"/>
      <c r="D472" s="857"/>
      <c r="E472" s="857"/>
      <c r="F472" s="857"/>
      <c r="G472" s="857"/>
      <c r="H472" s="857"/>
      <c r="I472" s="857"/>
      <c r="J472" s="857"/>
      <c r="K472" s="857"/>
      <c r="L472" s="857"/>
      <c r="M472" s="857"/>
      <c r="N472" s="857"/>
      <c r="O472" s="857"/>
      <c r="P472" s="857"/>
      <c r="Q472" s="857"/>
      <c r="R472" s="857"/>
      <c r="S472" s="857"/>
      <c r="T472" s="857"/>
      <c r="U472" s="857"/>
      <c r="V472" s="857"/>
      <c r="W472" s="857"/>
      <c r="X472" s="857"/>
      <c r="Y472" s="857"/>
      <c r="Z472" s="857"/>
      <c r="AA472" s="857"/>
      <c r="AB472" s="857"/>
      <c r="AC472" s="857"/>
      <c r="AD472" s="857"/>
      <c r="AE472" s="857"/>
      <c r="AF472" s="857"/>
      <c r="AG472" s="857"/>
      <c r="AH472" s="857"/>
      <c r="AI472" s="857"/>
      <c r="AJ472" s="857"/>
      <c r="AK472" s="857"/>
      <c r="AL472" s="857"/>
      <c r="AM472" s="857"/>
      <c r="AN472" s="857"/>
      <c r="AO472" s="857"/>
      <c r="AP472" s="857"/>
      <c r="AQ472" s="857"/>
      <c r="AR472" s="857"/>
      <c r="AS472" s="857"/>
      <c r="AT472" s="855"/>
      <c r="AV472" s="857"/>
      <c r="AW472" s="857"/>
      <c r="AX472" s="857"/>
      <c r="AY472" s="857"/>
      <c r="AZ472" s="857"/>
      <c r="BA472" s="857"/>
      <c r="BB472" s="857"/>
      <c r="BC472" s="857"/>
      <c r="BD472" s="857"/>
      <c r="BE472" s="857"/>
      <c r="BF472" s="857"/>
      <c r="BG472" s="857"/>
    </row>
    <row r="473" spans="1:59" ht="15.75" customHeight="1">
      <c r="A473" s="857"/>
      <c r="B473" s="857"/>
      <c r="C473" s="857"/>
      <c r="D473" s="857"/>
      <c r="E473" s="857"/>
      <c r="F473" s="857"/>
      <c r="G473" s="857"/>
      <c r="H473" s="857"/>
      <c r="I473" s="857"/>
      <c r="J473" s="857"/>
      <c r="K473" s="857"/>
      <c r="L473" s="857"/>
      <c r="M473" s="857"/>
      <c r="N473" s="857"/>
      <c r="O473" s="857"/>
      <c r="P473" s="857"/>
      <c r="Q473" s="857"/>
      <c r="R473" s="857"/>
      <c r="S473" s="857"/>
      <c r="T473" s="857"/>
      <c r="U473" s="857"/>
      <c r="V473" s="857"/>
      <c r="W473" s="857"/>
      <c r="X473" s="857"/>
      <c r="Y473" s="857"/>
      <c r="Z473" s="857"/>
      <c r="AA473" s="857"/>
      <c r="AB473" s="857"/>
      <c r="AC473" s="857"/>
      <c r="AD473" s="857"/>
      <c r="AE473" s="857"/>
      <c r="AF473" s="857"/>
      <c r="AG473" s="857"/>
      <c r="AH473" s="857"/>
      <c r="AI473" s="857"/>
      <c r="AJ473" s="857"/>
      <c r="AK473" s="857"/>
      <c r="AL473" s="857"/>
      <c r="AM473" s="857"/>
      <c r="AN473" s="857"/>
      <c r="AO473" s="857"/>
      <c r="AP473" s="857"/>
      <c r="AQ473" s="857"/>
      <c r="AR473" s="857"/>
      <c r="AS473" s="857"/>
      <c r="AT473" s="855"/>
      <c r="AV473" s="857"/>
      <c r="AW473" s="857"/>
      <c r="AX473" s="857"/>
      <c r="AY473" s="857"/>
      <c r="AZ473" s="857"/>
      <c r="BA473" s="857"/>
      <c r="BB473" s="857"/>
      <c r="BC473" s="857"/>
      <c r="BD473" s="857"/>
      <c r="BE473" s="857"/>
      <c r="BF473" s="857"/>
      <c r="BG473" s="857"/>
    </row>
    <row r="474" spans="1:59" ht="15.75" customHeight="1">
      <c r="A474" s="857"/>
      <c r="B474" s="857"/>
      <c r="C474" s="857"/>
      <c r="D474" s="857"/>
      <c r="E474" s="857"/>
      <c r="F474" s="857"/>
      <c r="G474" s="857"/>
      <c r="H474" s="857"/>
      <c r="I474" s="857"/>
      <c r="J474" s="857"/>
      <c r="K474" s="857"/>
      <c r="L474" s="857"/>
      <c r="M474" s="857"/>
      <c r="N474" s="857"/>
      <c r="O474" s="857"/>
      <c r="P474" s="857"/>
      <c r="Q474" s="857"/>
      <c r="R474" s="857"/>
      <c r="S474" s="857"/>
      <c r="T474" s="857"/>
      <c r="U474" s="857"/>
      <c r="V474" s="857"/>
      <c r="W474" s="857"/>
      <c r="X474" s="857"/>
      <c r="Y474" s="857"/>
      <c r="Z474" s="857"/>
      <c r="AA474" s="857"/>
      <c r="AB474" s="857"/>
      <c r="AC474" s="857"/>
      <c r="AD474" s="857"/>
      <c r="AE474" s="857"/>
      <c r="AF474" s="857"/>
      <c r="AG474" s="857"/>
      <c r="AH474" s="857"/>
      <c r="AI474" s="857"/>
      <c r="AJ474" s="857"/>
      <c r="AK474" s="857"/>
      <c r="AL474" s="857"/>
      <c r="AM474" s="857"/>
      <c r="AN474" s="857"/>
      <c r="AO474" s="857"/>
      <c r="AP474" s="857"/>
      <c r="AQ474" s="857"/>
      <c r="AR474" s="857"/>
      <c r="AS474" s="857"/>
      <c r="AT474" s="855"/>
      <c r="AV474" s="857"/>
      <c r="AW474" s="857"/>
      <c r="AX474" s="857"/>
      <c r="AY474" s="857"/>
      <c r="AZ474" s="857"/>
      <c r="BA474" s="857"/>
      <c r="BB474" s="857"/>
      <c r="BC474" s="857"/>
      <c r="BD474" s="857"/>
      <c r="BE474" s="857"/>
      <c r="BF474" s="857"/>
      <c r="BG474" s="857"/>
    </row>
    <row r="475" spans="1:59" ht="15.75" customHeight="1">
      <c r="A475" s="857"/>
      <c r="B475" s="857"/>
      <c r="C475" s="857"/>
      <c r="D475" s="857"/>
      <c r="E475" s="857"/>
      <c r="F475" s="857"/>
      <c r="G475" s="857"/>
      <c r="H475" s="857"/>
      <c r="I475" s="857"/>
      <c r="J475" s="857"/>
      <c r="K475" s="857"/>
      <c r="L475" s="857"/>
      <c r="M475" s="857"/>
      <c r="N475" s="857"/>
      <c r="O475" s="857"/>
      <c r="P475" s="857"/>
      <c r="Q475" s="857"/>
      <c r="R475" s="857"/>
      <c r="S475" s="857"/>
      <c r="T475" s="857"/>
      <c r="U475" s="857"/>
      <c r="V475" s="857"/>
      <c r="W475" s="857"/>
      <c r="X475" s="857"/>
      <c r="Y475" s="857"/>
      <c r="Z475" s="857"/>
      <c r="AA475" s="857"/>
      <c r="AB475" s="857"/>
      <c r="AC475" s="857"/>
      <c r="AD475" s="857"/>
      <c r="AE475" s="857"/>
      <c r="AF475" s="857"/>
      <c r="AG475" s="857"/>
      <c r="AH475" s="857"/>
      <c r="AI475" s="857"/>
      <c r="AJ475" s="857"/>
      <c r="AK475" s="857"/>
      <c r="AL475" s="857"/>
      <c r="AM475" s="857"/>
      <c r="AN475" s="857"/>
      <c r="AO475" s="857"/>
      <c r="AP475" s="857"/>
      <c r="AQ475" s="857"/>
      <c r="AR475" s="857"/>
      <c r="AS475" s="857"/>
      <c r="AT475" s="855"/>
      <c r="AV475" s="857"/>
      <c r="AW475" s="857"/>
      <c r="AX475" s="857"/>
      <c r="AY475" s="857"/>
      <c r="AZ475" s="857"/>
      <c r="BA475" s="857"/>
      <c r="BB475" s="857"/>
      <c r="BC475" s="857"/>
      <c r="BD475" s="857"/>
      <c r="BE475" s="857"/>
      <c r="BF475" s="857"/>
      <c r="BG475" s="857"/>
    </row>
    <row r="476" spans="1:59" ht="15.75" customHeight="1">
      <c r="A476" s="857"/>
      <c r="B476" s="857"/>
      <c r="C476" s="857"/>
      <c r="D476" s="857"/>
      <c r="E476" s="857"/>
      <c r="F476" s="857"/>
      <c r="G476" s="857"/>
      <c r="H476" s="857"/>
      <c r="I476" s="857"/>
      <c r="J476" s="857"/>
      <c r="K476" s="857"/>
      <c r="L476" s="857"/>
      <c r="M476" s="857"/>
      <c r="N476" s="857"/>
      <c r="O476" s="857"/>
      <c r="P476" s="857"/>
      <c r="Q476" s="857"/>
      <c r="R476" s="857"/>
      <c r="S476" s="857"/>
      <c r="T476" s="857"/>
      <c r="U476" s="857"/>
      <c r="V476" s="857"/>
      <c r="W476" s="857"/>
      <c r="X476" s="857"/>
      <c r="Y476" s="857"/>
      <c r="Z476" s="857"/>
      <c r="AA476" s="857"/>
      <c r="AB476" s="857"/>
      <c r="AC476" s="857"/>
      <c r="AD476" s="857"/>
      <c r="AE476" s="857"/>
      <c r="AF476" s="857"/>
      <c r="AG476" s="857"/>
      <c r="AH476" s="857"/>
      <c r="AI476" s="857"/>
      <c r="AJ476" s="857"/>
      <c r="AK476" s="857"/>
      <c r="AL476" s="857"/>
      <c r="AM476" s="857"/>
      <c r="AN476" s="857"/>
      <c r="AO476" s="857"/>
      <c r="AP476" s="857"/>
      <c r="AQ476" s="857"/>
      <c r="AR476" s="857"/>
      <c r="AS476" s="857"/>
      <c r="AT476" s="855"/>
      <c r="AV476" s="857"/>
      <c r="AW476" s="857"/>
      <c r="AX476" s="857"/>
      <c r="AY476" s="857"/>
      <c r="AZ476" s="857"/>
      <c r="BA476" s="857"/>
      <c r="BB476" s="857"/>
      <c r="BC476" s="857"/>
      <c r="BD476" s="857"/>
      <c r="BE476" s="857"/>
      <c r="BF476" s="857"/>
      <c r="BG476" s="857"/>
    </row>
    <row r="477" spans="1:59" ht="15.75" customHeight="1">
      <c r="A477" s="857"/>
      <c r="B477" s="857"/>
      <c r="C477" s="857"/>
      <c r="D477" s="857"/>
      <c r="E477" s="857"/>
      <c r="F477" s="857"/>
      <c r="G477" s="857"/>
      <c r="H477" s="857"/>
      <c r="I477" s="857"/>
      <c r="J477" s="857"/>
      <c r="K477" s="857"/>
      <c r="L477" s="857"/>
      <c r="M477" s="857"/>
      <c r="N477" s="857"/>
      <c r="O477" s="857"/>
      <c r="P477" s="857"/>
      <c r="Q477" s="857"/>
      <c r="R477" s="857"/>
      <c r="S477" s="857"/>
      <c r="T477" s="857"/>
      <c r="U477" s="857"/>
      <c r="V477" s="857"/>
      <c r="W477" s="857"/>
      <c r="X477" s="857"/>
      <c r="Y477" s="857"/>
      <c r="Z477" s="857"/>
      <c r="AA477" s="857"/>
      <c r="AB477" s="857"/>
      <c r="AC477" s="857"/>
      <c r="AD477" s="857"/>
      <c r="AE477" s="857"/>
      <c r="AF477" s="857"/>
      <c r="AG477" s="857"/>
      <c r="AH477" s="857"/>
      <c r="AI477" s="857"/>
      <c r="AJ477" s="857"/>
      <c r="AK477" s="857"/>
      <c r="AL477" s="857"/>
      <c r="AM477" s="857"/>
      <c r="AN477" s="857"/>
      <c r="AO477" s="857"/>
      <c r="AP477" s="857"/>
      <c r="AQ477" s="857"/>
      <c r="AR477" s="857"/>
      <c r="AS477" s="857"/>
      <c r="AT477" s="855"/>
      <c r="AV477" s="857"/>
      <c r="AW477" s="857"/>
      <c r="AX477" s="857"/>
      <c r="AY477" s="857"/>
      <c r="AZ477" s="857"/>
      <c r="BA477" s="857"/>
      <c r="BB477" s="857"/>
      <c r="BC477" s="857"/>
      <c r="BD477" s="857"/>
      <c r="BE477" s="857"/>
      <c r="BF477" s="857"/>
      <c r="BG477" s="857"/>
    </row>
    <row r="478" spans="1:59" ht="15.75" customHeight="1">
      <c r="A478" s="857"/>
      <c r="B478" s="857"/>
      <c r="C478" s="857"/>
      <c r="D478" s="857"/>
      <c r="E478" s="857"/>
      <c r="F478" s="857"/>
      <c r="G478" s="857"/>
      <c r="H478" s="857"/>
      <c r="I478" s="857"/>
      <c r="J478" s="857"/>
      <c r="K478" s="857"/>
      <c r="L478" s="857"/>
      <c r="M478" s="857"/>
      <c r="N478" s="857"/>
      <c r="O478" s="857"/>
      <c r="P478" s="857"/>
      <c r="Q478" s="857"/>
      <c r="R478" s="857"/>
      <c r="S478" s="857"/>
      <c r="T478" s="857"/>
      <c r="U478" s="857"/>
      <c r="V478" s="857"/>
      <c r="W478" s="857"/>
      <c r="X478" s="857"/>
      <c r="Y478" s="857"/>
      <c r="Z478" s="857"/>
      <c r="AA478" s="857"/>
      <c r="AB478" s="857"/>
      <c r="AC478" s="857"/>
      <c r="AD478" s="857"/>
      <c r="AE478" s="857"/>
      <c r="AF478" s="857"/>
      <c r="AG478" s="857"/>
      <c r="AH478" s="857"/>
      <c r="AI478" s="857"/>
      <c r="AJ478" s="857"/>
      <c r="AK478" s="857"/>
      <c r="AL478" s="857"/>
      <c r="AM478" s="857"/>
      <c r="AN478" s="857"/>
      <c r="AO478" s="857"/>
      <c r="AP478" s="857"/>
      <c r="AQ478" s="857"/>
      <c r="AR478" s="857"/>
      <c r="AS478" s="857"/>
      <c r="AT478" s="855"/>
      <c r="AV478" s="857"/>
      <c r="AW478" s="857"/>
      <c r="AX478" s="857"/>
      <c r="AY478" s="857"/>
      <c r="AZ478" s="857"/>
      <c r="BA478" s="857"/>
      <c r="BB478" s="857"/>
      <c r="BC478" s="857"/>
      <c r="BD478" s="857"/>
      <c r="BE478" s="857"/>
      <c r="BF478" s="857"/>
      <c r="BG478" s="857"/>
    </row>
    <row r="479" spans="1:59" ht="15.75" customHeight="1">
      <c r="A479" s="857"/>
      <c r="B479" s="857"/>
      <c r="C479" s="857"/>
      <c r="D479" s="857"/>
      <c r="E479" s="857"/>
      <c r="F479" s="857"/>
      <c r="G479" s="857"/>
      <c r="H479" s="857"/>
      <c r="I479" s="857"/>
      <c r="J479" s="857"/>
      <c r="K479" s="857"/>
      <c r="L479" s="857"/>
      <c r="M479" s="857"/>
      <c r="N479" s="857"/>
      <c r="O479" s="857"/>
      <c r="P479" s="857"/>
      <c r="Q479" s="857"/>
      <c r="R479" s="857"/>
      <c r="S479" s="857"/>
      <c r="T479" s="857"/>
      <c r="U479" s="857"/>
      <c r="V479" s="857"/>
      <c r="W479" s="857"/>
      <c r="X479" s="857"/>
      <c r="Y479" s="857"/>
      <c r="Z479" s="857"/>
      <c r="AA479" s="857"/>
      <c r="AB479" s="857"/>
      <c r="AC479" s="857"/>
      <c r="AD479" s="857"/>
      <c r="AE479" s="857"/>
      <c r="AF479" s="857"/>
      <c r="AG479" s="857"/>
      <c r="AH479" s="857"/>
      <c r="AI479" s="857"/>
      <c r="AJ479" s="857"/>
      <c r="AK479" s="857"/>
      <c r="AL479" s="857"/>
      <c r="AM479" s="857"/>
      <c r="AN479" s="857"/>
      <c r="AO479" s="857"/>
      <c r="AP479" s="857"/>
      <c r="AQ479" s="857"/>
      <c r="AR479" s="857"/>
      <c r="AS479" s="857"/>
      <c r="AT479" s="855"/>
      <c r="AV479" s="857"/>
      <c r="AW479" s="857"/>
      <c r="AX479" s="857"/>
      <c r="AY479" s="857"/>
      <c r="AZ479" s="857"/>
      <c r="BA479" s="857"/>
      <c r="BB479" s="857"/>
      <c r="BC479" s="857"/>
      <c r="BD479" s="857"/>
      <c r="BE479" s="857"/>
      <c r="BF479" s="857"/>
      <c r="BG479" s="857"/>
    </row>
    <row r="480" spans="1:59" ht="15.75" customHeight="1">
      <c r="A480" s="857"/>
      <c r="B480" s="857"/>
      <c r="C480" s="857"/>
      <c r="D480" s="857"/>
      <c r="E480" s="857"/>
      <c r="F480" s="857"/>
      <c r="G480" s="857"/>
      <c r="H480" s="857"/>
      <c r="I480" s="857"/>
      <c r="J480" s="857"/>
      <c r="K480" s="857"/>
      <c r="L480" s="857"/>
      <c r="M480" s="857"/>
      <c r="N480" s="857"/>
      <c r="O480" s="857"/>
      <c r="P480" s="857"/>
      <c r="Q480" s="857"/>
      <c r="R480" s="857"/>
      <c r="S480" s="857"/>
      <c r="T480" s="857"/>
      <c r="U480" s="857"/>
      <c r="V480" s="857"/>
      <c r="W480" s="857"/>
      <c r="X480" s="857"/>
      <c r="Y480" s="857"/>
      <c r="Z480" s="857"/>
      <c r="AA480" s="857"/>
      <c r="AB480" s="857"/>
      <c r="AC480" s="857"/>
      <c r="AD480" s="857"/>
      <c r="AE480" s="857"/>
      <c r="AF480" s="857"/>
      <c r="AG480" s="857"/>
      <c r="AH480" s="857"/>
      <c r="AI480" s="857"/>
      <c r="AJ480" s="857"/>
      <c r="AK480" s="857"/>
      <c r="AL480" s="857"/>
      <c r="AM480" s="857"/>
      <c r="AN480" s="857"/>
      <c r="AO480" s="857"/>
      <c r="AP480" s="857"/>
      <c r="AQ480" s="857"/>
      <c r="AR480" s="857"/>
      <c r="AS480" s="857"/>
      <c r="AT480" s="855"/>
      <c r="AV480" s="857"/>
      <c r="AW480" s="857"/>
      <c r="AX480" s="857"/>
      <c r="AY480" s="857"/>
      <c r="AZ480" s="857"/>
      <c r="BA480" s="857"/>
      <c r="BB480" s="857"/>
      <c r="BC480" s="857"/>
      <c r="BD480" s="857"/>
      <c r="BE480" s="857"/>
      <c r="BF480" s="857"/>
      <c r="BG480" s="857"/>
    </row>
    <row r="481" spans="1:59" ht="15.75" customHeight="1">
      <c r="A481" s="857"/>
      <c r="B481" s="857"/>
      <c r="C481" s="857"/>
      <c r="D481" s="857"/>
      <c r="E481" s="857"/>
      <c r="F481" s="857"/>
      <c r="G481" s="857"/>
      <c r="H481" s="857"/>
      <c r="I481" s="857"/>
      <c r="J481" s="857"/>
      <c r="K481" s="857"/>
      <c r="L481" s="857"/>
      <c r="M481" s="857"/>
      <c r="N481" s="857"/>
      <c r="O481" s="857"/>
      <c r="P481" s="857"/>
      <c r="Q481" s="857"/>
      <c r="R481" s="857"/>
      <c r="S481" s="857"/>
      <c r="T481" s="857"/>
      <c r="U481" s="857"/>
      <c r="V481" s="857"/>
      <c r="W481" s="857"/>
      <c r="X481" s="857"/>
      <c r="Y481" s="857"/>
      <c r="Z481" s="857"/>
      <c r="AA481" s="857"/>
      <c r="AB481" s="857"/>
      <c r="AC481" s="857"/>
      <c r="AD481" s="857"/>
      <c r="AE481" s="857"/>
      <c r="AF481" s="857"/>
      <c r="AG481" s="857"/>
      <c r="AH481" s="857"/>
      <c r="AI481" s="857"/>
      <c r="AJ481" s="857"/>
      <c r="AK481" s="857"/>
      <c r="AL481" s="857"/>
      <c r="AM481" s="857"/>
      <c r="AN481" s="857"/>
      <c r="AO481" s="857"/>
      <c r="AP481" s="857"/>
      <c r="AQ481" s="857"/>
      <c r="AR481" s="857"/>
      <c r="AS481" s="857"/>
      <c r="AT481" s="855"/>
      <c r="AV481" s="857"/>
      <c r="AW481" s="857"/>
      <c r="AX481" s="857"/>
      <c r="AY481" s="857"/>
      <c r="AZ481" s="857"/>
      <c r="BA481" s="857"/>
      <c r="BB481" s="857"/>
      <c r="BC481" s="857"/>
      <c r="BD481" s="857"/>
      <c r="BE481" s="857"/>
      <c r="BF481" s="857"/>
      <c r="BG481" s="857"/>
    </row>
    <row r="482" spans="1:59" ht="15.75" customHeight="1">
      <c r="A482" s="857"/>
      <c r="B482" s="857"/>
      <c r="C482" s="857"/>
      <c r="D482" s="857"/>
      <c r="E482" s="857"/>
      <c r="F482" s="857"/>
      <c r="G482" s="857"/>
      <c r="H482" s="857"/>
      <c r="I482" s="857"/>
      <c r="J482" s="857"/>
      <c r="K482" s="857"/>
      <c r="L482" s="857"/>
      <c r="M482" s="857"/>
      <c r="N482" s="857"/>
      <c r="O482" s="857"/>
      <c r="P482" s="857"/>
      <c r="Q482" s="857"/>
      <c r="R482" s="857"/>
      <c r="S482" s="857"/>
      <c r="T482" s="857"/>
      <c r="U482" s="857"/>
      <c r="V482" s="857"/>
      <c r="W482" s="857"/>
      <c r="X482" s="857"/>
      <c r="Y482" s="857"/>
      <c r="Z482" s="857"/>
      <c r="AA482" s="857"/>
      <c r="AB482" s="857"/>
      <c r="AC482" s="857"/>
      <c r="AD482" s="857"/>
      <c r="AE482" s="857"/>
      <c r="AF482" s="857"/>
      <c r="AG482" s="857"/>
      <c r="AH482" s="857"/>
      <c r="AI482" s="857"/>
      <c r="AJ482" s="857"/>
      <c r="AK482" s="857"/>
      <c r="AL482" s="857"/>
      <c r="AM482" s="857"/>
      <c r="AN482" s="857"/>
      <c r="AO482" s="857"/>
      <c r="AP482" s="857"/>
      <c r="AQ482" s="857"/>
      <c r="AR482" s="857"/>
      <c r="AS482" s="857"/>
      <c r="AT482" s="855"/>
      <c r="AV482" s="857"/>
      <c r="AW482" s="857"/>
      <c r="AX482" s="857"/>
      <c r="AY482" s="857"/>
      <c r="AZ482" s="857"/>
      <c r="BA482" s="857"/>
      <c r="BB482" s="857"/>
      <c r="BC482" s="857"/>
      <c r="BD482" s="857"/>
      <c r="BE482" s="857"/>
      <c r="BF482" s="857"/>
      <c r="BG482" s="857"/>
    </row>
    <row r="483" spans="1:59" ht="15.75" customHeight="1">
      <c r="A483" s="857"/>
      <c r="B483" s="857"/>
      <c r="C483" s="857"/>
      <c r="D483" s="857"/>
      <c r="E483" s="857"/>
      <c r="F483" s="857"/>
      <c r="G483" s="857"/>
      <c r="H483" s="857"/>
      <c r="I483" s="857"/>
      <c r="J483" s="857"/>
      <c r="K483" s="857"/>
      <c r="L483" s="857"/>
      <c r="M483" s="857"/>
      <c r="N483" s="857"/>
      <c r="O483" s="857"/>
      <c r="P483" s="857"/>
      <c r="Q483" s="857"/>
      <c r="R483" s="857"/>
      <c r="S483" s="857"/>
      <c r="T483" s="857"/>
      <c r="U483" s="857"/>
      <c r="V483" s="857"/>
      <c r="W483" s="857"/>
      <c r="X483" s="857"/>
      <c r="Y483" s="857"/>
      <c r="Z483" s="857"/>
      <c r="AA483" s="857"/>
      <c r="AB483" s="857"/>
      <c r="AC483" s="857"/>
      <c r="AD483" s="857"/>
      <c r="AE483" s="857"/>
      <c r="AF483" s="857"/>
      <c r="AG483" s="857"/>
      <c r="AH483" s="857"/>
      <c r="AI483" s="857"/>
      <c r="AJ483" s="857"/>
      <c r="AK483" s="857"/>
      <c r="AL483" s="857"/>
      <c r="AM483" s="857"/>
      <c r="AN483" s="857"/>
      <c r="AO483" s="857"/>
      <c r="AP483" s="857"/>
      <c r="AQ483" s="857"/>
      <c r="AR483" s="857"/>
      <c r="AS483" s="857"/>
      <c r="AT483" s="855"/>
      <c r="AV483" s="857"/>
      <c r="AW483" s="857"/>
      <c r="AX483" s="857"/>
      <c r="AY483" s="857"/>
      <c r="AZ483" s="857"/>
      <c r="BA483" s="857"/>
      <c r="BB483" s="857"/>
      <c r="BC483" s="857"/>
      <c r="BD483" s="857"/>
      <c r="BE483" s="857"/>
      <c r="BF483" s="857"/>
      <c r="BG483" s="857"/>
    </row>
    <row r="484" spans="1:59" ht="15.75" customHeight="1">
      <c r="A484" s="857"/>
      <c r="B484" s="857"/>
      <c r="C484" s="857"/>
      <c r="D484" s="857"/>
      <c r="E484" s="857"/>
      <c r="F484" s="857"/>
      <c r="G484" s="857"/>
      <c r="H484" s="857"/>
      <c r="I484" s="857"/>
      <c r="J484" s="857"/>
      <c r="K484" s="857"/>
      <c r="L484" s="857"/>
      <c r="M484" s="857"/>
      <c r="N484" s="857"/>
      <c r="O484" s="857"/>
      <c r="P484" s="857"/>
      <c r="Q484" s="857"/>
      <c r="R484" s="857"/>
      <c r="S484" s="857"/>
      <c r="T484" s="857"/>
      <c r="U484" s="857"/>
      <c r="V484" s="857"/>
      <c r="W484" s="857"/>
      <c r="X484" s="857"/>
      <c r="Y484" s="857"/>
      <c r="Z484" s="857"/>
      <c r="AA484" s="857"/>
      <c r="AB484" s="857"/>
      <c r="AC484" s="857"/>
      <c r="AD484" s="857"/>
      <c r="AE484" s="857"/>
      <c r="AF484" s="857"/>
      <c r="AG484" s="857"/>
      <c r="AH484" s="857"/>
      <c r="AI484" s="857"/>
      <c r="AJ484" s="857"/>
      <c r="AK484" s="857"/>
      <c r="AL484" s="857"/>
      <c r="AM484" s="857"/>
      <c r="AN484" s="857"/>
      <c r="AO484" s="857"/>
      <c r="AP484" s="857"/>
      <c r="AQ484" s="857"/>
      <c r="AR484" s="857"/>
      <c r="AS484" s="857"/>
      <c r="AT484" s="855"/>
      <c r="AV484" s="857"/>
      <c r="AW484" s="857"/>
      <c r="AX484" s="857"/>
      <c r="AY484" s="857"/>
      <c r="AZ484" s="857"/>
      <c r="BA484" s="857"/>
      <c r="BB484" s="857"/>
      <c r="BC484" s="857"/>
      <c r="BD484" s="857"/>
      <c r="BE484" s="857"/>
      <c r="BF484" s="857"/>
      <c r="BG484" s="857"/>
    </row>
    <row r="485" spans="1:59" ht="15.75" customHeight="1">
      <c r="A485" s="857"/>
      <c r="B485" s="857"/>
      <c r="C485" s="857"/>
      <c r="D485" s="857"/>
      <c r="E485" s="857"/>
      <c r="F485" s="857"/>
      <c r="G485" s="857"/>
      <c r="H485" s="857"/>
      <c r="I485" s="857"/>
      <c r="J485" s="857"/>
      <c r="K485" s="857"/>
      <c r="L485" s="857"/>
      <c r="M485" s="857"/>
      <c r="N485" s="857"/>
      <c r="O485" s="857"/>
      <c r="P485" s="857"/>
      <c r="Q485" s="857"/>
      <c r="R485" s="857"/>
      <c r="S485" s="857"/>
      <c r="T485" s="857"/>
      <c r="U485" s="857"/>
      <c r="V485" s="857"/>
      <c r="W485" s="857"/>
      <c r="X485" s="857"/>
      <c r="Y485" s="857"/>
      <c r="Z485" s="857"/>
      <c r="AA485" s="857"/>
      <c r="AB485" s="857"/>
      <c r="AC485" s="857"/>
      <c r="AD485" s="857"/>
      <c r="AE485" s="857"/>
      <c r="AF485" s="857"/>
      <c r="AG485" s="857"/>
      <c r="AH485" s="857"/>
      <c r="AI485" s="857"/>
      <c r="AJ485" s="857"/>
      <c r="AK485" s="857"/>
      <c r="AL485" s="857"/>
      <c r="AM485" s="857"/>
      <c r="AN485" s="857"/>
      <c r="AO485" s="857"/>
      <c r="AP485" s="857"/>
      <c r="AQ485" s="857"/>
      <c r="AR485" s="857"/>
      <c r="AS485" s="857"/>
      <c r="AT485" s="855"/>
      <c r="AV485" s="857"/>
      <c r="AW485" s="857"/>
      <c r="AX485" s="857"/>
      <c r="AY485" s="857"/>
      <c r="AZ485" s="857"/>
      <c r="BA485" s="857"/>
      <c r="BB485" s="857"/>
      <c r="BC485" s="857"/>
      <c r="BD485" s="857"/>
      <c r="BE485" s="857"/>
      <c r="BF485" s="857"/>
      <c r="BG485" s="857"/>
    </row>
    <row r="486" spans="1:59" ht="15.75" customHeight="1">
      <c r="A486" s="857"/>
      <c r="B486" s="857"/>
      <c r="C486" s="857"/>
      <c r="D486" s="857"/>
      <c r="E486" s="857"/>
      <c r="F486" s="857"/>
      <c r="G486" s="857"/>
      <c r="H486" s="857"/>
      <c r="I486" s="857"/>
      <c r="J486" s="857"/>
      <c r="K486" s="857"/>
      <c r="L486" s="857"/>
      <c r="M486" s="857"/>
      <c r="N486" s="857"/>
      <c r="O486" s="857"/>
      <c r="P486" s="857"/>
      <c r="Q486" s="857"/>
      <c r="R486" s="857"/>
      <c r="S486" s="857"/>
      <c r="T486" s="857"/>
      <c r="U486" s="857"/>
      <c r="V486" s="857"/>
      <c r="W486" s="857"/>
      <c r="X486" s="857"/>
      <c r="Y486" s="857"/>
      <c r="Z486" s="857"/>
      <c r="AA486" s="857"/>
      <c r="AB486" s="857"/>
      <c r="AC486" s="857"/>
      <c r="AD486" s="857"/>
      <c r="AE486" s="857"/>
      <c r="AF486" s="857"/>
      <c r="AG486" s="857"/>
      <c r="AH486" s="857"/>
      <c r="AI486" s="857"/>
      <c r="AJ486" s="857"/>
      <c r="AK486" s="857"/>
      <c r="AL486" s="857"/>
      <c r="AM486" s="857"/>
      <c r="AN486" s="857"/>
      <c r="AO486" s="857"/>
      <c r="AP486" s="857"/>
      <c r="AQ486" s="857"/>
      <c r="AR486" s="857"/>
      <c r="AS486" s="857"/>
      <c r="AT486" s="855"/>
      <c r="AV486" s="857"/>
      <c r="AW486" s="857"/>
      <c r="AX486" s="857"/>
      <c r="AY486" s="857"/>
      <c r="AZ486" s="857"/>
      <c r="BA486" s="857"/>
      <c r="BB486" s="857"/>
      <c r="BC486" s="857"/>
      <c r="BD486" s="857"/>
      <c r="BE486" s="857"/>
      <c r="BF486" s="857"/>
      <c r="BG486" s="857"/>
    </row>
    <row r="487" spans="1:59" ht="15.75" customHeight="1">
      <c r="A487" s="857"/>
      <c r="B487" s="857"/>
      <c r="C487" s="857"/>
      <c r="D487" s="857"/>
      <c r="E487" s="857"/>
      <c r="F487" s="857"/>
      <c r="G487" s="857"/>
      <c r="H487" s="857"/>
      <c r="I487" s="857"/>
      <c r="J487" s="857"/>
      <c r="K487" s="857"/>
      <c r="L487" s="857"/>
      <c r="M487" s="857"/>
      <c r="N487" s="857"/>
      <c r="O487" s="857"/>
      <c r="P487" s="857"/>
      <c r="Q487" s="857"/>
      <c r="R487" s="857"/>
      <c r="S487" s="857"/>
      <c r="T487" s="857"/>
      <c r="U487" s="857"/>
      <c r="V487" s="857"/>
      <c r="W487" s="857"/>
      <c r="X487" s="857"/>
      <c r="Y487" s="857"/>
      <c r="Z487" s="857"/>
      <c r="AA487" s="857"/>
      <c r="AB487" s="857"/>
      <c r="AC487" s="857"/>
      <c r="AD487" s="857"/>
      <c r="AE487" s="857"/>
      <c r="AF487" s="857"/>
      <c r="AG487" s="857"/>
      <c r="AH487" s="857"/>
      <c r="AI487" s="857"/>
      <c r="AJ487" s="857"/>
      <c r="AK487" s="857"/>
      <c r="AL487" s="857"/>
      <c r="AM487" s="857"/>
      <c r="AN487" s="857"/>
      <c r="AO487" s="857"/>
      <c r="AP487" s="857"/>
      <c r="AQ487" s="857"/>
      <c r="AR487" s="857"/>
      <c r="AS487" s="857"/>
      <c r="AT487" s="855"/>
      <c r="AV487" s="857"/>
      <c r="AW487" s="857"/>
      <c r="AX487" s="857"/>
      <c r="AY487" s="857"/>
      <c r="AZ487" s="857"/>
      <c r="BA487" s="857"/>
      <c r="BB487" s="857"/>
      <c r="BC487" s="857"/>
      <c r="BD487" s="857"/>
      <c r="BE487" s="857"/>
      <c r="BF487" s="857"/>
      <c r="BG487" s="857"/>
    </row>
    <row r="488" spans="1:59" ht="15.75" customHeight="1">
      <c r="A488" s="857"/>
      <c r="B488" s="857"/>
      <c r="C488" s="857"/>
      <c r="D488" s="857"/>
      <c r="E488" s="857"/>
      <c r="F488" s="857"/>
      <c r="G488" s="857"/>
      <c r="H488" s="857"/>
      <c r="I488" s="857"/>
      <c r="J488" s="857"/>
      <c r="K488" s="857"/>
      <c r="L488" s="857"/>
      <c r="M488" s="857"/>
      <c r="N488" s="857"/>
      <c r="O488" s="857"/>
      <c r="P488" s="857"/>
      <c r="Q488" s="857"/>
      <c r="R488" s="857"/>
      <c r="S488" s="857"/>
      <c r="T488" s="857"/>
      <c r="U488" s="857"/>
      <c r="V488" s="857"/>
      <c r="W488" s="857"/>
      <c r="X488" s="857"/>
      <c r="Y488" s="857"/>
      <c r="Z488" s="857"/>
      <c r="AA488" s="857"/>
      <c r="AB488" s="857"/>
      <c r="AC488" s="857"/>
      <c r="AD488" s="857"/>
      <c r="AE488" s="857"/>
      <c r="AF488" s="857"/>
      <c r="AG488" s="857"/>
      <c r="AH488" s="857"/>
      <c r="AI488" s="857"/>
      <c r="AJ488" s="857"/>
      <c r="AK488" s="857"/>
      <c r="AL488" s="857"/>
      <c r="AM488" s="857"/>
      <c r="AN488" s="857"/>
      <c r="AO488" s="857"/>
      <c r="AP488" s="857"/>
      <c r="AQ488" s="857"/>
      <c r="AR488" s="857"/>
      <c r="AS488" s="857"/>
      <c r="AT488" s="855"/>
      <c r="AV488" s="857"/>
      <c r="AW488" s="857"/>
      <c r="AX488" s="857"/>
      <c r="AY488" s="857"/>
      <c r="AZ488" s="857"/>
      <c r="BA488" s="857"/>
      <c r="BB488" s="857"/>
      <c r="BC488" s="857"/>
      <c r="BD488" s="857"/>
      <c r="BE488" s="857"/>
      <c r="BF488" s="857"/>
      <c r="BG488" s="857"/>
    </row>
    <row r="489" spans="1:59" ht="15.75" customHeight="1">
      <c r="A489" s="857"/>
      <c r="B489" s="857"/>
      <c r="C489" s="857"/>
      <c r="D489" s="857"/>
      <c r="E489" s="857"/>
      <c r="F489" s="857"/>
      <c r="G489" s="857"/>
      <c r="H489" s="857"/>
      <c r="I489" s="857"/>
      <c r="J489" s="857"/>
      <c r="K489" s="857"/>
      <c r="L489" s="857"/>
      <c r="M489" s="857"/>
      <c r="N489" s="857"/>
      <c r="O489" s="857"/>
      <c r="P489" s="857"/>
      <c r="Q489" s="857"/>
      <c r="R489" s="857"/>
      <c r="S489" s="857"/>
      <c r="T489" s="857"/>
      <c r="U489" s="857"/>
      <c r="V489" s="857"/>
      <c r="W489" s="857"/>
      <c r="X489" s="857"/>
      <c r="Y489" s="857"/>
      <c r="Z489" s="857"/>
      <c r="AA489" s="857"/>
      <c r="AB489" s="857"/>
      <c r="AC489" s="857"/>
      <c r="AD489" s="857"/>
      <c r="AE489" s="857"/>
      <c r="AF489" s="857"/>
      <c r="AG489" s="857"/>
      <c r="AH489" s="857"/>
      <c r="AI489" s="857"/>
      <c r="AJ489" s="857"/>
      <c r="AK489" s="857"/>
      <c r="AL489" s="857"/>
      <c r="AM489" s="857"/>
      <c r="AN489" s="857"/>
      <c r="AO489" s="857"/>
      <c r="AP489" s="857"/>
      <c r="AQ489" s="857"/>
      <c r="AR489" s="857"/>
      <c r="AS489" s="857"/>
      <c r="AT489" s="855"/>
      <c r="AV489" s="857"/>
      <c r="AW489" s="857"/>
      <c r="AX489" s="857"/>
      <c r="AY489" s="857"/>
      <c r="AZ489" s="857"/>
      <c r="BA489" s="857"/>
      <c r="BB489" s="857"/>
      <c r="BC489" s="857"/>
      <c r="BD489" s="857"/>
      <c r="BE489" s="857"/>
      <c r="BF489" s="857"/>
      <c r="BG489" s="857"/>
    </row>
    <row r="490" spans="1:59" ht="15.75" customHeight="1">
      <c r="A490" s="857"/>
      <c r="B490" s="857"/>
      <c r="C490" s="857"/>
      <c r="D490" s="857"/>
      <c r="E490" s="857"/>
      <c r="F490" s="857"/>
      <c r="G490" s="857"/>
      <c r="H490" s="857"/>
      <c r="I490" s="857"/>
      <c r="J490" s="857"/>
      <c r="K490" s="857"/>
      <c r="L490" s="857"/>
      <c r="M490" s="857"/>
      <c r="N490" s="857"/>
      <c r="O490" s="857"/>
      <c r="P490" s="857"/>
      <c r="Q490" s="857"/>
      <c r="R490" s="857"/>
      <c r="S490" s="857"/>
      <c r="T490" s="857"/>
      <c r="U490" s="857"/>
      <c r="V490" s="857"/>
      <c r="W490" s="857"/>
      <c r="X490" s="857"/>
      <c r="Y490" s="857"/>
      <c r="Z490" s="857"/>
      <c r="AA490" s="857"/>
      <c r="AB490" s="857"/>
      <c r="AC490" s="857"/>
      <c r="AD490" s="857"/>
      <c r="AE490" s="857"/>
      <c r="AF490" s="857"/>
      <c r="AG490" s="857"/>
      <c r="AH490" s="857"/>
      <c r="AI490" s="857"/>
      <c r="AJ490" s="857"/>
      <c r="AK490" s="857"/>
      <c r="AL490" s="857"/>
      <c r="AM490" s="857"/>
      <c r="AN490" s="857"/>
      <c r="AO490" s="857"/>
      <c r="AP490" s="857"/>
      <c r="AQ490" s="857"/>
      <c r="AR490" s="857"/>
      <c r="AS490" s="857"/>
      <c r="AT490" s="855"/>
      <c r="AV490" s="857"/>
      <c r="AW490" s="857"/>
      <c r="AX490" s="857"/>
      <c r="AY490" s="857"/>
      <c r="AZ490" s="857"/>
      <c r="BA490" s="857"/>
      <c r="BB490" s="857"/>
      <c r="BC490" s="857"/>
      <c r="BD490" s="857"/>
      <c r="BE490" s="857"/>
      <c r="BF490" s="857"/>
      <c r="BG490" s="857"/>
    </row>
    <row r="491" spans="1:59" ht="15.75" customHeight="1">
      <c r="A491" s="857"/>
      <c r="B491" s="857"/>
      <c r="C491" s="857"/>
      <c r="D491" s="857"/>
      <c r="E491" s="857"/>
      <c r="F491" s="857"/>
      <c r="G491" s="857"/>
      <c r="H491" s="857"/>
      <c r="I491" s="857"/>
      <c r="J491" s="857"/>
      <c r="K491" s="857"/>
      <c r="L491" s="857"/>
      <c r="M491" s="857"/>
      <c r="N491" s="857"/>
      <c r="O491" s="857"/>
      <c r="P491" s="857"/>
      <c r="Q491" s="857"/>
      <c r="R491" s="857"/>
      <c r="S491" s="857"/>
      <c r="T491" s="857"/>
      <c r="U491" s="857"/>
      <c r="V491" s="857"/>
      <c r="W491" s="857"/>
      <c r="X491" s="857"/>
      <c r="Y491" s="857"/>
      <c r="Z491" s="857"/>
      <c r="AA491" s="857"/>
      <c r="AB491" s="857"/>
      <c r="AC491" s="857"/>
      <c r="AD491" s="857"/>
      <c r="AE491" s="857"/>
      <c r="AF491" s="857"/>
      <c r="AG491" s="857"/>
      <c r="AH491" s="857"/>
      <c r="AI491" s="857"/>
      <c r="AJ491" s="857"/>
      <c r="AK491" s="857"/>
      <c r="AL491" s="857"/>
      <c r="AM491" s="857"/>
      <c r="AN491" s="857"/>
      <c r="AO491" s="857"/>
      <c r="AP491" s="857"/>
      <c r="AQ491" s="857"/>
      <c r="AR491" s="857"/>
      <c r="AS491" s="857"/>
      <c r="AT491" s="855"/>
      <c r="AV491" s="857"/>
      <c r="AW491" s="857"/>
      <c r="AX491" s="857"/>
      <c r="AY491" s="857"/>
      <c r="AZ491" s="857"/>
      <c r="BA491" s="857"/>
      <c r="BB491" s="857"/>
      <c r="BC491" s="857"/>
      <c r="BD491" s="857"/>
      <c r="BE491" s="857"/>
      <c r="BF491" s="857"/>
      <c r="BG491" s="857"/>
    </row>
    <row r="492" spans="1:59" ht="15.75" customHeight="1">
      <c r="A492" s="857"/>
      <c r="B492" s="857"/>
      <c r="C492" s="857"/>
      <c r="D492" s="857"/>
      <c r="E492" s="857"/>
      <c r="F492" s="857"/>
      <c r="G492" s="857"/>
      <c r="H492" s="857"/>
      <c r="I492" s="857"/>
      <c r="J492" s="857"/>
      <c r="K492" s="857"/>
      <c r="L492" s="857"/>
      <c r="M492" s="857"/>
      <c r="N492" s="857"/>
      <c r="O492" s="857"/>
      <c r="P492" s="857"/>
      <c r="Q492" s="857"/>
      <c r="R492" s="857"/>
      <c r="S492" s="857"/>
      <c r="T492" s="857"/>
      <c r="U492" s="857"/>
      <c r="V492" s="857"/>
      <c r="W492" s="857"/>
      <c r="X492" s="857"/>
      <c r="Y492" s="857"/>
      <c r="Z492" s="857"/>
      <c r="AA492" s="857"/>
      <c r="AB492" s="857"/>
      <c r="AC492" s="857"/>
      <c r="AD492" s="857"/>
      <c r="AE492" s="857"/>
      <c r="AF492" s="857"/>
      <c r="AG492" s="857"/>
      <c r="AH492" s="857"/>
      <c r="AI492" s="857"/>
      <c r="AJ492" s="857"/>
      <c r="AK492" s="857"/>
      <c r="AL492" s="857"/>
      <c r="AM492" s="857"/>
      <c r="AN492" s="857"/>
      <c r="AO492" s="857"/>
      <c r="AP492" s="857"/>
      <c r="AQ492" s="857"/>
      <c r="AR492" s="857"/>
      <c r="AS492" s="857"/>
      <c r="AT492" s="855"/>
      <c r="AV492" s="857"/>
      <c r="AW492" s="857"/>
      <c r="AX492" s="857"/>
      <c r="AY492" s="857"/>
      <c r="AZ492" s="857"/>
      <c r="BA492" s="857"/>
      <c r="BB492" s="857"/>
      <c r="BC492" s="857"/>
      <c r="BD492" s="857"/>
      <c r="BE492" s="857"/>
      <c r="BF492" s="857"/>
      <c r="BG492" s="857"/>
    </row>
    <row r="493" spans="1:59" ht="15.75" customHeight="1">
      <c r="A493" s="857"/>
      <c r="B493" s="857"/>
      <c r="C493" s="857"/>
      <c r="D493" s="857"/>
      <c r="E493" s="857"/>
      <c r="F493" s="857"/>
      <c r="G493" s="857"/>
      <c r="H493" s="857"/>
      <c r="I493" s="857"/>
      <c r="J493" s="857"/>
      <c r="K493" s="857"/>
      <c r="L493" s="857"/>
      <c r="M493" s="857"/>
      <c r="N493" s="857"/>
      <c r="O493" s="857"/>
      <c r="P493" s="857"/>
      <c r="Q493" s="857"/>
      <c r="R493" s="857"/>
      <c r="S493" s="857"/>
      <c r="T493" s="857"/>
      <c r="U493" s="857"/>
      <c r="V493" s="857"/>
      <c r="W493" s="857"/>
      <c r="X493" s="857"/>
      <c r="Y493" s="857"/>
      <c r="Z493" s="857"/>
      <c r="AA493" s="857"/>
      <c r="AB493" s="857"/>
      <c r="AC493" s="857"/>
      <c r="AD493" s="857"/>
      <c r="AE493" s="857"/>
      <c r="AF493" s="857"/>
      <c r="AG493" s="857"/>
      <c r="AH493" s="857"/>
      <c r="AI493" s="857"/>
      <c r="AJ493" s="857"/>
      <c r="AK493" s="857"/>
      <c r="AL493" s="857"/>
      <c r="AM493" s="857"/>
      <c r="AN493" s="857"/>
      <c r="AO493" s="857"/>
      <c r="AP493" s="857"/>
      <c r="AQ493" s="857"/>
      <c r="AR493" s="857"/>
      <c r="AS493" s="857"/>
      <c r="AT493" s="855"/>
      <c r="AV493" s="857"/>
      <c r="AW493" s="857"/>
      <c r="AX493" s="857"/>
      <c r="AY493" s="857"/>
      <c r="AZ493" s="857"/>
      <c r="BA493" s="857"/>
      <c r="BB493" s="857"/>
      <c r="BC493" s="857"/>
      <c r="BD493" s="857"/>
      <c r="BE493" s="857"/>
      <c r="BF493" s="857"/>
      <c r="BG493" s="857"/>
    </row>
    <row r="494" spans="1:59" ht="15.75" customHeight="1">
      <c r="A494" s="857"/>
      <c r="B494" s="857"/>
      <c r="C494" s="857"/>
      <c r="D494" s="857"/>
      <c r="E494" s="857"/>
      <c r="F494" s="857"/>
      <c r="G494" s="857"/>
      <c r="H494" s="857"/>
      <c r="I494" s="857"/>
      <c r="J494" s="857"/>
      <c r="K494" s="857"/>
      <c r="L494" s="857"/>
      <c r="M494" s="857"/>
      <c r="N494" s="857"/>
      <c r="O494" s="857"/>
      <c r="P494" s="857"/>
      <c r="Q494" s="857"/>
      <c r="R494" s="857"/>
      <c r="S494" s="857"/>
      <c r="T494" s="857"/>
      <c r="U494" s="857"/>
      <c r="V494" s="857"/>
      <c r="W494" s="857"/>
      <c r="X494" s="857"/>
      <c r="Y494" s="857"/>
      <c r="Z494" s="857"/>
      <c r="AA494" s="857"/>
      <c r="AB494" s="857"/>
      <c r="AC494" s="857"/>
      <c r="AD494" s="857"/>
      <c r="AE494" s="857"/>
      <c r="AF494" s="857"/>
      <c r="AG494" s="857"/>
      <c r="AH494" s="857"/>
      <c r="AI494" s="857"/>
      <c r="AJ494" s="857"/>
      <c r="AK494" s="857"/>
      <c r="AL494" s="857"/>
      <c r="AM494" s="857"/>
      <c r="AN494" s="857"/>
      <c r="AO494" s="857"/>
      <c r="AP494" s="857"/>
      <c r="AQ494" s="857"/>
      <c r="AR494" s="857"/>
      <c r="AS494" s="857"/>
      <c r="AT494" s="855"/>
      <c r="AV494" s="857"/>
      <c r="AW494" s="857"/>
      <c r="AX494" s="857"/>
      <c r="AY494" s="857"/>
      <c r="AZ494" s="857"/>
      <c r="BA494" s="857"/>
      <c r="BB494" s="857"/>
      <c r="BC494" s="857"/>
      <c r="BD494" s="857"/>
      <c r="BE494" s="857"/>
      <c r="BF494" s="857"/>
      <c r="BG494" s="857"/>
    </row>
    <row r="495" spans="1:59" ht="15.75" customHeight="1">
      <c r="A495" s="857"/>
      <c r="B495" s="857"/>
      <c r="C495" s="857"/>
      <c r="D495" s="857"/>
      <c r="E495" s="857"/>
      <c r="F495" s="857"/>
      <c r="G495" s="857"/>
      <c r="H495" s="857"/>
      <c r="I495" s="857"/>
      <c r="J495" s="857"/>
      <c r="K495" s="857"/>
      <c r="L495" s="857"/>
      <c r="M495" s="857"/>
      <c r="N495" s="857"/>
      <c r="O495" s="857"/>
      <c r="P495" s="857"/>
      <c r="Q495" s="857"/>
      <c r="R495" s="857"/>
      <c r="S495" s="857"/>
      <c r="T495" s="857"/>
      <c r="U495" s="857"/>
      <c r="V495" s="857"/>
      <c r="W495" s="857"/>
      <c r="X495" s="857"/>
      <c r="Y495" s="857"/>
      <c r="Z495" s="857"/>
      <c r="AA495" s="857"/>
      <c r="AB495" s="857"/>
      <c r="AC495" s="857"/>
      <c r="AD495" s="857"/>
      <c r="AE495" s="857"/>
      <c r="AF495" s="857"/>
      <c r="AG495" s="857"/>
      <c r="AH495" s="857"/>
      <c r="AI495" s="857"/>
      <c r="AJ495" s="857"/>
      <c r="AK495" s="857"/>
      <c r="AL495" s="857"/>
      <c r="AM495" s="857"/>
      <c r="AN495" s="857"/>
      <c r="AO495" s="857"/>
      <c r="AP495" s="857"/>
      <c r="AQ495" s="857"/>
      <c r="AR495" s="857"/>
      <c r="AS495" s="857"/>
      <c r="AT495" s="855"/>
      <c r="AV495" s="857"/>
      <c r="AW495" s="857"/>
      <c r="AX495" s="857"/>
      <c r="AY495" s="857"/>
      <c r="AZ495" s="857"/>
      <c r="BA495" s="857"/>
      <c r="BB495" s="857"/>
      <c r="BC495" s="857"/>
      <c r="BD495" s="857"/>
      <c r="BE495" s="857"/>
      <c r="BF495" s="857"/>
      <c r="BG495" s="857"/>
    </row>
    <row r="496" spans="1:59" ht="15.75" customHeight="1">
      <c r="A496" s="857"/>
      <c r="B496" s="857"/>
      <c r="C496" s="857"/>
      <c r="D496" s="857"/>
      <c r="E496" s="857"/>
      <c r="F496" s="857"/>
      <c r="G496" s="857"/>
      <c r="H496" s="857"/>
      <c r="I496" s="857"/>
      <c r="J496" s="857"/>
      <c r="K496" s="857"/>
      <c r="L496" s="857"/>
      <c r="M496" s="857"/>
      <c r="N496" s="857"/>
      <c r="O496" s="857"/>
      <c r="P496" s="857"/>
      <c r="Q496" s="857"/>
      <c r="R496" s="857"/>
      <c r="S496" s="857"/>
      <c r="T496" s="857"/>
      <c r="U496" s="857"/>
      <c r="V496" s="857"/>
      <c r="W496" s="857"/>
      <c r="X496" s="857"/>
      <c r="Y496" s="857"/>
      <c r="Z496" s="857"/>
      <c r="AA496" s="857"/>
      <c r="AB496" s="857"/>
      <c r="AC496" s="857"/>
      <c r="AD496" s="857"/>
      <c r="AE496" s="857"/>
      <c r="AF496" s="857"/>
      <c r="AG496" s="857"/>
      <c r="AH496" s="857"/>
      <c r="AI496" s="857"/>
      <c r="AJ496" s="857"/>
      <c r="AK496" s="857"/>
      <c r="AL496" s="857"/>
      <c r="AM496" s="857"/>
      <c r="AN496" s="857"/>
      <c r="AO496" s="857"/>
      <c r="AP496" s="857"/>
      <c r="AQ496" s="857"/>
      <c r="AR496" s="857"/>
      <c r="AS496" s="857"/>
      <c r="AT496" s="855"/>
      <c r="AV496" s="857"/>
      <c r="AW496" s="857"/>
      <c r="AX496" s="857"/>
      <c r="AY496" s="857"/>
      <c r="AZ496" s="857"/>
      <c r="BA496" s="857"/>
      <c r="BB496" s="857"/>
      <c r="BC496" s="857"/>
      <c r="BD496" s="857"/>
      <c r="BE496" s="857"/>
      <c r="BF496" s="857"/>
      <c r="BG496" s="857"/>
    </row>
    <row r="497" spans="1:59" ht="15.75" customHeight="1">
      <c r="A497" s="857"/>
      <c r="B497" s="857"/>
      <c r="C497" s="857"/>
      <c r="D497" s="857"/>
      <c r="E497" s="857"/>
      <c r="F497" s="857"/>
      <c r="G497" s="857"/>
      <c r="H497" s="857"/>
      <c r="I497" s="857"/>
      <c r="J497" s="857"/>
      <c r="K497" s="857"/>
      <c r="L497" s="857"/>
      <c r="M497" s="857"/>
      <c r="N497" s="857"/>
      <c r="O497" s="857"/>
      <c r="P497" s="857"/>
      <c r="Q497" s="857"/>
      <c r="R497" s="857"/>
      <c r="S497" s="857"/>
      <c r="T497" s="857"/>
      <c r="U497" s="857"/>
      <c r="V497" s="857"/>
      <c r="W497" s="857"/>
      <c r="X497" s="857"/>
      <c r="Y497" s="857"/>
      <c r="Z497" s="857"/>
      <c r="AA497" s="857"/>
      <c r="AB497" s="857"/>
      <c r="AC497" s="857"/>
      <c r="AD497" s="857"/>
      <c r="AE497" s="857"/>
      <c r="AF497" s="857"/>
      <c r="AG497" s="857"/>
      <c r="AH497" s="857"/>
      <c r="AI497" s="857"/>
      <c r="AJ497" s="857"/>
      <c r="AK497" s="857"/>
      <c r="AL497" s="857"/>
      <c r="AM497" s="857"/>
      <c r="AN497" s="857"/>
      <c r="AO497" s="857"/>
      <c r="AP497" s="857"/>
      <c r="AQ497" s="857"/>
      <c r="AR497" s="857"/>
      <c r="AS497" s="857"/>
      <c r="AT497" s="855"/>
      <c r="AV497" s="857"/>
      <c r="AW497" s="857"/>
      <c r="AX497" s="857"/>
      <c r="AY497" s="857"/>
      <c r="AZ497" s="857"/>
      <c r="BA497" s="857"/>
      <c r="BB497" s="857"/>
      <c r="BC497" s="857"/>
      <c r="BD497" s="857"/>
      <c r="BE497" s="857"/>
      <c r="BF497" s="857"/>
      <c r="BG497" s="857"/>
    </row>
    <row r="498" spans="1:59" ht="15.75" customHeight="1">
      <c r="A498" s="857"/>
      <c r="B498" s="857"/>
      <c r="C498" s="857"/>
      <c r="D498" s="857"/>
      <c r="E498" s="857"/>
      <c r="F498" s="857"/>
      <c r="G498" s="857"/>
      <c r="H498" s="857"/>
      <c r="I498" s="857"/>
      <c r="J498" s="857"/>
      <c r="K498" s="857"/>
      <c r="L498" s="857"/>
      <c r="M498" s="857"/>
      <c r="N498" s="857"/>
      <c r="O498" s="857"/>
      <c r="P498" s="857"/>
      <c r="Q498" s="857"/>
      <c r="R498" s="857"/>
      <c r="S498" s="857"/>
      <c r="T498" s="857"/>
      <c r="U498" s="857"/>
      <c r="V498" s="857"/>
      <c r="W498" s="857"/>
      <c r="X498" s="857"/>
      <c r="Y498" s="857"/>
      <c r="Z498" s="857"/>
      <c r="AA498" s="857"/>
      <c r="AB498" s="857"/>
      <c r="AC498" s="857"/>
      <c r="AD498" s="857"/>
      <c r="AE498" s="857"/>
      <c r="AF498" s="857"/>
      <c r="AG498" s="857"/>
      <c r="AH498" s="857"/>
      <c r="AI498" s="857"/>
      <c r="AJ498" s="857"/>
      <c r="AK498" s="857"/>
      <c r="AL498" s="857"/>
      <c r="AM498" s="857"/>
      <c r="AN498" s="857"/>
      <c r="AO498" s="857"/>
      <c r="AP498" s="857"/>
      <c r="AQ498" s="857"/>
      <c r="AR498" s="857"/>
      <c r="AS498" s="857"/>
      <c r="AT498" s="855"/>
      <c r="AV498" s="857"/>
      <c r="AW498" s="857"/>
      <c r="AX498" s="857"/>
      <c r="AY498" s="857"/>
      <c r="AZ498" s="857"/>
      <c r="BA498" s="857"/>
      <c r="BB498" s="857"/>
      <c r="BC498" s="857"/>
      <c r="BD498" s="857"/>
      <c r="BE498" s="857"/>
      <c r="BF498" s="857"/>
      <c r="BG498" s="857"/>
    </row>
    <row r="499" spans="1:59" ht="15.75" customHeight="1">
      <c r="A499" s="857"/>
      <c r="B499" s="857"/>
      <c r="C499" s="857"/>
      <c r="D499" s="857"/>
      <c r="E499" s="857"/>
      <c r="F499" s="857"/>
      <c r="G499" s="857"/>
      <c r="H499" s="857"/>
      <c r="I499" s="857"/>
      <c r="J499" s="857"/>
      <c r="K499" s="857"/>
      <c r="L499" s="857"/>
      <c r="M499" s="857"/>
      <c r="N499" s="857"/>
      <c r="O499" s="857"/>
      <c r="P499" s="857"/>
      <c r="Q499" s="857"/>
      <c r="R499" s="857"/>
      <c r="S499" s="857"/>
      <c r="T499" s="857"/>
      <c r="U499" s="857"/>
      <c r="V499" s="857"/>
      <c r="W499" s="857"/>
      <c r="X499" s="857"/>
      <c r="Y499" s="857"/>
      <c r="Z499" s="857"/>
      <c r="AA499" s="857"/>
      <c r="AB499" s="857"/>
      <c r="AC499" s="857"/>
      <c r="AD499" s="857"/>
      <c r="AE499" s="857"/>
      <c r="AF499" s="857"/>
      <c r="AG499" s="857"/>
      <c r="AH499" s="857"/>
      <c r="AI499" s="857"/>
      <c r="AJ499" s="857"/>
      <c r="AK499" s="857"/>
      <c r="AL499" s="857"/>
      <c r="AM499" s="857"/>
      <c r="AN499" s="857"/>
      <c r="AO499" s="857"/>
      <c r="AP499" s="857"/>
      <c r="AQ499" s="857"/>
      <c r="AR499" s="857"/>
      <c r="AS499" s="857"/>
      <c r="AT499" s="855"/>
      <c r="AV499" s="857"/>
      <c r="AW499" s="857"/>
      <c r="AX499" s="857"/>
      <c r="AY499" s="857"/>
      <c r="AZ499" s="857"/>
      <c r="BA499" s="857"/>
      <c r="BB499" s="857"/>
      <c r="BC499" s="857"/>
      <c r="BD499" s="857"/>
      <c r="BE499" s="857"/>
      <c r="BF499" s="857"/>
      <c r="BG499" s="857"/>
    </row>
    <row r="500" spans="1:59" ht="15.75" customHeight="1">
      <c r="A500" s="857"/>
      <c r="B500" s="857"/>
      <c r="C500" s="857"/>
      <c r="D500" s="857"/>
      <c r="E500" s="857"/>
      <c r="F500" s="857"/>
      <c r="G500" s="857"/>
      <c r="H500" s="857"/>
      <c r="I500" s="857"/>
      <c r="J500" s="857"/>
      <c r="K500" s="857"/>
      <c r="L500" s="857"/>
      <c r="M500" s="857"/>
      <c r="N500" s="857"/>
      <c r="O500" s="857"/>
      <c r="P500" s="857"/>
      <c r="Q500" s="857"/>
      <c r="R500" s="857"/>
      <c r="S500" s="857"/>
      <c r="T500" s="857"/>
      <c r="U500" s="857"/>
      <c r="V500" s="857"/>
      <c r="W500" s="857"/>
      <c r="X500" s="857"/>
      <c r="Y500" s="857"/>
      <c r="Z500" s="857"/>
      <c r="AA500" s="857"/>
      <c r="AB500" s="857"/>
      <c r="AC500" s="857"/>
      <c r="AD500" s="857"/>
      <c r="AE500" s="857"/>
      <c r="AF500" s="857"/>
      <c r="AG500" s="857"/>
      <c r="AH500" s="857"/>
      <c r="AI500" s="857"/>
      <c r="AJ500" s="857"/>
      <c r="AK500" s="857"/>
      <c r="AL500" s="857"/>
      <c r="AM500" s="857"/>
      <c r="AN500" s="857"/>
      <c r="AO500" s="857"/>
      <c r="AP500" s="857"/>
      <c r="AQ500" s="857"/>
      <c r="AR500" s="857"/>
      <c r="AS500" s="857"/>
      <c r="AT500" s="855"/>
      <c r="AV500" s="857"/>
      <c r="AW500" s="857"/>
      <c r="AX500" s="857"/>
      <c r="AY500" s="857"/>
      <c r="AZ500" s="857"/>
      <c r="BA500" s="857"/>
      <c r="BB500" s="857"/>
      <c r="BC500" s="857"/>
      <c r="BD500" s="857"/>
      <c r="BE500" s="857"/>
      <c r="BF500" s="857"/>
      <c r="BG500" s="857"/>
    </row>
    <row r="501" spans="1:59" ht="15.75" customHeight="1">
      <c r="A501" s="857"/>
      <c r="B501" s="857"/>
      <c r="C501" s="857"/>
      <c r="D501" s="857"/>
      <c r="E501" s="857"/>
      <c r="F501" s="857"/>
      <c r="G501" s="857"/>
      <c r="H501" s="857"/>
      <c r="I501" s="857"/>
      <c r="J501" s="857"/>
      <c r="K501" s="857"/>
      <c r="L501" s="857"/>
      <c r="M501" s="857"/>
      <c r="N501" s="857"/>
      <c r="O501" s="857"/>
      <c r="P501" s="857"/>
      <c r="Q501" s="857"/>
      <c r="R501" s="857"/>
      <c r="S501" s="857"/>
      <c r="T501" s="857"/>
      <c r="U501" s="857"/>
      <c r="V501" s="857"/>
      <c r="W501" s="857"/>
      <c r="X501" s="857"/>
      <c r="Y501" s="857"/>
      <c r="Z501" s="857"/>
      <c r="AA501" s="857"/>
      <c r="AB501" s="857"/>
      <c r="AC501" s="857"/>
      <c r="AD501" s="857"/>
      <c r="AE501" s="857"/>
      <c r="AF501" s="857"/>
      <c r="AG501" s="857"/>
      <c r="AH501" s="857"/>
      <c r="AI501" s="857"/>
      <c r="AJ501" s="857"/>
      <c r="AK501" s="857"/>
      <c r="AL501" s="857"/>
      <c r="AM501" s="857"/>
      <c r="AN501" s="857"/>
      <c r="AO501" s="857"/>
      <c r="AP501" s="857"/>
      <c r="AQ501" s="857"/>
      <c r="AR501" s="857"/>
      <c r="AS501" s="857"/>
      <c r="AT501" s="855"/>
      <c r="AV501" s="857"/>
      <c r="AW501" s="857"/>
      <c r="AX501" s="857"/>
      <c r="AY501" s="857"/>
      <c r="AZ501" s="857"/>
      <c r="BA501" s="857"/>
      <c r="BB501" s="857"/>
      <c r="BC501" s="857"/>
      <c r="BD501" s="857"/>
      <c r="BE501" s="857"/>
      <c r="BF501" s="857"/>
      <c r="BG501" s="857"/>
    </row>
    <row r="502" spans="1:59" ht="15.75" customHeight="1">
      <c r="A502" s="857"/>
      <c r="B502" s="857"/>
      <c r="C502" s="857"/>
      <c r="D502" s="857"/>
      <c r="E502" s="857"/>
      <c r="F502" s="857"/>
      <c r="G502" s="857"/>
      <c r="H502" s="857"/>
      <c r="I502" s="857"/>
      <c r="J502" s="857"/>
      <c r="K502" s="857"/>
      <c r="L502" s="857"/>
      <c r="M502" s="857"/>
      <c r="N502" s="857"/>
      <c r="O502" s="857"/>
      <c r="P502" s="857"/>
      <c r="Q502" s="857"/>
      <c r="R502" s="857"/>
      <c r="S502" s="857"/>
      <c r="T502" s="857"/>
      <c r="U502" s="857"/>
      <c r="V502" s="857"/>
      <c r="W502" s="857"/>
      <c r="X502" s="857"/>
      <c r="Y502" s="857"/>
      <c r="Z502" s="857"/>
      <c r="AA502" s="857"/>
      <c r="AB502" s="857"/>
      <c r="AC502" s="857"/>
      <c r="AD502" s="857"/>
      <c r="AE502" s="857"/>
      <c r="AF502" s="857"/>
      <c r="AG502" s="857"/>
      <c r="AH502" s="857"/>
      <c r="AI502" s="857"/>
      <c r="AJ502" s="857"/>
      <c r="AK502" s="857"/>
      <c r="AL502" s="857"/>
      <c r="AM502" s="857"/>
      <c r="AN502" s="857"/>
      <c r="AO502" s="857"/>
      <c r="AP502" s="857"/>
      <c r="AQ502" s="857"/>
      <c r="AR502" s="857"/>
      <c r="AS502" s="857"/>
      <c r="AT502" s="855"/>
      <c r="AV502" s="857"/>
      <c r="AW502" s="857"/>
      <c r="AX502" s="857"/>
      <c r="AY502" s="857"/>
      <c r="AZ502" s="857"/>
      <c r="BA502" s="857"/>
      <c r="BB502" s="857"/>
      <c r="BC502" s="857"/>
      <c r="BD502" s="857"/>
      <c r="BE502" s="857"/>
      <c r="BF502" s="857"/>
      <c r="BG502" s="857"/>
    </row>
    <row r="503" spans="1:59" ht="15.75" customHeight="1">
      <c r="A503" s="857"/>
      <c r="B503" s="857"/>
      <c r="C503" s="857"/>
      <c r="D503" s="857"/>
      <c r="E503" s="857"/>
      <c r="F503" s="857"/>
      <c r="G503" s="857"/>
      <c r="H503" s="857"/>
      <c r="I503" s="857"/>
      <c r="J503" s="857"/>
      <c r="K503" s="857"/>
      <c r="L503" s="857"/>
      <c r="M503" s="857"/>
      <c r="N503" s="857"/>
      <c r="O503" s="857"/>
      <c r="P503" s="857"/>
      <c r="Q503" s="857"/>
      <c r="R503" s="857"/>
      <c r="S503" s="857"/>
      <c r="T503" s="857"/>
      <c r="U503" s="857"/>
      <c r="V503" s="857"/>
      <c r="W503" s="857"/>
      <c r="X503" s="857"/>
      <c r="Y503" s="857"/>
      <c r="Z503" s="857"/>
      <c r="AA503" s="857"/>
      <c r="AB503" s="857"/>
      <c r="AC503" s="857"/>
      <c r="AD503" s="857"/>
      <c r="AE503" s="857"/>
      <c r="AF503" s="857"/>
      <c r="AG503" s="857"/>
      <c r="AH503" s="857"/>
      <c r="AI503" s="857"/>
      <c r="AJ503" s="857"/>
      <c r="AK503" s="857"/>
      <c r="AL503" s="857"/>
      <c r="AM503" s="857"/>
      <c r="AN503" s="857"/>
      <c r="AO503" s="857"/>
      <c r="AP503" s="857"/>
      <c r="AQ503" s="857"/>
      <c r="AR503" s="857"/>
      <c r="AS503" s="857"/>
      <c r="AT503" s="855"/>
      <c r="AV503" s="857"/>
      <c r="AW503" s="857"/>
      <c r="AX503" s="857"/>
      <c r="AY503" s="857"/>
      <c r="AZ503" s="857"/>
      <c r="BA503" s="857"/>
      <c r="BB503" s="857"/>
      <c r="BC503" s="857"/>
      <c r="BD503" s="857"/>
      <c r="BE503" s="857"/>
      <c r="BF503" s="857"/>
      <c r="BG503" s="857"/>
    </row>
    <row r="504" spans="1:59" ht="15.75" customHeight="1">
      <c r="A504" s="857"/>
      <c r="B504" s="857"/>
      <c r="C504" s="857"/>
      <c r="D504" s="857"/>
      <c r="E504" s="857"/>
      <c r="F504" s="857"/>
      <c r="G504" s="857"/>
      <c r="H504" s="857"/>
      <c r="I504" s="857"/>
      <c r="J504" s="857"/>
      <c r="K504" s="857"/>
      <c r="L504" s="857"/>
      <c r="M504" s="857"/>
      <c r="N504" s="857"/>
      <c r="O504" s="857"/>
      <c r="P504" s="857"/>
      <c r="Q504" s="857"/>
      <c r="R504" s="857"/>
      <c r="S504" s="857"/>
      <c r="T504" s="857"/>
      <c r="U504" s="857"/>
      <c r="V504" s="857"/>
      <c r="W504" s="857"/>
      <c r="X504" s="857"/>
      <c r="Y504" s="857"/>
      <c r="Z504" s="857"/>
      <c r="AA504" s="857"/>
      <c r="AB504" s="857"/>
      <c r="AC504" s="857"/>
      <c r="AD504" s="857"/>
      <c r="AE504" s="857"/>
      <c r="AF504" s="857"/>
      <c r="AG504" s="857"/>
      <c r="AH504" s="857"/>
      <c r="AI504" s="857"/>
      <c r="AJ504" s="857"/>
      <c r="AK504" s="857"/>
      <c r="AL504" s="857"/>
      <c r="AM504" s="857"/>
      <c r="AN504" s="857"/>
      <c r="AO504" s="857"/>
      <c r="AP504" s="857"/>
      <c r="AQ504" s="857"/>
      <c r="AR504" s="857"/>
      <c r="AS504" s="857"/>
      <c r="AT504" s="855"/>
      <c r="AV504" s="857"/>
      <c r="AW504" s="857"/>
      <c r="AX504" s="857"/>
      <c r="AY504" s="857"/>
      <c r="AZ504" s="857"/>
      <c r="BA504" s="857"/>
      <c r="BB504" s="857"/>
      <c r="BC504" s="857"/>
      <c r="BD504" s="857"/>
      <c r="BE504" s="857"/>
      <c r="BF504" s="857"/>
      <c r="BG504" s="857"/>
    </row>
    <row r="505" spans="1:59" ht="15.75" customHeight="1">
      <c r="A505" s="857"/>
      <c r="B505" s="857"/>
      <c r="C505" s="857"/>
      <c r="D505" s="857"/>
      <c r="E505" s="857"/>
      <c r="F505" s="857"/>
      <c r="G505" s="857"/>
      <c r="H505" s="857"/>
      <c r="I505" s="857"/>
      <c r="J505" s="857"/>
      <c r="K505" s="857"/>
      <c r="L505" s="857"/>
      <c r="M505" s="857"/>
      <c r="N505" s="857"/>
      <c r="O505" s="857"/>
      <c r="P505" s="857"/>
      <c r="Q505" s="857"/>
      <c r="R505" s="857"/>
      <c r="S505" s="857"/>
      <c r="T505" s="857"/>
      <c r="U505" s="857"/>
      <c r="V505" s="857"/>
      <c r="W505" s="857"/>
      <c r="X505" s="857"/>
      <c r="Y505" s="857"/>
      <c r="Z505" s="857"/>
      <c r="AA505" s="857"/>
      <c r="AB505" s="857"/>
      <c r="AC505" s="857"/>
      <c r="AD505" s="857"/>
      <c r="AE505" s="857"/>
      <c r="AF505" s="857"/>
      <c r="AG505" s="857"/>
      <c r="AH505" s="857"/>
      <c r="AI505" s="857"/>
      <c r="AJ505" s="857"/>
      <c r="AK505" s="857"/>
      <c r="AL505" s="857"/>
      <c r="AM505" s="857"/>
      <c r="AN505" s="857"/>
      <c r="AO505" s="857"/>
      <c r="AP505" s="857"/>
      <c r="AQ505" s="857"/>
      <c r="AR505" s="857"/>
      <c r="AS505" s="857"/>
      <c r="AT505" s="855"/>
      <c r="AV505" s="857"/>
      <c r="AW505" s="857"/>
      <c r="AX505" s="857"/>
      <c r="AY505" s="857"/>
      <c r="AZ505" s="857"/>
      <c r="BA505" s="857"/>
      <c r="BB505" s="857"/>
      <c r="BC505" s="857"/>
      <c r="BD505" s="857"/>
      <c r="BE505" s="857"/>
      <c r="BF505" s="857"/>
      <c r="BG505" s="857"/>
    </row>
    <row r="506" spans="1:59" ht="15.75" customHeight="1">
      <c r="A506" s="857"/>
      <c r="B506" s="857"/>
      <c r="C506" s="857"/>
      <c r="D506" s="857"/>
      <c r="E506" s="857"/>
      <c r="F506" s="857"/>
      <c r="G506" s="857"/>
      <c r="H506" s="857"/>
      <c r="I506" s="857"/>
      <c r="J506" s="857"/>
      <c r="K506" s="857"/>
      <c r="L506" s="857"/>
      <c r="M506" s="857"/>
      <c r="N506" s="857"/>
      <c r="O506" s="857"/>
      <c r="P506" s="857"/>
      <c r="Q506" s="857"/>
      <c r="R506" s="857"/>
      <c r="S506" s="857"/>
      <c r="T506" s="857"/>
      <c r="U506" s="857"/>
      <c r="V506" s="857"/>
      <c r="W506" s="857"/>
      <c r="X506" s="857"/>
      <c r="Y506" s="857"/>
      <c r="Z506" s="857"/>
      <c r="AA506" s="857"/>
      <c r="AB506" s="857"/>
      <c r="AC506" s="857"/>
      <c r="AD506" s="857"/>
      <c r="AE506" s="857"/>
      <c r="AF506" s="857"/>
      <c r="AG506" s="857"/>
      <c r="AH506" s="857"/>
      <c r="AI506" s="857"/>
      <c r="AJ506" s="857"/>
      <c r="AK506" s="857"/>
      <c r="AL506" s="857"/>
      <c r="AM506" s="857"/>
      <c r="AN506" s="857"/>
      <c r="AO506" s="857"/>
      <c r="AP506" s="857"/>
      <c r="AQ506" s="857"/>
      <c r="AR506" s="857"/>
      <c r="AS506" s="857"/>
      <c r="AT506" s="855"/>
      <c r="AV506" s="857"/>
      <c r="AW506" s="857"/>
      <c r="AX506" s="857"/>
      <c r="AY506" s="857"/>
      <c r="AZ506" s="857"/>
      <c r="BA506" s="857"/>
      <c r="BB506" s="857"/>
      <c r="BC506" s="857"/>
      <c r="BD506" s="857"/>
      <c r="BE506" s="857"/>
      <c r="BF506" s="857"/>
      <c r="BG506" s="857"/>
    </row>
    <row r="507" spans="1:59" ht="15.75" customHeight="1">
      <c r="A507" s="857"/>
      <c r="B507" s="857"/>
      <c r="C507" s="857"/>
      <c r="D507" s="857"/>
      <c r="E507" s="857"/>
      <c r="F507" s="857"/>
      <c r="G507" s="857"/>
      <c r="H507" s="857"/>
      <c r="I507" s="857"/>
      <c r="J507" s="857"/>
      <c r="K507" s="857"/>
      <c r="L507" s="857"/>
      <c r="M507" s="857"/>
      <c r="N507" s="857"/>
      <c r="O507" s="857"/>
      <c r="P507" s="857"/>
      <c r="Q507" s="857"/>
      <c r="R507" s="857"/>
      <c r="S507" s="857"/>
      <c r="T507" s="857"/>
      <c r="U507" s="857"/>
      <c r="V507" s="857"/>
      <c r="W507" s="857"/>
      <c r="X507" s="857"/>
      <c r="Y507" s="857"/>
      <c r="Z507" s="857"/>
      <c r="AA507" s="857"/>
      <c r="AB507" s="857"/>
      <c r="AC507" s="857"/>
      <c r="AD507" s="857"/>
      <c r="AE507" s="857"/>
      <c r="AF507" s="857"/>
      <c r="AG507" s="857"/>
      <c r="AH507" s="857"/>
      <c r="AI507" s="857"/>
      <c r="AJ507" s="857"/>
      <c r="AK507" s="857"/>
      <c r="AL507" s="857"/>
      <c r="AM507" s="857"/>
      <c r="AN507" s="857"/>
      <c r="AO507" s="857"/>
      <c r="AP507" s="857"/>
      <c r="AQ507" s="857"/>
      <c r="AR507" s="857"/>
      <c r="AS507" s="857"/>
      <c r="AT507" s="855"/>
      <c r="AV507" s="857"/>
      <c r="AW507" s="857"/>
      <c r="AX507" s="857"/>
      <c r="AY507" s="857"/>
      <c r="AZ507" s="857"/>
      <c r="BA507" s="857"/>
      <c r="BB507" s="857"/>
      <c r="BC507" s="857"/>
      <c r="BD507" s="857"/>
      <c r="BE507" s="857"/>
      <c r="BF507" s="857"/>
      <c r="BG507" s="857"/>
    </row>
    <row r="508" spans="1:59" ht="15.75" customHeight="1">
      <c r="A508" s="857"/>
      <c r="B508" s="857"/>
      <c r="C508" s="857"/>
      <c r="D508" s="857"/>
      <c r="E508" s="857"/>
      <c r="F508" s="857"/>
      <c r="G508" s="857"/>
      <c r="H508" s="857"/>
      <c r="I508" s="857"/>
      <c r="J508" s="857"/>
      <c r="K508" s="857"/>
      <c r="L508" s="857"/>
      <c r="M508" s="857"/>
      <c r="N508" s="857"/>
      <c r="O508" s="857"/>
      <c r="P508" s="857"/>
      <c r="Q508" s="857"/>
      <c r="R508" s="857"/>
      <c r="S508" s="857"/>
      <c r="T508" s="857"/>
      <c r="U508" s="857"/>
      <c r="V508" s="857"/>
      <c r="W508" s="857"/>
      <c r="X508" s="857"/>
      <c r="Y508" s="857"/>
      <c r="Z508" s="857"/>
      <c r="AA508" s="857"/>
      <c r="AB508" s="857"/>
      <c r="AC508" s="857"/>
      <c r="AD508" s="857"/>
      <c r="AE508" s="857"/>
      <c r="AF508" s="857"/>
      <c r="AG508" s="857"/>
      <c r="AH508" s="857"/>
      <c r="AI508" s="857"/>
      <c r="AJ508" s="857"/>
      <c r="AK508" s="857"/>
      <c r="AL508" s="857"/>
      <c r="AM508" s="857"/>
      <c r="AN508" s="857"/>
      <c r="AO508" s="857"/>
      <c r="AP508" s="857"/>
      <c r="AQ508" s="857"/>
      <c r="AR508" s="857"/>
      <c r="AS508" s="857"/>
      <c r="AT508" s="855"/>
      <c r="AV508" s="857"/>
      <c r="AW508" s="857"/>
      <c r="AX508" s="857"/>
      <c r="AY508" s="857"/>
      <c r="AZ508" s="857"/>
      <c r="BA508" s="857"/>
      <c r="BB508" s="857"/>
      <c r="BC508" s="857"/>
      <c r="BD508" s="857"/>
      <c r="BE508" s="857"/>
      <c r="BF508" s="857"/>
      <c r="BG508" s="857"/>
    </row>
    <row r="509" spans="1:59" ht="15.75" customHeight="1">
      <c r="A509" s="857"/>
      <c r="B509" s="857"/>
      <c r="C509" s="857"/>
      <c r="D509" s="857"/>
      <c r="E509" s="857"/>
      <c r="F509" s="857"/>
      <c r="G509" s="857"/>
      <c r="H509" s="857"/>
      <c r="I509" s="857"/>
      <c r="J509" s="857"/>
      <c r="K509" s="857"/>
      <c r="L509" s="857"/>
      <c r="M509" s="857"/>
      <c r="N509" s="857"/>
      <c r="O509" s="857"/>
      <c r="P509" s="857"/>
      <c r="Q509" s="857"/>
      <c r="R509" s="857"/>
      <c r="S509" s="857"/>
      <c r="T509" s="857"/>
      <c r="U509" s="857"/>
      <c r="V509" s="857"/>
      <c r="W509" s="857"/>
      <c r="X509" s="857"/>
      <c r="Y509" s="857"/>
      <c r="Z509" s="857"/>
      <c r="AA509" s="857"/>
      <c r="AB509" s="857"/>
      <c r="AC509" s="857"/>
      <c r="AD509" s="857"/>
      <c r="AE509" s="857"/>
      <c r="AF509" s="857"/>
      <c r="AG509" s="857"/>
      <c r="AH509" s="857"/>
      <c r="AI509" s="857"/>
      <c r="AJ509" s="857"/>
      <c r="AK509" s="857"/>
      <c r="AL509" s="857"/>
      <c r="AM509" s="857"/>
      <c r="AN509" s="857"/>
      <c r="AO509" s="857"/>
      <c r="AP509" s="857"/>
      <c r="AQ509" s="857"/>
      <c r="AR509" s="857"/>
      <c r="AS509" s="857"/>
      <c r="AT509" s="855"/>
      <c r="AV509" s="857"/>
      <c r="AW509" s="857"/>
      <c r="AX509" s="857"/>
      <c r="AY509" s="857"/>
      <c r="AZ509" s="857"/>
      <c r="BA509" s="857"/>
      <c r="BB509" s="857"/>
      <c r="BC509" s="857"/>
      <c r="BD509" s="857"/>
      <c r="BE509" s="857"/>
      <c r="BF509" s="857"/>
      <c r="BG509" s="857"/>
    </row>
    <row r="510" spans="1:59" ht="15.75" customHeight="1">
      <c r="A510" s="857"/>
      <c r="B510" s="857"/>
      <c r="C510" s="857"/>
      <c r="D510" s="857"/>
      <c r="E510" s="857"/>
      <c r="F510" s="857"/>
      <c r="G510" s="857"/>
      <c r="H510" s="857"/>
      <c r="I510" s="857"/>
      <c r="J510" s="857"/>
      <c r="K510" s="857"/>
      <c r="L510" s="857"/>
      <c r="M510" s="857"/>
      <c r="N510" s="857"/>
      <c r="O510" s="857"/>
      <c r="P510" s="857"/>
      <c r="Q510" s="857"/>
      <c r="R510" s="857"/>
      <c r="S510" s="857"/>
      <c r="T510" s="857"/>
      <c r="U510" s="857"/>
      <c r="V510" s="857"/>
      <c r="W510" s="857"/>
      <c r="X510" s="857"/>
      <c r="Y510" s="857"/>
      <c r="Z510" s="857"/>
      <c r="AA510" s="857"/>
      <c r="AB510" s="857"/>
      <c r="AC510" s="857"/>
      <c r="AD510" s="857"/>
      <c r="AE510" s="857"/>
      <c r="AF510" s="857"/>
      <c r="AG510" s="857"/>
      <c r="AH510" s="857"/>
      <c r="AI510" s="857"/>
      <c r="AJ510" s="857"/>
      <c r="AK510" s="857"/>
      <c r="AL510" s="857"/>
      <c r="AM510" s="857"/>
      <c r="AN510" s="857"/>
      <c r="AO510" s="857"/>
      <c r="AP510" s="857"/>
      <c r="AQ510" s="857"/>
      <c r="AR510" s="857"/>
      <c r="AS510" s="857"/>
      <c r="AT510" s="855"/>
      <c r="AV510" s="857"/>
      <c r="AW510" s="857"/>
      <c r="AX510" s="857"/>
      <c r="AY510" s="857"/>
      <c r="AZ510" s="857"/>
      <c r="BA510" s="857"/>
      <c r="BB510" s="857"/>
      <c r="BC510" s="857"/>
      <c r="BD510" s="857"/>
      <c r="BE510" s="857"/>
      <c r="BF510" s="857"/>
      <c r="BG510" s="857"/>
    </row>
    <row r="511" spans="1:59" ht="15.75" customHeight="1">
      <c r="A511" s="857"/>
      <c r="B511" s="857"/>
      <c r="C511" s="857"/>
      <c r="D511" s="857"/>
      <c r="E511" s="857"/>
      <c r="F511" s="857"/>
      <c r="G511" s="857"/>
      <c r="H511" s="857"/>
      <c r="I511" s="857"/>
      <c r="J511" s="857"/>
      <c r="K511" s="857"/>
      <c r="L511" s="857"/>
      <c r="M511" s="857"/>
      <c r="N511" s="857"/>
      <c r="O511" s="857"/>
      <c r="P511" s="857"/>
      <c r="Q511" s="857"/>
      <c r="R511" s="857"/>
      <c r="S511" s="857"/>
      <c r="T511" s="857"/>
      <c r="U511" s="857"/>
      <c r="V511" s="857"/>
      <c r="W511" s="857"/>
      <c r="X511" s="857"/>
      <c r="Y511" s="857"/>
      <c r="Z511" s="857"/>
      <c r="AA511" s="857"/>
      <c r="AB511" s="857"/>
      <c r="AC511" s="857"/>
      <c r="AD511" s="857"/>
      <c r="AE511" s="857"/>
      <c r="AF511" s="857"/>
      <c r="AG511" s="857"/>
      <c r="AH511" s="857"/>
      <c r="AI511" s="857"/>
      <c r="AJ511" s="857"/>
      <c r="AK511" s="857"/>
      <c r="AL511" s="857"/>
      <c r="AM511" s="857"/>
      <c r="AN511" s="857"/>
      <c r="AO511" s="857"/>
      <c r="AP511" s="857"/>
      <c r="AQ511" s="857"/>
      <c r="AR511" s="857"/>
      <c r="AS511" s="857"/>
      <c r="AT511" s="855"/>
      <c r="AV511" s="857"/>
      <c r="AW511" s="857"/>
      <c r="AX511" s="857"/>
      <c r="AY511" s="857"/>
      <c r="AZ511" s="857"/>
      <c r="BA511" s="857"/>
      <c r="BB511" s="857"/>
      <c r="BC511" s="857"/>
      <c r="BD511" s="857"/>
      <c r="BE511" s="857"/>
      <c r="BF511" s="857"/>
      <c r="BG511" s="857"/>
    </row>
    <row r="512" spans="1:59" ht="15.75" customHeight="1">
      <c r="A512" s="857"/>
      <c r="B512" s="857"/>
      <c r="C512" s="857"/>
      <c r="D512" s="857"/>
      <c r="E512" s="857"/>
      <c r="F512" s="857"/>
      <c r="G512" s="857"/>
      <c r="H512" s="857"/>
      <c r="I512" s="857"/>
      <c r="J512" s="857"/>
      <c r="K512" s="857"/>
      <c r="L512" s="857"/>
      <c r="M512" s="857"/>
      <c r="N512" s="857"/>
      <c r="O512" s="857"/>
      <c r="P512" s="857"/>
      <c r="Q512" s="857"/>
      <c r="R512" s="857"/>
      <c r="S512" s="857"/>
      <c r="T512" s="857"/>
      <c r="U512" s="857"/>
      <c r="V512" s="857"/>
      <c r="W512" s="857"/>
      <c r="X512" s="857"/>
      <c r="Y512" s="857"/>
      <c r="Z512" s="857"/>
      <c r="AA512" s="857"/>
      <c r="AB512" s="857"/>
      <c r="AC512" s="857"/>
      <c r="AD512" s="857"/>
      <c r="AE512" s="857"/>
      <c r="AF512" s="857"/>
      <c r="AG512" s="857"/>
      <c r="AH512" s="857"/>
      <c r="AI512" s="857"/>
      <c r="AJ512" s="857"/>
      <c r="AK512" s="857"/>
      <c r="AL512" s="857"/>
      <c r="AM512" s="857"/>
      <c r="AN512" s="857"/>
      <c r="AO512" s="857"/>
      <c r="AP512" s="857"/>
      <c r="AQ512" s="857"/>
      <c r="AR512" s="857"/>
      <c r="AS512" s="857"/>
      <c r="AT512" s="855"/>
      <c r="AV512" s="857"/>
      <c r="AW512" s="857"/>
      <c r="AX512" s="857"/>
      <c r="AY512" s="857"/>
      <c r="AZ512" s="857"/>
      <c r="BA512" s="857"/>
      <c r="BB512" s="857"/>
      <c r="BC512" s="857"/>
      <c r="BD512" s="857"/>
      <c r="BE512" s="857"/>
      <c r="BF512" s="857"/>
      <c r="BG512" s="857"/>
    </row>
    <row r="513" spans="1:59" ht="15.75" customHeight="1">
      <c r="A513" s="857"/>
      <c r="B513" s="857"/>
      <c r="C513" s="857"/>
      <c r="D513" s="857"/>
      <c r="E513" s="857"/>
      <c r="F513" s="857"/>
      <c r="G513" s="857"/>
      <c r="H513" s="857"/>
      <c r="I513" s="857"/>
      <c r="J513" s="857"/>
      <c r="K513" s="857"/>
      <c r="L513" s="857"/>
      <c r="M513" s="857"/>
      <c r="N513" s="857"/>
      <c r="O513" s="857"/>
      <c r="P513" s="857"/>
      <c r="Q513" s="857"/>
      <c r="R513" s="857"/>
      <c r="S513" s="857"/>
      <c r="T513" s="857"/>
      <c r="U513" s="857"/>
      <c r="V513" s="857"/>
      <c r="W513" s="857"/>
      <c r="X513" s="857"/>
      <c r="Y513" s="857"/>
      <c r="Z513" s="857"/>
      <c r="AA513" s="857"/>
      <c r="AB513" s="857"/>
      <c r="AC513" s="857"/>
      <c r="AD513" s="857"/>
      <c r="AE513" s="857"/>
      <c r="AF513" s="857"/>
      <c r="AG513" s="857"/>
      <c r="AH513" s="857"/>
      <c r="AI513" s="857"/>
      <c r="AJ513" s="857"/>
      <c r="AK513" s="857"/>
      <c r="AL513" s="857"/>
      <c r="AM513" s="857"/>
      <c r="AN513" s="857"/>
      <c r="AO513" s="857"/>
      <c r="AP513" s="857"/>
      <c r="AQ513" s="857"/>
      <c r="AR513" s="857"/>
      <c r="AS513" s="857"/>
      <c r="AT513" s="855"/>
      <c r="AV513" s="857"/>
      <c r="AW513" s="857"/>
      <c r="AX513" s="857"/>
      <c r="AY513" s="857"/>
      <c r="AZ513" s="857"/>
      <c r="BA513" s="857"/>
      <c r="BB513" s="857"/>
      <c r="BC513" s="857"/>
      <c r="BD513" s="857"/>
      <c r="BE513" s="857"/>
      <c r="BF513" s="857"/>
      <c r="BG513" s="857"/>
    </row>
    <row r="514" spans="1:59" ht="15.75" customHeight="1">
      <c r="A514" s="857"/>
      <c r="B514" s="857"/>
      <c r="C514" s="857"/>
      <c r="D514" s="857"/>
      <c r="E514" s="857"/>
      <c r="F514" s="857"/>
      <c r="G514" s="857"/>
      <c r="H514" s="857"/>
      <c r="I514" s="857"/>
      <c r="J514" s="857"/>
      <c r="K514" s="857"/>
      <c r="L514" s="857"/>
      <c r="M514" s="857"/>
      <c r="N514" s="857"/>
      <c r="O514" s="857"/>
      <c r="P514" s="857"/>
      <c r="Q514" s="857"/>
      <c r="R514" s="857"/>
      <c r="S514" s="857"/>
      <c r="T514" s="857"/>
      <c r="U514" s="857"/>
      <c r="V514" s="857"/>
      <c r="W514" s="857"/>
      <c r="X514" s="857"/>
      <c r="Y514" s="857"/>
      <c r="Z514" s="857"/>
      <c r="AA514" s="857"/>
      <c r="AB514" s="857"/>
      <c r="AC514" s="857"/>
      <c r="AD514" s="857"/>
      <c r="AE514" s="857"/>
      <c r="AF514" s="857"/>
      <c r="AG514" s="857"/>
      <c r="AH514" s="857"/>
      <c r="AI514" s="857"/>
      <c r="AJ514" s="857"/>
      <c r="AK514" s="857"/>
      <c r="AL514" s="857"/>
      <c r="AM514" s="857"/>
      <c r="AN514" s="857"/>
      <c r="AO514" s="857"/>
      <c r="AP514" s="857"/>
      <c r="AQ514" s="857"/>
      <c r="AR514" s="857"/>
      <c r="AS514" s="857"/>
      <c r="AT514" s="855"/>
      <c r="AV514" s="857"/>
      <c r="AW514" s="857"/>
      <c r="AX514" s="857"/>
      <c r="AY514" s="857"/>
      <c r="AZ514" s="857"/>
      <c r="BA514" s="857"/>
      <c r="BB514" s="857"/>
      <c r="BC514" s="857"/>
      <c r="BD514" s="857"/>
      <c r="BE514" s="857"/>
      <c r="BF514" s="857"/>
      <c r="BG514" s="857"/>
    </row>
    <row r="515" spans="1:59" ht="15.75" customHeight="1">
      <c r="A515" s="857"/>
      <c r="B515" s="857"/>
      <c r="C515" s="857"/>
      <c r="D515" s="857"/>
      <c r="E515" s="857"/>
      <c r="F515" s="857"/>
      <c r="G515" s="857"/>
      <c r="H515" s="857"/>
      <c r="I515" s="857"/>
      <c r="J515" s="857"/>
      <c r="K515" s="857"/>
      <c r="L515" s="857"/>
      <c r="M515" s="857"/>
      <c r="N515" s="857"/>
      <c r="O515" s="857"/>
      <c r="P515" s="857"/>
      <c r="Q515" s="857"/>
      <c r="R515" s="857"/>
      <c r="S515" s="857"/>
      <c r="T515" s="857"/>
      <c r="U515" s="857"/>
      <c r="V515" s="857"/>
      <c r="W515" s="857"/>
      <c r="X515" s="857"/>
      <c r="Y515" s="857"/>
      <c r="Z515" s="857"/>
      <c r="AA515" s="857"/>
      <c r="AB515" s="857"/>
      <c r="AC515" s="857"/>
      <c r="AD515" s="857"/>
      <c r="AE515" s="857"/>
      <c r="AF515" s="857"/>
      <c r="AG515" s="857"/>
      <c r="AH515" s="857"/>
      <c r="AI515" s="857"/>
      <c r="AJ515" s="857"/>
      <c r="AK515" s="857"/>
      <c r="AL515" s="857"/>
      <c r="AM515" s="857"/>
      <c r="AN515" s="857"/>
      <c r="AO515" s="857"/>
      <c r="AP515" s="857"/>
      <c r="AQ515" s="857"/>
      <c r="AR515" s="857"/>
      <c r="AS515" s="857"/>
      <c r="AT515" s="855"/>
      <c r="AV515" s="857"/>
      <c r="AW515" s="857"/>
      <c r="AX515" s="857"/>
      <c r="AY515" s="857"/>
      <c r="AZ515" s="857"/>
      <c r="BA515" s="857"/>
      <c r="BB515" s="857"/>
      <c r="BC515" s="857"/>
      <c r="BD515" s="857"/>
      <c r="BE515" s="857"/>
      <c r="BF515" s="857"/>
      <c r="BG515" s="857"/>
    </row>
    <row r="516" spans="1:59" ht="15.75" customHeight="1">
      <c r="A516" s="857"/>
      <c r="B516" s="857"/>
      <c r="C516" s="857"/>
      <c r="D516" s="857"/>
      <c r="E516" s="857"/>
      <c r="F516" s="857"/>
      <c r="G516" s="857"/>
      <c r="H516" s="857"/>
      <c r="I516" s="857"/>
      <c r="J516" s="857"/>
      <c r="K516" s="857"/>
      <c r="L516" s="857"/>
      <c r="M516" s="857"/>
      <c r="N516" s="857"/>
      <c r="O516" s="857"/>
      <c r="P516" s="857"/>
      <c r="Q516" s="857"/>
      <c r="R516" s="857"/>
      <c r="S516" s="857"/>
      <c r="T516" s="857"/>
      <c r="U516" s="857"/>
      <c r="V516" s="857"/>
      <c r="W516" s="857"/>
      <c r="X516" s="857"/>
      <c r="Y516" s="857"/>
      <c r="Z516" s="857"/>
      <c r="AA516" s="857"/>
      <c r="AB516" s="857"/>
      <c r="AC516" s="857"/>
      <c r="AD516" s="857"/>
      <c r="AE516" s="857"/>
      <c r="AF516" s="857"/>
      <c r="AG516" s="857"/>
      <c r="AH516" s="857"/>
      <c r="AI516" s="857"/>
      <c r="AJ516" s="857"/>
      <c r="AK516" s="857"/>
      <c r="AL516" s="857"/>
      <c r="AM516" s="857"/>
      <c r="AN516" s="857"/>
      <c r="AO516" s="857"/>
      <c r="AP516" s="857"/>
      <c r="AQ516" s="857"/>
      <c r="AR516" s="857"/>
      <c r="AS516" s="857"/>
      <c r="AT516" s="855"/>
      <c r="AV516" s="857"/>
      <c r="AW516" s="857"/>
      <c r="AX516" s="857"/>
      <c r="AY516" s="857"/>
      <c r="AZ516" s="857"/>
      <c r="BA516" s="857"/>
      <c r="BB516" s="857"/>
      <c r="BC516" s="857"/>
      <c r="BD516" s="857"/>
      <c r="BE516" s="857"/>
      <c r="BF516" s="857"/>
      <c r="BG516" s="857"/>
    </row>
    <row r="517" spans="1:59" ht="15.75" customHeight="1">
      <c r="A517" s="857"/>
      <c r="B517" s="857"/>
      <c r="C517" s="857"/>
      <c r="D517" s="857"/>
      <c r="E517" s="857"/>
      <c r="F517" s="857"/>
      <c r="G517" s="857"/>
      <c r="H517" s="857"/>
      <c r="I517" s="857"/>
      <c r="J517" s="857"/>
      <c r="K517" s="857"/>
      <c r="L517" s="857"/>
      <c r="M517" s="857"/>
      <c r="N517" s="857"/>
      <c r="O517" s="857"/>
      <c r="P517" s="857"/>
      <c r="Q517" s="857"/>
      <c r="R517" s="857"/>
      <c r="S517" s="857"/>
      <c r="T517" s="857"/>
      <c r="U517" s="857"/>
      <c r="V517" s="857"/>
      <c r="W517" s="857"/>
      <c r="X517" s="857"/>
      <c r="Y517" s="857"/>
      <c r="Z517" s="857"/>
      <c r="AA517" s="857"/>
      <c r="AB517" s="857"/>
      <c r="AC517" s="857"/>
      <c r="AD517" s="857"/>
      <c r="AE517" s="857"/>
      <c r="AF517" s="857"/>
      <c r="AG517" s="857"/>
      <c r="AH517" s="857"/>
      <c r="AI517" s="857"/>
      <c r="AJ517" s="857"/>
      <c r="AK517" s="857"/>
      <c r="AL517" s="857"/>
      <c r="AM517" s="857"/>
      <c r="AN517" s="857"/>
      <c r="AO517" s="857"/>
      <c r="AP517" s="857"/>
      <c r="AQ517" s="857"/>
      <c r="AR517" s="857"/>
      <c r="AS517" s="857"/>
      <c r="AT517" s="855"/>
      <c r="AV517" s="857"/>
      <c r="AW517" s="857"/>
      <c r="AX517" s="857"/>
      <c r="AY517" s="857"/>
      <c r="AZ517" s="857"/>
      <c r="BA517" s="857"/>
      <c r="BB517" s="857"/>
      <c r="BC517" s="857"/>
      <c r="BD517" s="857"/>
      <c r="BE517" s="857"/>
      <c r="BF517" s="857"/>
      <c r="BG517" s="857"/>
    </row>
    <row r="518" spans="1:59" ht="15.75" customHeight="1">
      <c r="A518" s="857"/>
      <c r="B518" s="857"/>
      <c r="C518" s="857"/>
      <c r="D518" s="857"/>
      <c r="E518" s="857"/>
      <c r="F518" s="857"/>
      <c r="G518" s="857"/>
      <c r="H518" s="857"/>
      <c r="I518" s="857"/>
      <c r="J518" s="857"/>
      <c r="K518" s="857"/>
      <c r="L518" s="857"/>
      <c r="M518" s="857"/>
      <c r="N518" s="857"/>
      <c r="O518" s="857"/>
      <c r="P518" s="857"/>
      <c r="Q518" s="857"/>
      <c r="R518" s="857"/>
      <c r="S518" s="857"/>
      <c r="T518" s="857"/>
      <c r="U518" s="857"/>
      <c r="V518" s="857"/>
      <c r="W518" s="857"/>
      <c r="X518" s="857"/>
      <c r="Y518" s="857"/>
      <c r="Z518" s="857"/>
      <c r="AA518" s="857"/>
      <c r="AB518" s="857"/>
      <c r="AC518" s="857"/>
      <c r="AD518" s="857"/>
      <c r="AE518" s="857"/>
      <c r="AF518" s="857"/>
      <c r="AG518" s="857"/>
      <c r="AH518" s="857"/>
      <c r="AI518" s="857"/>
      <c r="AJ518" s="857"/>
      <c r="AK518" s="857"/>
      <c r="AL518" s="857"/>
      <c r="AM518" s="857"/>
      <c r="AN518" s="857"/>
      <c r="AO518" s="857"/>
      <c r="AP518" s="857"/>
      <c r="AQ518" s="857"/>
      <c r="AR518" s="857"/>
      <c r="AS518" s="857"/>
      <c r="AT518" s="855"/>
      <c r="AV518" s="857"/>
      <c r="AW518" s="857"/>
      <c r="AX518" s="857"/>
      <c r="AY518" s="857"/>
      <c r="AZ518" s="857"/>
      <c r="BA518" s="857"/>
      <c r="BB518" s="857"/>
      <c r="BC518" s="857"/>
      <c r="BD518" s="857"/>
      <c r="BE518" s="857"/>
      <c r="BF518" s="857"/>
      <c r="BG518" s="857"/>
    </row>
    <row r="519" spans="1:59" ht="15.75" customHeight="1">
      <c r="A519" s="857"/>
      <c r="B519" s="857"/>
      <c r="C519" s="857"/>
      <c r="D519" s="857"/>
      <c r="E519" s="857"/>
      <c r="F519" s="857"/>
      <c r="G519" s="857"/>
      <c r="H519" s="857"/>
      <c r="I519" s="857"/>
      <c r="J519" s="857"/>
      <c r="K519" s="857"/>
      <c r="L519" s="857"/>
      <c r="M519" s="857"/>
      <c r="N519" s="857"/>
      <c r="O519" s="857"/>
      <c r="P519" s="857"/>
      <c r="Q519" s="857"/>
      <c r="R519" s="857"/>
      <c r="S519" s="857"/>
      <c r="T519" s="857"/>
      <c r="U519" s="857"/>
      <c r="V519" s="857"/>
      <c r="W519" s="857"/>
      <c r="X519" s="857"/>
      <c r="Y519" s="857"/>
      <c r="Z519" s="857"/>
      <c r="AA519" s="857"/>
      <c r="AB519" s="857"/>
      <c r="AC519" s="857"/>
      <c r="AD519" s="857"/>
      <c r="AE519" s="857"/>
      <c r="AF519" s="857"/>
      <c r="AG519" s="857"/>
      <c r="AH519" s="857"/>
      <c r="AI519" s="857"/>
      <c r="AJ519" s="857"/>
      <c r="AK519" s="857"/>
      <c r="AL519" s="857"/>
      <c r="AM519" s="857"/>
      <c r="AN519" s="857"/>
      <c r="AO519" s="857"/>
      <c r="AP519" s="857"/>
      <c r="AQ519" s="857"/>
      <c r="AR519" s="857"/>
      <c r="AS519" s="857"/>
      <c r="AT519" s="855"/>
      <c r="AV519" s="857"/>
      <c r="AW519" s="857"/>
      <c r="AX519" s="857"/>
      <c r="AY519" s="857"/>
      <c r="AZ519" s="857"/>
      <c r="BA519" s="857"/>
      <c r="BB519" s="857"/>
      <c r="BC519" s="857"/>
      <c r="BD519" s="857"/>
      <c r="BE519" s="857"/>
      <c r="BF519" s="857"/>
      <c r="BG519" s="857"/>
    </row>
    <row r="520" spans="1:59" ht="15.75" customHeight="1">
      <c r="A520" s="857"/>
      <c r="B520" s="857"/>
      <c r="C520" s="857"/>
      <c r="D520" s="857"/>
      <c r="E520" s="857"/>
      <c r="F520" s="857"/>
      <c r="G520" s="857"/>
      <c r="H520" s="857"/>
      <c r="I520" s="857"/>
      <c r="J520" s="857"/>
      <c r="K520" s="857"/>
      <c r="L520" s="857"/>
      <c r="M520" s="857"/>
      <c r="N520" s="857"/>
      <c r="O520" s="857"/>
      <c r="P520" s="857"/>
      <c r="Q520" s="857"/>
      <c r="R520" s="857"/>
      <c r="S520" s="857"/>
      <c r="T520" s="857"/>
      <c r="U520" s="857"/>
      <c r="V520" s="857"/>
      <c r="W520" s="857"/>
      <c r="X520" s="857"/>
      <c r="Y520" s="857"/>
      <c r="Z520" s="857"/>
      <c r="AA520" s="857"/>
      <c r="AB520" s="857"/>
      <c r="AC520" s="857"/>
      <c r="AD520" s="857"/>
      <c r="AE520" s="857"/>
      <c r="AF520" s="857"/>
      <c r="AG520" s="857"/>
      <c r="AH520" s="857"/>
      <c r="AI520" s="857"/>
      <c r="AJ520" s="857"/>
      <c r="AK520" s="857"/>
      <c r="AL520" s="857"/>
      <c r="AM520" s="857"/>
      <c r="AN520" s="857"/>
      <c r="AO520" s="857"/>
      <c r="AP520" s="857"/>
      <c r="AQ520" s="857"/>
      <c r="AR520" s="857"/>
      <c r="AS520" s="857"/>
      <c r="AT520" s="855"/>
      <c r="AV520" s="857"/>
      <c r="AW520" s="857"/>
      <c r="AX520" s="857"/>
      <c r="AY520" s="857"/>
      <c r="AZ520" s="857"/>
      <c r="BA520" s="857"/>
      <c r="BB520" s="857"/>
      <c r="BC520" s="857"/>
      <c r="BD520" s="857"/>
      <c r="BE520" s="857"/>
      <c r="BF520" s="857"/>
      <c r="BG520" s="857"/>
    </row>
    <row r="521" spans="1:59" ht="15.75" customHeight="1">
      <c r="A521" s="857"/>
      <c r="B521" s="857"/>
      <c r="C521" s="857"/>
      <c r="D521" s="857"/>
      <c r="E521" s="857"/>
      <c r="F521" s="857"/>
      <c r="G521" s="857"/>
      <c r="H521" s="857"/>
      <c r="I521" s="857"/>
      <c r="J521" s="857"/>
      <c r="K521" s="857"/>
      <c r="L521" s="857"/>
      <c r="M521" s="857"/>
      <c r="N521" s="857"/>
      <c r="O521" s="857"/>
      <c r="P521" s="857"/>
      <c r="Q521" s="857"/>
      <c r="R521" s="857"/>
      <c r="S521" s="857"/>
      <c r="T521" s="857"/>
      <c r="U521" s="857"/>
      <c r="V521" s="857"/>
      <c r="W521" s="857"/>
      <c r="X521" s="857"/>
      <c r="Y521" s="857"/>
      <c r="Z521" s="857"/>
      <c r="AA521" s="857"/>
      <c r="AB521" s="857"/>
      <c r="AC521" s="857"/>
      <c r="AD521" s="857"/>
      <c r="AE521" s="857"/>
      <c r="AF521" s="857"/>
      <c r="AG521" s="857"/>
      <c r="AH521" s="857"/>
      <c r="AI521" s="857"/>
      <c r="AJ521" s="857"/>
      <c r="AK521" s="857"/>
      <c r="AL521" s="857"/>
      <c r="AM521" s="857"/>
      <c r="AN521" s="857"/>
      <c r="AO521" s="857"/>
      <c r="AP521" s="857"/>
      <c r="AQ521" s="857"/>
      <c r="AR521" s="857"/>
      <c r="AS521" s="857"/>
      <c r="AT521" s="855"/>
      <c r="AV521" s="857"/>
      <c r="AW521" s="857"/>
      <c r="AX521" s="857"/>
      <c r="AY521" s="857"/>
      <c r="AZ521" s="857"/>
      <c r="BA521" s="857"/>
      <c r="BB521" s="857"/>
      <c r="BC521" s="857"/>
      <c r="BD521" s="857"/>
      <c r="BE521" s="857"/>
      <c r="BF521" s="857"/>
      <c r="BG521" s="857"/>
    </row>
    <row r="522" spans="1:59" ht="15.75" customHeight="1">
      <c r="A522" s="857"/>
      <c r="B522" s="857"/>
      <c r="C522" s="857"/>
      <c r="D522" s="857"/>
      <c r="E522" s="857"/>
      <c r="F522" s="857"/>
      <c r="G522" s="857"/>
      <c r="H522" s="857"/>
      <c r="I522" s="857"/>
      <c r="J522" s="857"/>
      <c r="K522" s="857"/>
      <c r="L522" s="857"/>
      <c r="M522" s="857"/>
      <c r="N522" s="857"/>
      <c r="O522" s="857"/>
      <c r="P522" s="857"/>
      <c r="Q522" s="857"/>
      <c r="R522" s="857"/>
      <c r="S522" s="857"/>
      <c r="T522" s="857"/>
      <c r="U522" s="857"/>
      <c r="V522" s="857"/>
      <c r="W522" s="857"/>
      <c r="X522" s="857"/>
      <c r="Y522" s="857"/>
      <c r="Z522" s="857"/>
      <c r="AA522" s="857"/>
      <c r="AB522" s="857"/>
      <c r="AC522" s="857"/>
      <c r="AD522" s="857"/>
      <c r="AE522" s="857"/>
      <c r="AF522" s="857"/>
      <c r="AG522" s="857"/>
      <c r="AH522" s="857"/>
      <c r="AI522" s="857"/>
      <c r="AJ522" s="857"/>
      <c r="AK522" s="857"/>
      <c r="AL522" s="857"/>
      <c r="AM522" s="857"/>
      <c r="AN522" s="857"/>
      <c r="AO522" s="857"/>
      <c r="AP522" s="857"/>
      <c r="AQ522" s="857"/>
      <c r="AR522" s="857"/>
      <c r="AS522" s="857"/>
      <c r="AT522" s="855"/>
      <c r="AV522" s="857"/>
      <c r="AW522" s="857"/>
      <c r="AX522" s="857"/>
      <c r="AY522" s="857"/>
      <c r="AZ522" s="857"/>
      <c r="BA522" s="857"/>
      <c r="BB522" s="857"/>
      <c r="BC522" s="857"/>
      <c r="BD522" s="857"/>
      <c r="BE522" s="857"/>
      <c r="BF522" s="857"/>
      <c r="BG522" s="857"/>
    </row>
    <row r="523" spans="1:59" ht="15.75" customHeight="1">
      <c r="A523" s="857"/>
      <c r="B523" s="857"/>
      <c r="C523" s="857"/>
      <c r="D523" s="857"/>
      <c r="E523" s="857"/>
      <c r="F523" s="857"/>
      <c r="G523" s="857"/>
      <c r="H523" s="857"/>
      <c r="I523" s="857"/>
      <c r="J523" s="857"/>
      <c r="K523" s="857"/>
      <c r="L523" s="857"/>
      <c r="M523" s="857"/>
      <c r="N523" s="857"/>
      <c r="O523" s="857"/>
      <c r="P523" s="857"/>
      <c r="Q523" s="857"/>
      <c r="R523" s="857"/>
      <c r="S523" s="857"/>
      <c r="T523" s="857"/>
      <c r="U523" s="857"/>
      <c r="V523" s="857"/>
      <c r="W523" s="857"/>
      <c r="X523" s="857"/>
      <c r="Y523" s="857"/>
      <c r="Z523" s="857"/>
      <c r="AA523" s="857"/>
      <c r="AB523" s="857"/>
      <c r="AC523" s="857"/>
      <c r="AD523" s="857"/>
      <c r="AE523" s="857"/>
      <c r="AF523" s="857"/>
      <c r="AG523" s="857"/>
      <c r="AH523" s="857"/>
      <c r="AI523" s="857"/>
      <c r="AJ523" s="857"/>
      <c r="AK523" s="857"/>
      <c r="AL523" s="857"/>
      <c r="AM523" s="857"/>
      <c r="AN523" s="857"/>
      <c r="AO523" s="857"/>
      <c r="AP523" s="857"/>
      <c r="AQ523" s="857"/>
      <c r="AR523" s="857"/>
      <c r="AS523" s="857"/>
      <c r="AT523" s="855"/>
      <c r="AV523" s="857"/>
      <c r="AW523" s="857"/>
      <c r="AX523" s="857"/>
      <c r="AY523" s="857"/>
      <c r="AZ523" s="857"/>
      <c r="BA523" s="857"/>
      <c r="BB523" s="857"/>
      <c r="BC523" s="857"/>
      <c r="BD523" s="857"/>
      <c r="BE523" s="857"/>
      <c r="BF523" s="857"/>
      <c r="BG523" s="857"/>
    </row>
    <row r="524" spans="1:59" ht="15.75" customHeight="1">
      <c r="A524" s="857"/>
      <c r="B524" s="857"/>
      <c r="C524" s="857"/>
      <c r="D524" s="857"/>
      <c r="E524" s="857"/>
      <c r="F524" s="857"/>
      <c r="G524" s="857"/>
      <c r="H524" s="857"/>
      <c r="I524" s="857"/>
      <c r="J524" s="857"/>
      <c r="K524" s="857"/>
      <c r="L524" s="857"/>
      <c r="M524" s="857"/>
      <c r="N524" s="857"/>
      <c r="O524" s="857"/>
      <c r="P524" s="857"/>
      <c r="Q524" s="857"/>
      <c r="R524" s="857"/>
      <c r="S524" s="857"/>
      <c r="T524" s="857"/>
      <c r="U524" s="857"/>
      <c r="V524" s="857"/>
      <c r="W524" s="857"/>
      <c r="X524" s="857"/>
      <c r="Y524" s="857"/>
      <c r="Z524" s="857"/>
      <c r="AA524" s="857"/>
      <c r="AB524" s="857"/>
      <c r="AC524" s="857"/>
      <c r="AD524" s="857"/>
      <c r="AE524" s="857"/>
      <c r="AF524" s="857"/>
      <c r="AG524" s="857"/>
      <c r="AH524" s="857"/>
      <c r="AI524" s="857"/>
      <c r="AJ524" s="857"/>
      <c r="AK524" s="857"/>
      <c r="AL524" s="857"/>
      <c r="AM524" s="857"/>
      <c r="AN524" s="857"/>
      <c r="AO524" s="857"/>
      <c r="AP524" s="857"/>
      <c r="AQ524" s="857"/>
      <c r="AR524" s="857"/>
      <c r="AS524" s="857"/>
      <c r="AT524" s="855"/>
      <c r="AV524" s="857"/>
      <c r="AW524" s="857"/>
      <c r="AX524" s="857"/>
      <c r="AY524" s="857"/>
      <c r="AZ524" s="857"/>
      <c r="BA524" s="857"/>
      <c r="BB524" s="857"/>
      <c r="BC524" s="857"/>
      <c r="BD524" s="857"/>
      <c r="BE524" s="857"/>
      <c r="BF524" s="857"/>
      <c r="BG524" s="857"/>
    </row>
    <row r="525" spans="1:59" ht="15.75" customHeight="1">
      <c r="A525" s="857"/>
      <c r="B525" s="857"/>
      <c r="C525" s="857"/>
      <c r="D525" s="857"/>
      <c r="E525" s="857"/>
      <c r="F525" s="857"/>
      <c r="G525" s="857"/>
      <c r="H525" s="857"/>
      <c r="I525" s="857"/>
      <c r="J525" s="857"/>
      <c r="K525" s="857"/>
      <c r="L525" s="857"/>
      <c r="M525" s="857"/>
      <c r="N525" s="857"/>
      <c r="O525" s="857"/>
      <c r="P525" s="857"/>
      <c r="Q525" s="857"/>
      <c r="R525" s="857"/>
      <c r="S525" s="857"/>
      <c r="T525" s="857"/>
      <c r="U525" s="857"/>
      <c r="V525" s="857"/>
      <c r="W525" s="857"/>
      <c r="X525" s="857"/>
      <c r="Y525" s="857"/>
      <c r="Z525" s="857"/>
      <c r="AA525" s="857"/>
      <c r="AB525" s="857"/>
      <c r="AC525" s="857"/>
      <c r="AD525" s="857"/>
      <c r="AE525" s="857"/>
      <c r="AF525" s="857"/>
      <c r="AG525" s="857"/>
      <c r="AH525" s="857"/>
      <c r="AI525" s="857"/>
      <c r="AJ525" s="857"/>
      <c r="AK525" s="857"/>
      <c r="AL525" s="857"/>
      <c r="AM525" s="857"/>
      <c r="AN525" s="857"/>
      <c r="AO525" s="857"/>
      <c r="AP525" s="857"/>
      <c r="AQ525" s="857"/>
      <c r="AR525" s="857"/>
      <c r="AS525" s="857"/>
      <c r="AT525" s="855"/>
      <c r="AV525" s="857"/>
      <c r="AW525" s="857"/>
      <c r="AX525" s="857"/>
      <c r="AY525" s="857"/>
      <c r="AZ525" s="857"/>
      <c r="BA525" s="857"/>
      <c r="BB525" s="857"/>
      <c r="BC525" s="857"/>
      <c r="BD525" s="857"/>
      <c r="BE525" s="857"/>
      <c r="BF525" s="857"/>
      <c r="BG525" s="857"/>
    </row>
    <row r="526" spans="1:59" ht="15.75" customHeight="1">
      <c r="A526" s="857"/>
      <c r="B526" s="857"/>
      <c r="C526" s="857"/>
      <c r="D526" s="857"/>
      <c r="E526" s="857"/>
      <c r="F526" s="857"/>
      <c r="G526" s="857"/>
      <c r="H526" s="857"/>
      <c r="I526" s="857"/>
      <c r="J526" s="857"/>
      <c r="K526" s="857"/>
      <c r="L526" s="857"/>
      <c r="M526" s="857"/>
      <c r="N526" s="857"/>
      <c r="O526" s="857"/>
      <c r="P526" s="857"/>
      <c r="Q526" s="857"/>
      <c r="R526" s="857"/>
      <c r="S526" s="857"/>
      <c r="T526" s="857"/>
      <c r="U526" s="857"/>
      <c r="V526" s="857"/>
      <c r="W526" s="857"/>
      <c r="X526" s="857"/>
      <c r="Y526" s="857"/>
      <c r="Z526" s="857"/>
      <c r="AA526" s="857"/>
      <c r="AB526" s="857"/>
      <c r="AC526" s="857"/>
      <c r="AD526" s="857"/>
      <c r="AE526" s="857"/>
      <c r="AF526" s="857"/>
      <c r="AG526" s="857"/>
      <c r="AH526" s="857"/>
      <c r="AI526" s="857"/>
      <c r="AJ526" s="857"/>
      <c r="AK526" s="857"/>
      <c r="AL526" s="857"/>
      <c r="AM526" s="857"/>
      <c r="AN526" s="857"/>
      <c r="AO526" s="857"/>
      <c r="AP526" s="857"/>
      <c r="AQ526" s="857"/>
      <c r="AR526" s="857"/>
      <c r="AS526" s="857"/>
      <c r="AT526" s="855"/>
      <c r="AV526" s="857"/>
      <c r="AW526" s="857"/>
      <c r="AX526" s="857"/>
      <c r="AY526" s="857"/>
      <c r="AZ526" s="857"/>
      <c r="BA526" s="857"/>
      <c r="BB526" s="857"/>
      <c r="BC526" s="857"/>
      <c r="BD526" s="857"/>
      <c r="BE526" s="857"/>
      <c r="BF526" s="857"/>
      <c r="BG526" s="857"/>
    </row>
    <row r="527" spans="1:59" ht="15.75" customHeight="1">
      <c r="A527" s="857"/>
      <c r="B527" s="857"/>
      <c r="C527" s="857"/>
      <c r="D527" s="857"/>
      <c r="E527" s="857"/>
      <c r="F527" s="857"/>
      <c r="G527" s="857"/>
      <c r="H527" s="857"/>
      <c r="I527" s="857"/>
      <c r="J527" s="857"/>
      <c r="K527" s="857"/>
      <c r="L527" s="857"/>
      <c r="M527" s="857"/>
      <c r="N527" s="857"/>
      <c r="O527" s="857"/>
      <c r="P527" s="857"/>
      <c r="Q527" s="857"/>
      <c r="R527" s="857"/>
      <c r="S527" s="857"/>
      <c r="T527" s="857"/>
      <c r="U527" s="857"/>
      <c r="V527" s="857"/>
      <c r="W527" s="857"/>
      <c r="X527" s="857"/>
      <c r="Y527" s="857"/>
      <c r="Z527" s="857"/>
      <c r="AA527" s="857"/>
      <c r="AB527" s="857"/>
      <c r="AC527" s="857"/>
      <c r="AD527" s="857"/>
      <c r="AE527" s="857"/>
      <c r="AF527" s="857"/>
      <c r="AG527" s="857"/>
      <c r="AH527" s="857"/>
      <c r="AI527" s="857"/>
      <c r="AJ527" s="857"/>
      <c r="AK527" s="857"/>
      <c r="AL527" s="857"/>
      <c r="AM527" s="857"/>
      <c r="AN527" s="857"/>
      <c r="AO527" s="857"/>
      <c r="AP527" s="857"/>
      <c r="AQ527" s="857"/>
      <c r="AR527" s="857"/>
      <c r="AS527" s="857"/>
      <c r="AT527" s="855"/>
      <c r="AV527" s="857"/>
      <c r="AW527" s="857"/>
      <c r="AX527" s="857"/>
      <c r="AY527" s="857"/>
      <c r="AZ527" s="857"/>
      <c r="BA527" s="857"/>
      <c r="BB527" s="857"/>
      <c r="BC527" s="857"/>
      <c r="BD527" s="857"/>
      <c r="BE527" s="857"/>
      <c r="BF527" s="857"/>
      <c r="BG527" s="857"/>
    </row>
    <row r="528" spans="1:59" ht="15.75" customHeight="1">
      <c r="A528" s="857"/>
      <c r="B528" s="857"/>
      <c r="C528" s="857"/>
      <c r="D528" s="857"/>
      <c r="E528" s="857"/>
      <c r="F528" s="857"/>
      <c r="G528" s="857"/>
      <c r="H528" s="857"/>
      <c r="I528" s="857"/>
      <c r="J528" s="857"/>
      <c r="K528" s="857"/>
      <c r="L528" s="857"/>
      <c r="M528" s="857"/>
      <c r="N528" s="857"/>
      <c r="O528" s="857"/>
      <c r="P528" s="857"/>
      <c r="Q528" s="857"/>
      <c r="R528" s="857"/>
      <c r="S528" s="857"/>
      <c r="T528" s="857"/>
      <c r="U528" s="857"/>
      <c r="V528" s="857"/>
      <c r="W528" s="857"/>
      <c r="X528" s="857"/>
      <c r="Y528" s="857"/>
      <c r="Z528" s="857"/>
      <c r="AA528" s="857"/>
      <c r="AB528" s="857"/>
      <c r="AC528" s="857"/>
      <c r="AD528" s="857"/>
      <c r="AE528" s="857"/>
      <c r="AF528" s="857"/>
      <c r="AG528" s="857"/>
      <c r="AH528" s="857"/>
      <c r="AI528" s="857"/>
      <c r="AJ528" s="857"/>
      <c r="AK528" s="857"/>
      <c r="AL528" s="857"/>
      <c r="AM528" s="857"/>
      <c r="AN528" s="857"/>
      <c r="AO528" s="857"/>
      <c r="AP528" s="857"/>
      <c r="AQ528" s="857"/>
      <c r="AR528" s="857"/>
      <c r="AS528" s="857"/>
      <c r="AT528" s="855"/>
      <c r="AV528" s="857"/>
      <c r="AW528" s="857"/>
      <c r="AX528" s="857"/>
      <c r="AY528" s="857"/>
      <c r="AZ528" s="857"/>
      <c r="BA528" s="857"/>
      <c r="BB528" s="857"/>
      <c r="BC528" s="857"/>
      <c r="BD528" s="857"/>
      <c r="BE528" s="857"/>
      <c r="BF528" s="857"/>
      <c r="BG528" s="857"/>
    </row>
    <row r="529" spans="1:59" ht="15.75" customHeight="1">
      <c r="A529" s="857"/>
      <c r="B529" s="857"/>
      <c r="C529" s="857"/>
      <c r="D529" s="857"/>
      <c r="E529" s="857"/>
      <c r="F529" s="857"/>
      <c r="G529" s="857"/>
      <c r="H529" s="857"/>
      <c r="I529" s="857"/>
      <c r="J529" s="857"/>
      <c r="K529" s="857"/>
      <c r="L529" s="857"/>
      <c r="M529" s="857"/>
      <c r="N529" s="857"/>
      <c r="O529" s="857"/>
      <c r="P529" s="857"/>
      <c r="Q529" s="857"/>
      <c r="R529" s="857"/>
      <c r="S529" s="857"/>
      <c r="T529" s="857"/>
      <c r="U529" s="857"/>
      <c r="V529" s="857"/>
      <c r="W529" s="857"/>
      <c r="X529" s="857"/>
      <c r="Y529" s="857"/>
      <c r="Z529" s="857"/>
      <c r="AA529" s="857"/>
      <c r="AB529" s="857"/>
      <c r="AC529" s="857"/>
      <c r="AD529" s="857"/>
      <c r="AE529" s="857"/>
      <c r="AF529" s="857"/>
      <c r="AG529" s="857"/>
      <c r="AH529" s="857"/>
      <c r="AI529" s="857"/>
      <c r="AJ529" s="857"/>
      <c r="AK529" s="857"/>
      <c r="AL529" s="857"/>
      <c r="AM529" s="857"/>
      <c r="AN529" s="857"/>
      <c r="AO529" s="857"/>
      <c r="AP529" s="857"/>
      <c r="AQ529" s="857"/>
      <c r="AR529" s="857"/>
      <c r="AS529" s="857"/>
      <c r="AT529" s="855"/>
      <c r="AV529" s="857"/>
      <c r="AW529" s="857"/>
      <c r="AX529" s="857"/>
      <c r="AY529" s="857"/>
      <c r="AZ529" s="857"/>
      <c r="BA529" s="857"/>
      <c r="BB529" s="857"/>
      <c r="BC529" s="857"/>
      <c r="BD529" s="857"/>
      <c r="BE529" s="857"/>
      <c r="BF529" s="857"/>
      <c r="BG529" s="857"/>
    </row>
    <row r="530" spans="1:59" ht="15.75" customHeight="1">
      <c r="A530" s="857"/>
      <c r="B530" s="857"/>
      <c r="C530" s="857"/>
      <c r="D530" s="857"/>
      <c r="E530" s="857"/>
      <c r="F530" s="857"/>
      <c r="G530" s="857"/>
      <c r="H530" s="857"/>
      <c r="I530" s="857"/>
      <c r="J530" s="857"/>
      <c r="K530" s="857"/>
      <c r="L530" s="857"/>
      <c r="M530" s="857"/>
      <c r="N530" s="857"/>
      <c r="O530" s="857"/>
      <c r="P530" s="857"/>
      <c r="Q530" s="857"/>
      <c r="R530" s="857"/>
      <c r="S530" s="857"/>
      <c r="T530" s="857"/>
      <c r="U530" s="857"/>
      <c r="V530" s="857"/>
      <c r="W530" s="857"/>
      <c r="X530" s="857"/>
      <c r="Y530" s="857"/>
      <c r="Z530" s="857"/>
      <c r="AA530" s="857"/>
      <c r="AB530" s="857"/>
      <c r="AC530" s="857"/>
      <c r="AD530" s="857"/>
      <c r="AE530" s="857"/>
      <c r="AF530" s="857"/>
      <c r="AG530" s="857"/>
      <c r="AH530" s="857"/>
      <c r="AI530" s="857"/>
      <c r="AJ530" s="857"/>
      <c r="AK530" s="857"/>
      <c r="AL530" s="857"/>
      <c r="AM530" s="857"/>
      <c r="AN530" s="857"/>
      <c r="AO530" s="857"/>
      <c r="AP530" s="857"/>
      <c r="AQ530" s="857"/>
      <c r="AR530" s="857"/>
      <c r="AS530" s="857"/>
      <c r="AT530" s="855"/>
      <c r="AV530" s="857"/>
      <c r="AW530" s="857"/>
      <c r="AX530" s="857"/>
      <c r="AY530" s="857"/>
      <c r="AZ530" s="857"/>
      <c r="BA530" s="857"/>
      <c r="BB530" s="857"/>
      <c r="BC530" s="857"/>
      <c r="BD530" s="857"/>
      <c r="BE530" s="857"/>
      <c r="BF530" s="857"/>
      <c r="BG530" s="857"/>
    </row>
    <row r="531" spans="1:59" ht="15.75" customHeight="1">
      <c r="A531" s="857"/>
      <c r="B531" s="857"/>
      <c r="C531" s="857"/>
      <c r="D531" s="857"/>
      <c r="E531" s="857"/>
      <c r="F531" s="857"/>
      <c r="G531" s="857"/>
      <c r="H531" s="857"/>
      <c r="I531" s="857"/>
      <c r="J531" s="857"/>
      <c r="K531" s="857"/>
      <c r="L531" s="857"/>
      <c r="M531" s="857"/>
      <c r="N531" s="857"/>
      <c r="O531" s="857"/>
      <c r="P531" s="857"/>
      <c r="Q531" s="857"/>
      <c r="R531" s="857"/>
      <c r="S531" s="857"/>
      <c r="T531" s="857"/>
      <c r="U531" s="857"/>
      <c r="V531" s="857"/>
      <c r="W531" s="857"/>
      <c r="X531" s="857"/>
      <c r="Y531" s="857"/>
      <c r="Z531" s="857"/>
      <c r="AA531" s="857"/>
      <c r="AB531" s="857"/>
      <c r="AC531" s="857"/>
      <c r="AD531" s="857"/>
      <c r="AE531" s="857"/>
      <c r="AF531" s="857"/>
      <c r="AG531" s="857"/>
      <c r="AH531" s="857"/>
      <c r="AI531" s="857"/>
      <c r="AJ531" s="857"/>
      <c r="AK531" s="857"/>
      <c r="AL531" s="857"/>
      <c r="AM531" s="857"/>
      <c r="AN531" s="857"/>
      <c r="AO531" s="857"/>
      <c r="AP531" s="857"/>
      <c r="AQ531" s="857"/>
      <c r="AR531" s="857"/>
      <c r="AS531" s="857"/>
      <c r="AT531" s="855"/>
      <c r="AV531" s="857"/>
      <c r="AW531" s="857"/>
      <c r="AX531" s="857"/>
      <c r="AY531" s="857"/>
      <c r="AZ531" s="857"/>
      <c r="BA531" s="857"/>
      <c r="BB531" s="857"/>
      <c r="BC531" s="857"/>
      <c r="BD531" s="857"/>
      <c r="BE531" s="857"/>
      <c r="BF531" s="857"/>
      <c r="BG531" s="857"/>
    </row>
    <row r="532" spans="1:59" ht="15.75" customHeight="1">
      <c r="A532" s="857"/>
      <c r="B532" s="857"/>
      <c r="C532" s="857"/>
      <c r="D532" s="857"/>
      <c r="E532" s="857"/>
      <c r="F532" s="857"/>
      <c r="G532" s="857"/>
      <c r="H532" s="857"/>
      <c r="I532" s="857"/>
      <c r="J532" s="857"/>
      <c r="K532" s="857"/>
      <c r="L532" s="857"/>
      <c r="M532" s="857"/>
      <c r="N532" s="857"/>
      <c r="O532" s="857"/>
      <c r="P532" s="857"/>
      <c r="Q532" s="857"/>
      <c r="R532" s="857"/>
      <c r="S532" s="857"/>
      <c r="T532" s="857"/>
      <c r="U532" s="857"/>
      <c r="V532" s="857"/>
      <c r="W532" s="857"/>
      <c r="X532" s="857"/>
      <c r="Y532" s="857"/>
      <c r="Z532" s="857"/>
      <c r="AA532" s="857"/>
      <c r="AB532" s="857"/>
      <c r="AC532" s="857"/>
      <c r="AD532" s="857"/>
      <c r="AE532" s="857"/>
      <c r="AF532" s="857"/>
      <c r="AG532" s="857"/>
      <c r="AH532" s="857"/>
      <c r="AI532" s="857"/>
      <c r="AJ532" s="857"/>
      <c r="AK532" s="857"/>
      <c r="AL532" s="857"/>
      <c r="AM532" s="857"/>
      <c r="AN532" s="857"/>
      <c r="AO532" s="857"/>
      <c r="AP532" s="857"/>
      <c r="AQ532" s="857"/>
      <c r="AR532" s="857"/>
      <c r="AS532" s="857"/>
      <c r="AT532" s="855"/>
      <c r="AV532" s="857"/>
      <c r="AW532" s="857"/>
      <c r="AX532" s="857"/>
      <c r="AY532" s="857"/>
      <c r="AZ532" s="857"/>
      <c r="BA532" s="857"/>
      <c r="BB532" s="857"/>
      <c r="BC532" s="857"/>
      <c r="BD532" s="857"/>
      <c r="BE532" s="857"/>
      <c r="BF532" s="857"/>
      <c r="BG532" s="857"/>
    </row>
    <row r="533" spans="1:59" ht="15.75" customHeight="1">
      <c r="A533" s="857"/>
      <c r="B533" s="857"/>
      <c r="C533" s="857"/>
      <c r="D533" s="857"/>
      <c r="E533" s="857"/>
      <c r="F533" s="857"/>
      <c r="G533" s="857"/>
      <c r="H533" s="857"/>
      <c r="I533" s="857"/>
      <c r="J533" s="857"/>
      <c r="K533" s="857"/>
      <c r="L533" s="857"/>
      <c r="M533" s="857"/>
      <c r="N533" s="857"/>
      <c r="O533" s="857"/>
      <c r="P533" s="857"/>
      <c r="Q533" s="857"/>
      <c r="R533" s="857"/>
      <c r="S533" s="857"/>
      <c r="T533" s="857"/>
      <c r="U533" s="857"/>
      <c r="V533" s="857"/>
      <c r="W533" s="857"/>
      <c r="X533" s="857"/>
      <c r="Y533" s="857"/>
      <c r="Z533" s="857"/>
      <c r="AA533" s="857"/>
      <c r="AB533" s="857"/>
      <c r="AC533" s="857"/>
      <c r="AD533" s="857"/>
      <c r="AE533" s="857"/>
      <c r="AF533" s="857"/>
      <c r="AG533" s="857"/>
      <c r="AH533" s="857"/>
      <c r="AI533" s="857"/>
      <c r="AJ533" s="857"/>
      <c r="AK533" s="857"/>
      <c r="AL533" s="857"/>
      <c r="AM533" s="857"/>
      <c r="AN533" s="857"/>
      <c r="AO533" s="857"/>
      <c r="AP533" s="857"/>
      <c r="AQ533" s="857"/>
      <c r="AR533" s="857"/>
      <c r="AS533" s="857"/>
      <c r="AT533" s="855"/>
      <c r="AV533" s="857"/>
      <c r="AW533" s="857"/>
      <c r="AX533" s="857"/>
      <c r="AY533" s="857"/>
      <c r="AZ533" s="857"/>
      <c r="BA533" s="857"/>
      <c r="BB533" s="857"/>
      <c r="BC533" s="857"/>
      <c r="BD533" s="857"/>
      <c r="BE533" s="857"/>
      <c r="BF533" s="857"/>
      <c r="BG533" s="857"/>
    </row>
    <row r="534" spans="1:59" ht="15.75" customHeight="1">
      <c r="A534" s="857"/>
      <c r="B534" s="857"/>
      <c r="C534" s="857"/>
      <c r="D534" s="857"/>
      <c r="E534" s="857"/>
      <c r="F534" s="857"/>
      <c r="G534" s="857"/>
      <c r="H534" s="857"/>
      <c r="I534" s="857"/>
      <c r="J534" s="857"/>
      <c r="K534" s="857"/>
      <c r="L534" s="857"/>
      <c r="M534" s="857"/>
      <c r="N534" s="857"/>
      <c r="O534" s="857"/>
      <c r="P534" s="857"/>
      <c r="Q534" s="857"/>
      <c r="R534" s="857"/>
      <c r="S534" s="857"/>
      <c r="T534" s="857"/>
      <c r="U534" s="857"/>
      <c r="V534" s="857"/>
      <c r="W534" s="857"/>
      <c r="X534" s="857"/>
      <c r="Y534" s="857"/>
      <c r="Z534" s="857"/>
      <c r="AA534" s="857"/>
      <c r="AB534" s="857"/>
      <c r="AC534" s="857"/>
      <c r="AD534" s="857"/>
      <c r="AE534" s="857"/>
      <c r="AF534" s="857"/>
      <c r="AG534" s="857"/>
      <c r="AH534" s="857"/>
      <c r="AI534" s="857"/>
      <c r="AJ534" s="857"/>
      <c r="AK534" s="857"/>
      <c r="AL534" s="857"/>
      <c r="AM534" s="857"/>
      <c r="AN534" s="857"/>
      <c r="AO534" s="857"/>
      <c r="AP534" s="857"/>
      <c r="AQ534" s="857"/>
      <c r="AR534" s="857"/>
      <c r="AS534" s="857"/>
      <c r="AT534" s="855"/>
      <c r="AV534" s="857"/>
      <c r="AW534" s="857"/>
      <c r="AX534" s="857"/>
      <c r="AY534" s="857"/>
      <c r="AZ534" s="857"/>
      <c r="BA534" s="857"/>
      <c r="BB534" s="857"/>
      <c r="BC534" s="857"/>
      <c r="BD534" s="857"/>
      <c r="BE534" s="857"/>
      <c r="BF534" s="857"/>
      <c r="BG534" s="857"/>
    </row>
    <row r="535" spans="1:59" ht="15.75" customHeight="1">
      <c r="A535" s="857"/>
      <c r="B535" s="857"/>
      <c r="C535" s="857"/>
      <c r="D535" s="857"/>
      <c r="E535" s="857"/>
      <c r="F535" s="857"/>
      <c r="G535" s="857"/>
      <c r="H535" s="857"/>
      <c r="I535" s="857"/>
      <c r="J535" s="857"/>
      <c r="K535" s="857"/>
      <c r="L535" s="857"/>
      <c r="M535" s="857"/>
      <c r="N535" s="857"/>
      <c r="O535" s="857"/>
      <c r="P535" s="857"/>
      <c r="Q535" s="857"/>
      <c r="R535" s="857"/>
      <c r="S535" s="857"/>
      <c r="T535" s="857"/>
      <c r="U535" s="857"/>
      <c r="V535" s="857"/>
      <c r="W535" s="857"/>
      <c r="X535" s="857"/>
      <c r="Y535" s="857"/>
      <c r="Z535" s="857"/>
      <c r="AA535" s="857"/>
      <c r="AB535" s="857"/>
      <c r="AC535" s="857"/>
      <c r="AD535" s="857"/>
      <c r="AE535" s="857"/>
      <c r="AF535" s="857"/>
      <c r="AG535" s="857"/>
      <c r="AH535" s="857"/>
      <c r="AI535" s="857"/>
      <c r="AJ535" s="857"/>
      <c r="AK535" s="857"/>
      <c r="AL535" s="857"/>
      <c r="AM535" s="857"/>
      <c r="AN535" s="857"/>
      <c r="AO535" s="857"/>
      <c r="AP535" s="857"/>
      <c r="AQ535" s="857"/>
      <c r="AR535" s="857"/>
      <c r="AS535" s="857"/>
      <c r="AT535" s="855"/>
      <c r="AV535" s="857"/>
      <c r="AW535" s="857"/>
      <c r="AX535" s="857"/>
      <c r="AY535" s="857"/>
      <c r="AZ535" s="857"/>
      <c r="BA535" s="857"/>
      <c r="BB535" s="857"/>
      <c r="BC535" s="857"/>
      <c r="BD535" s="857"/>
      <c r="BE535" s="857"/>
      <c r="BF535" s="857"/>
      <c r="BG535" s="857"/>
    </row>
    <row r="536" spans="1:59" ht="15.75" customHeight="1">
      <c r="A536" s="857"/>
      <c r="B536" s="857"/>
      <c r="C536" s="857"/>
      <c r="D536" s="857"/>
      <c r="E536" s="857"/>
      <c r="F536" s="857"/>
      <c r="G536" s="857"/>
      <c r="H536" s="857"/>
      <c r="I536" s="857"/>
      <c r="J536" s="857"/>
      <c r="K536" s="857"/>
      <c r="L536" s="857"/>
      <c r="M536" s="857"/>
      <c r="N536" s="857"/>
      <c r="O536" s="857"/>
      <c r="P536" s="857"/>
      <c r="Q536" s="857"/>
      <c r="R536" s="857"/>
      <c r="S536" s="857"/>
      <c r="T536" s="857"/>
      <c r="U536" s="857"/>
      <c r="V536" s="857"/>
      <c r="W536" s="857"/>
      <c r="X536" s="857"/>
      <c r="Y536" s="857"/>
      <c r="Z536" s="857"/>
      <c r="AA536" s="857"/>
      <c r="AB536" s="857"/>
      <c r="AC536" s="857"/>
      <c r="AD536" s="857"/>
      <c r="AE536" s="857"/>
      <c r="AF536" s="857"/>
      <c r="AG536" s="857"/>
      <c r="AH536" s="857"/>
      <c r="AI536" s="857"/>
      <c r="AJ536" s="857"/>
      <c r="AK536" s="857"/>
      <c r="AL536" s="857"/>
      <c r="AM536" s="857"/>
      <c r="AN536" s="857"/>
      <c r="AO536" s="857"/>
      <c r="AP536" s="857"/>
      <c r="AQ536" s="857"/>
      <c r="AR536" s="857"/>
      <c r="AS536" s="857"/>
      <c r="AT536" s="855"/>
      <c r="AV536" s="857"/>
      <c r="AW536" s="857"/>
      <c r="AX536" s="857"/>
      <c r="AY536" s="857"/>
      <c r="AZ536" s="857"/>
      <c r="BA536" s="857"/>
      <c r="BB536" s="857"/>
      <c r="BC536" s="857"/>
      <c r="BD536" s="857"/>
      <c r="BE536" s="857"/>
      <c r="BF536" s="857"/>
      <c r="BG536" s="857"/>
    </row>
    <row r="537" spans="1:59" ht="15.75" customHeight="1">
      <c r="A537" s="857"/>
      <c r="B537" s="857"/>
      <c r="C537" s="857"/>
      <c r="D537" s="857"/>
      <c r="E537" s="857"/>
      <c r="F537" s="857"/>
      <c r="G537" s="857"/>
      <c r="H537" s="857"/>
      <c r="I537" s="857"/>
      <c r="J537" s="857"/>
      <c r="K537" s="857"/>
      <c r="L537" s="857"/>
      <c r="M537" s="857"/>
      <c r="N537" s="857"/>
      <c r="O537" s="857"/>
      <c r="P537" s="857"/>
      <c r="Q537" s="857"/>
      <c r="R537" s="857"/>
      <c r="S537" s="857"/>
      <c r="T537" s="857"/>
      <c r="U537" s="857"/>
      <c r="V537" s="857"/>
      <c r="W537" s="857"/>
      <c r="X537" s="857"/>
      <c r="Y537" s="857"/>
      <c r="Z537" s="857"/>
      <c r="AA537" s="857"/>
      <c r="AB537" s="857"/>
      <c r="AC537" s="857"/>
      <c r="AD537" s="857"/>
      <c r="AE537" s="857"/>
      <c r="AF537" s="857"/>
      <c r="AG537" s="857"/>
      <c r="AH537" s="857"/>
      <c r="AI537" s="857"/>
      <c r="AJ537" s="857"/>
      <c r="AK537" s="857"/>
      <c r="AL537" s="857"/>
      <c r="AM537" s="857"/>
      <c r="AN537" s="857"/>
      <c r="AO537" s="857"/>
      <c r="AP537" s="857"/>
      <c r="AQ537" s="857"/>
      <c r="AR537" s="857"/>
      <c r="AS537" s="857"/>
      <c r="AT537" s="855"/>
      <c r="AV537" s="857"/>
      <c r="AW537" s="857"/>
      <c r="AX537" s="857"/>
      <c r="AY537" s="857"/>
      <c r="AZ537" s="857"/>
      <c r="BA537" s="857"/>
      <c r="BB537" s="857"/>
      <c r="BC537" s="857"/>
      <c r="BD537" s="857"/>
      <c r="BE537" s="857"/>
      <c r="BF537" s="857"/>
      <c r="BG537" s="857"/>
    </row>
    <row r="538" spans="1:59" ht="15.75" customHeight="1">
      <c r="A538" s="857"/>
      <c r="B538" s="857"/>
      <c r="C538" s="857"/>
      <c r="D538" s="857"/>
      <c r="E538" s="857"/>
      <c r="F538" s="857"/>
      <c r="G538" s="857"/>
      <c r="H538" s="857"/>
      <c r="I538" s="857"/>
      <c r="J538" s="857"/>
      <c r="K538" s="857"/>
      <c r="L538" s="857"/>
      <c r="M538" s="857"/>
      <c r="N538" s="857"/>
      <c r="O538" s="857"/>
      <c r="P538" s="857"/>
      <c r="Q538" s="857"/>
      <c r="R538" s="857"/>
      <c r="S538" s="857"/>
      <c r="T538" s="857"/>
      <c r="U538" s="857"/>
      <c r="V538" s="857"/>
      <c r="W538" s="857"/>
      <c r="X538" s="857"/>
      <c r="Y538" s="857"/>
      <c r="Z538" s="857"/>
      <c r="AA538" s="857"/>
      <c r="AB538" s="857"/>
      <c r="AC538" s="857"/>
      <c r="AD538" s="857"/>
      <c r="AE538" s="857"/>
      <c r="AF538" s="857"/>
      <c r="AG538" s="857"/>
      <c r="AH538" s="857"/>
      <c r="AI538" s="857"/>
      <c r="AJ538" s="857"/>
      <c r="AK538" s="857"/>
      <c r="AL538" s="857"/>
      <c r="AM538" s="857"/>
      <c r="AN538" s="857"/>
      <c r="AO538" s="857"/>
      <c r="AP538" s="857"/>
      <c r="AQ538" s="857"/>
      <c r="AR538" s="857"/>
      <c r="AS538" s="857"/>
      <c r="AT538" s="855"/>
      <c r="AV538" s="857"/>
      <c r="AW538" s="857"/>
      <c r="AX538" s="857"/>
      <c r="AY538" s="857"/>
      <c r="AZ538" s="857"/>
      <c r="BA538" s="857"/>
      <c r="BB538" s="857"/>
      <c r="BC538" s="857"/>
      <c r="BD538" s="857"/>
      <c r="BE538" s="857"/>
      <c r="BF538" s="857"/>
      <c r="BG538" s="857"/>
    </row>
    <row r="539" spans="1:59" ht="15.75" customHeight="1">
      <c r="A539" s="857"/>
      <c r="B539" s="857"/>
      <c r="C539" s="857"/>
      <c r="D539" s="857"/>
      <c r="E539" s="857"/>
      <c r="F539" s="857"/>
      <c r="G539" s="857"/>
      <c r="H539" s="857"/>
      <c r="I539" s="857"/>
      <c r="J539" s="857"/>
      <c r="K539" s="857"/>
      <c r="L539" s="857"/>
      <c r="M539" s="857"/>
      <c r="N539" s="857"/>
      <c r="O539" s="857"/>
      <c r="P539" s="857"/>
      <c r="Q539" s="857"/>
      <c r="R539" s="857"/>
      <c r="S539" s="857"/>
      <c r="T539" s="857"/>
      <c r="U539" s="857"/>
      <c r="V539" s="857"/>
      <c r="W539" s="857"/>
      <c r="X539" s="857"/>
      <c r="Y539" s="857"/>
      <c r="Z539" s="857"/>
      <c r="AA539" s="857"/>
      <c r="AB539" s="857"/>
      <c r="AC539" s="857"/>
      <c r="AD539" s="857"/>
      <c r="AE539" s="857"/>
      <c r="AF539" s="857"/>
      <c r="AG539" s="857"/>
      <c r="AH539" s="857"/>
      <c r="AI539" s="857"/>
      <c r="AJ539" s="857"/>
      <c r="AK539" s="857"/>
      <c r="AL539" s="857"/>
      <c r="AM539" s="857"/>
      <c r="AN539" s="857"/>
      <c r="AO539" s="857"/>
      <c r="AP539" s="857"/>
      <c r="AQ539" s="857"/>
      <c r="AR539" s="857"/>
      <c r="AS539" s="857"/>
      <c r="AT539" s="855"/>
      <c r="AV539" s="857"/>
      <c r="AW539" s="857"/>
      <c r="AX539" s="857"/>
      <c r="AY539" s="857"/>
      <c r="AZ539" s="857"/>
      <c r="BA539" s="857"/>
      <c r="BB539" s="857"/>
      <c r="BC539" s="857"/>
      <c r="BD539" s="857"/>
      <c r="BE539" s="857"/>
      <c r="BF539" s="857"/>
      <c r="BG539" s="857"/>
    </row>
    <row r="540" spans="1:59" ht="15.75" customHeight="1">
      <c r="A540" s="857"/>
      <c r="B540" s="857"/>
      <c r="C540" s="857"/>
      <c r="D540" s="857"/>
      <c r="E540" s="857"/>
      <c r="F540" s="857"/>
      <c r="G540" s="857"/>
      <c r="H540" s="857"/>
      <c r="I540" s="857"/>
      <c r="J540" s="857"/>
      <c r="K540" s="857"/>
      <c r="L540" s="857"/>
      <c r="M540" s="857"/>
      <c r="N540" s="857"/>
      <c r="O540" s="857"/>
      <c r="P540" s="857"/>
      <c r="Q540" s="857"/>
      <c r="R540" s="857"/>
      <c r="S540" s="857"/>
      <c r="T540" s="857"/>
      <c r="U540" s="857"/>
      <c r="V540" s="857"/>
      <c r="W540" s="857"/>
      <c r="X540" s="857"/>
      <c r="Y540" s="857"/>
      <c r="Z540" s="857"/>
      <c r="AA540" s="857"/>
      <c r="AB540" s="857"/>
      <c r="AC540" s="857"/>
      <c r="AD540" s="857"/>
      <c r="AE540" s="857"/>
      <c r="AF540" s="857"/>
      <c r="AG540" s="857"/>
      <c r="AH540" s="857"/>
      <c r="AI540" s="857"/>
      <c r="AJ540" s="857"/>
      <c r="AK540" s="857"/>
      <c r="AL540" s="857"/>
      <c r="AM540" s="857"/>
      <c r="AN540" s="857"/>
      <c r="AO540" s="857"/>
      <c r="AP540" s="857"/>
      <c r="AQ540" s="857"/>
      <c r="AR540" s="857"/>
      <c r="AS540" s="857"/>
      <c r="AT540" s="855"/>
      <c r="AV540" s="857"/>
      <c r="AW540" s="857"/>
      <c r="AX540" s="857"/>
      <c r="AY540" s="857"/>
      <c r="AZ540" s="857"/>
      <c r="BA540" s="857"/>
      <c r="BB540" s="857"/>
      <c r="BC540" s="857"/>
      <c r="BD540" s="857"/>
      <c r="BE540" s="857"/>
      <c r="BF540" s="857"/>
      <c r="BG540" s="857"/>
    </row>
    <row r="541" spans="1:59" ht="15.75" customHeight="1">
      <c r="A541" s="857"/>
      <c r="B541" s="857"/>
      <c r="C541" s="857"/>
      <c r="D541" s="857"/>
      <c r="E541" s="857"/>
      <c r="F541" s="857"/>
      <c r="G541" s="857"/>
      <c r="H541" s="857"/>
      <c r="I541" s="857"/>
      <c r="J541" s="857"/>
      <c r="K541" s="857"/>
      <c r="L541" s="857"/>
      <c r="M541" s="857"/>
      <c r="N541" s="857"/>
      <c r="O541" s="857"/>
      <c r="P541" s="857"/>
      <c r="Q541" s="857"/>
      <c r="R541" s="857"/>
      <c r="S541" s="857"/>
      <c r="T541" s="857"/>
      <c r="U541" s="857"/>
      <c r="V541" s="857"/>
      <c r="W541" s="857"/>
      <c r="X541" s="857"/>
      <c r="Y541" s="857"/>
      <c r="Z541" s="857"/>
      <c r="AA541" s="857"/>
      <c r="AB541" s="857"/>
      <c r="AC541" s="857"/>
      <c r="AD541" s="857"/>
      <c r="AE541" s="857"/>
      <c r="AF541" s="857"/>
      <c r="AG541" s="857"/>
      <c r="AH541" s="857"/>
      <c r="AI541" s="857"/>
      <c r="AJ541" s="857"/>
      <c r="AK541" s="857"/>
      <c r="AL541" s="857"/>
      <c r="AM541" s="857"/>
      <c r="AN541" s="857"/>
      <c r="AO541" s="857"/>
      <c r="AP541" s="857"/>
      <c r="AQ541" s="857"/>
      <c r="AR541" s="857"/>
      <c r="AS541" s="857"/>
      <c r="AT541" s="855"/>
      <c r="AV541" s="857"/>
      <c r="AW541" s="857"/>
      <c r="AX541" s="857"/>
      <c r="AY541" s="857"/>
      <c r="AZ541" s="857"/>
      <c r="BA541" s="857"/>
      <c r="BB541" s="857"/>
      <c r="BC541" s="857"/>
      <c r="BD541" s="857"/>
      <c r="BE541" s="857"/>
      <c r="BF541" s="857"/>
      <c r="BG541" s="857"/>
    </row>
    <row r="542" spans="1:59" ht="15.75" customHeight="1">
      <c r="A542" s="857"/>
      <c r="B542" s="857"/>
      <c r="C542" s="857"/>
      <c r="D542" s="857"/>
      <c r="E542" s="857"/>
      <c r="F542" s="857"/>
      <c r="G542" s="857"/>
      <c r="H542" s="857"/>
      <c r="I542" s="857"/>
      <c r="J542" s="857"/>
      <c r="K542" s="857"/>
      <c r="L542" s="857"/>
      <c r="M542" s="857"/>
      <c r="N542" s="857"/>
      <c r="O542" s="857"/>
      <c r="P542" s="857"/>
      <c r="Q542" s="857"/>
      <c r="R542" s="857"/>
      <c r="S542" s="857"/>
      <c r="T542" s="857"/>
      <c r="U542" s="857"/>
      <c r="V542" s="857"/>
      <c r="W542" s="857"/>
      <c r="X542" s="857"/>
      <c r="Y542" s="857"/>
      <c r="Z542" s="857"/>
      <c r="AA542" s="857"/>
      <c r="AB542" s="857"/>
      <c r="AC542" s="857"/>
      <c r="AD542" s="857"/>
      <c r="AE542" s="857"/>
      <c r="AF542" s="857"/>
      <c r="AG542" s="857"/>
      <c r="AH542" s="857"/>
      <c r="AI542" s="857"/>
      <c r="AJ542" s="857"/>
      <c r="AK542" s="857"/>
      <c r="AL542" s="857"/>
      <c r="AM542" s="857"/>
      <c r="AN542" s="857"/>
      <c r="AO542" s="857"/>
      <c r="AP542" s="857"/>
      <c r="AQ542" s="857"/>
      <c r="AR542" s="857"/>
      <c r="AS542" s="857"/>
      <c r="AT542" s="855"/>
      <c r="AV542" s="857"/>
      <c r="AW542" s="857"/>
      <c r="AX542" s="857"/>
      <c r="AY542" s="857"/>
      <c r="AZ542" s="857"/>
      <c r="BA542" s="857"/>
      <c r="BB542" s="857"/>
      <c r="BC542" s="857"/>
      <c r="BD542" s="857"/>
      <c r="BE542" s="857"/>
      <c r="BF542" s="857"/>
      <c r="BG542" s="857"/>
    </row>
    <row r="543" spans="1:59" ht="15.75" customHeight="1">
      <c r="A543" s="857"/>
      <c r="B543" s="857"/>
      <c r="C543" s="857"/>
      <c r="D543" s="857"/>
      <c r="E543" s="857"/>
      <c r="F543" s="857"/>
      <c r="G543" s="857"/>
      <c r="H543" s="857"/>
      <c r="I543" s="857"/>
      <c r="J543" s="857"/>
      <c r="K543" s="857"/>
      <c r="L543" s="857"/>
      <c r="M543" s="857"/>
      <c r="N543" s="857"/>
      <c r="O543" s="857"/>
      <c r="P543" s="857"/>
      <c r="Q543" s="857"/>
      <c r="R543" s="857"/>
      <c r="S543" s="857"/>
      <c r="T543" s="857"/>
      <c r="U543" s="857"/>
      <c r="V543" s="857"/>
      <c r="W543" s="857"/>
      <c r="X543" s="857"/>
      <c r="Y543" s="857"/>
      <c r="Z543" s="857"/>
      <c r="AA543" s="857"/>
      <c r="AB543" s="857"/>
      <c r="AC543" s="857"/>
      <c r="AD543" s="857"/>
      <c r="AE543" s="857"/>
      <c r="AF543" s="857"/>
      <c r="AG543" s="857"/>
      <c r="AH543" s="857"/>
      <c r="AI543" s="857"/>
      <c r="AJ543" s="857"/>
      <c r="AK543" s="857"/>
      <c r="AL543" s="857"/>
      <c r="AM543" s="857"/>
      <c r="AN543" s="857"/>
      <c r="AO543" s="857"/>
      <c r="AP543" s="857"/>
      <c r="AQ543" s="857"/>
      <c r="AR543" s="857"/>
      <c r="AS543" s="857"/>
      <c r="AT543" s="855"/>
      <c r="AV543" s="857"/>
      <c r="AW543" s="857"/>
      <c r="AX543" s="857"/>
      <c r="AY543" s="857"/>
      <c r="AZ543" s="857"/>
      <c r="BA543" s="857"/>
      <c r="BB543" s="857"/>
      <c r="BC543" s="857"/>
      <c r="BD543" s="857"/>
      <c r="BE543" s="857"/>
      <c r="BF543" s="857"/>
      <c r="BG543" s="857"/>
    </row>
    <row r="544" spans="1:59" ht="15.75" customHeight="1">
      <c r="A544" s="857"/>
      <c r="B544" s="857"/>
      <c r="C544" s="857"/>
      <c r="D544" s="857"/>
      <c r="E544" s="857"/>
      <c r="F544" s="857"/>
      <c r="G544" s="857"/>
      <c r="H544" s="857"/>
      <c r="I544" s="857"/>
      <c r="J544" s="857"/>
      <c r="K544" s="857"/>
      <c r="L544" s="857"/>
      <c r="M544" s="857"/>
      <c r="N544" s="857"/>
      <c r="O544" s="857"/>
      <c r="P544" s="857"/>
      <c r="Q544" s="857"/>
      <c r="R544" s="857"/>
      <c r="S544" s="857"/>
      <c r="T544" s="857"/>
      <c r="U544" s="857"/>
      <c r="V544" s="857"/>
      <c r="W544" s="857"/>
      <c r="X544" s="857"/>
      <c r="Y544" s="857"/>
      <c r="Z544" s="857"/>
      <c r="AA544" s="857"/>
      <c r="AB544" s="857"/>
      <c r="AC544" s="857"/>
      <c r="AD544" s="857"/>
      <c r="AE544" s="857"/>
      <c r="AF544" s="857"/>
      <c r="AG544" s="857"/>
      <c r="AH544" s="857"/>
      <c r="AI544" s="857"/>
      <c r="AJ544" s="857"/>
      <c r="AK544" s="857"/>
      <c r="AL544" s="857"/>
      <c r="AM544" s="857"/>
      <c r="AN544" s="857"/>
      <c r="AO544" s="857"/>
      <c r="AP544" s="857"/>
      <c r="AQ544" s="857"/>
      <c r="AR544" s="857"/>
      <c r="AS544" s="857"/>
      <c r="AT544" s="855"/>
      <c r="AV544" s="857"/>
      <c r="AW544" s="857"/>
      <c r="AX544" s="857"/>
      <c r="AY544" s="857"/>
      <c r="AZ544" s="857"/>
      <c r="BA544" s="857"/>
      <c r="BB544" s="857"/>
      <c r="BC544" s="857"/>
      <c r="BD544" s="857"/>
      <c r="BE544" s="857"/>
      <c r="BF544" s="857"/>
      <c r="BG544" s="857"/>
    </row>
    <row r="545" spans="1:59" ht="15.75" customHeight="1">
      <c r="A545" s="857"/>
      <c r="B545" s="857"/>
      <c r="C545" s="857"/>
      <c r="D545" s="857"/>
      <c r="E545" s="857"/>
      <c r="F545" s="857"/>
      <c r="G545" s="857"/>
      <c r="H545" s="857"/>
      <c r="I545" s="857"/>
      <c r="J545" s="857"/>
      <c r="K545" s="857"/>
      <c r="L545" s="857"/>
      <c r="M545" s="857"/>
      <c r="N545" s="857"/>
      <c r="O545" s="857"/>
      <c r="P545" s="857"/>
      <c r="Q545" s="857"/>
      <c r="R545" s="857"/>
      <c r="S545" s="857"/>
      <c r="T545" s="857"/>
      <c r="U545" s="857"/>
      <c r="V545" s="857"/>
      <c r="W545" s="857"/>
      <c r="X545" s="857"/>
      <c r="Y545" s="857"/>
      <c r="Z545" s="857"/>
      <c r="AA545" s="857"/>
      <c r="AB545" s="857"/>
      <c r="AC545" s="857"/>
      <c r="AD545" s="857"/>
      <c r="AE545" s="857"/>
      <c r="AF545" s="857"/>
      <c r="AG545" s="857"/>
      <c r="AH545" s="857"/>
      <c r="AI545" s="857"/>
      <c r="AJ545" s="857"/>
      <c r="AK545" s="857"/>
      <c r="AL545" s="857"/>
      <c r="AM545" s="857"/>
      <c r="AN545" s="857"/>
      <c r="AO545" s="857"/>
      <c r="AP545" s="857"/>
      <c r="AQ545" s="857"/>
      <c r="AR545" s="857"/>
      <c r="AS545" s="857"/>
      <c r="AT545" s="855"/>
      <c r="AV545" s="857"/>
      <c r="AW545" s="857"/>
      <c r="AX545" s="857"/>
      <c r="AY545" s="857"/>
      <c r="AZ545" s="857"/>
      <c r="BA545" s="857"/>
      <c r="BB545" s="857"/>
      <c r="BC545" s="857"/>
      <c r="BD545" s="857"/>
      <c r="BE545" s="857"/>
      <c r="BF545" s="857"/>
      <c r="BG545" s="857"/>
    </row>
    <row r="546" spans="1:59" ht="15.75" customHeight="1">
      <c r="A546" s="857"/>
      <c r="B546" s="857"/>
      <c r="C546" s="857"/>
      <c r="D546" s="857"/>
      <c r="E546" s="857"/>
      <c r="F546" s="857"/>
      <c r="G546" s="857"/>
      <c r="H546" s="857"/>
      <c r="I546" s="857"/>
      <c r="J546" s="857"/>
      <c r="K546" s="857"/>
      <c r="L546" s="857"/>
      <c r="M546" s="857"/>
      <c r="N546" s="857"/>
      <c r="O546" s="857"/>
      <c r="P546" s="857"/>
      <c r="Q546" s="857"/>
      <c r="R546" s="857"/>
      <c r="S546" s="857"/>
      <c r="T546" s="857"/>
      <c r="U546" s="857"/>
      <c r="V546" s="857"/>
      <c r="W546" s="857"/>
      <c r="X546" s="857"/>
      <c r="Y546" s="857"/>
      <c r="Z546" s="857"/>
      <c r="AA546" s="857"/>
      <c r="AB546" s="857"/>
      <c r="AC546" s="857"/>
      <c r="AD546" s="857"/>
      <c r="AE546" s="857"/>
      <c r="AF546" s="857"/>
      <c r="AG546" s="857"/>
      <c r="AH546" s="857"/>
      <c r="AI546" s="857"/>
      <c r="AJ546" s="857"/>
      <c r="AK546" s="857"/>
      <c r="AL546" s="857"/>
      <c r="AM546" s="857"/>
      <c r="AN546" s="857"/>
      <c r="AO546" s="857"/>
      <c r="AP546" s="857"/>
      <c r="AQ546" s="857"/>
      <c r="AR546" s="857"/>
      <c r="AS546" s="857"/>
      <c r="AT546" s="855"/>
      <c r="AV546" s="857"/>
      <c r="AW546" s="857"/>
      <c r="AX546" s="857"/>
      <c r="AY546" s="857"/>
      <c r="AZ546" s="857"/>
      <c r="BA546" s="857"/>
      <c r="BB546" s="857"/>
      <c r="BC546" s="857"/>
      <c r="BD546" s="857"/>
      <c r="BE546" s="857"/>
      <c r="BF546" s="857"/>
      <c r="BG546" s="857"/>
    </row>
    <row r="547" spans="1:59" ht="15.75" customHeight="1">
      <c r="A547" s="857"/>
      <c r="B547" s="857"/>
      <c r="C547" s="857"/>
      <c r="D547" s="857"/>
      <c r="E547" s="857"/>
      <c r="F547" s="857"/>
      <c r="G547" s="857"/>
      <c r="H547" s="857"/>
      <c r="I547" s="857"/>
      <c r="J547" s="857"/>
      <c r="K547" s="857"/>
      <c r="L547" s="857"/>
      <c r="M547" s="857"/>
      <c r="N547" s="857"/>
      <c r="O547" s="857"/>
      <c r="P547" s="857"/>
      <c r="Q547" s="857"/>
      <c r="R547" s="857"/>
      <c r="S547" s="857"/>
      <c r="T547" s="857"/>
      <c r="U547" s="857"/>
      <c r="V547" s="857"/>
      <c r="W547" s="857"/>
      <c r="X547" s="857"/>
      <c r="Y547" s="857"/>
      <c r="Z547" s="857"/>
      <c r="AA547" s="857"/>
      <c r="AB547" s="857"/>
      <c r="AC547" s="857"/>
      <c r="AD547" s="857"/>
      <c r="AE547" s="857"/>
      <c r="AF547" s="857"/>
      <c r="AG547" s="857"/>
      <c r="AH547" s="857"/>
      <c r="AI547" s="857"/>
      <c r="AJ547" s="857"/>
      <c r="AK547" s="857"/>
      <c r="AL547" s="857"/>
      <c r="AM547" s="857"/>
      <c r="AN547" s="857"/>
      <c r="AO547" s="857"/>
      <c r="AP547" s="857"/>
      <c r="AQ547" s="857"/>
      <c r="AR547" s="857"/>
      <c r="AS547" s="857"/>
      <c r="AT547" s="855"/>
      <c r="AV547" s="857"/>
      <c r="AW547" s="857"/>
      <c r="AX547" s="857"/>
      <c r="AY547" s="857"/>
      <c r="AZ547" s="857"/>
      <c r="BA547" s="857"/>
      <c r="BB547" s="857"/>
      <c r="BC547" s="857"/>
      <c r="BD547" s="857"/>
      <c r="BE547" s="857"/>
      <c r="BF547" s="857"/>
      <c r="BG547" s="857"/>
    </row>
    <row r="548" spans="1:59" ht="15.75" customHeight="1">
      <c r="A548" s="857"/>
      <c r="B548" s="857"/>
      <c r="C548" s="857"/>
      <c r="D548" s="857"/>
      <c r="E548" s="857"/>
      <c r="F548" s="857"/>
      <c r="G548" s="857"/>
      <c r="H548" s="857"/>
      <c r="I548" s="857"/>
      <c r="J548" s="857"/>
      <c r="K548" s="857"/>
      <c r="L548" s="857"/>
      <c r="M548" s="857"/>
      <c r="N548" s="857"/>
      <c r="O548" s="857"/>
      <c r="P548" s="857"/>
      <c r="Q548" s="857"/>
      <c r="R548" s="857"/>
      <c r="S548" s="857"/>
      <c r="T548" s="857"/>
      <c r="U548" s="857"/>
      <c r="V548" s="857"/>
      <c r="W548" s="857"/>
      <c r="X548" s="857"/>
      <c r="Y548" s="857"/>
      <c r="Z548" s="857"/>
      <c r="AA548" s="857"/>
      <c r="AB548" s="857"/>
      <c r="AC548" s="857"/>
      <c r="AD548" s="857"/>
      <c r="AE548" s="857"/>
      <c r="AF548" s="857"/>
      <c r="AG548" s="857"/>
      <c r="AH548" s="857"/>
      <c r="AI548" s="857"/>
      <c r="AJ548" s="857"/>
      <c r="AK548" s="857"/>
      <c r="AL548" s="857"/>
      <c r="AM548" s="857"/>
      <c r="AN548" s="857"/>
      <c r="AO548" s="857"/>
      <c r="AP548" s="857"/>
      <c r="AQ548" s="857"/>
      <c r="AR548" s="857"/>
      <c r="AS548" s="857"/>
      <c r="AT548" s="855"/>
      <c r="AV548" s="857"/>
      <c r="AW548" s="857"/>
      <c r="AX548" s="857"/>
      <c r="AY548" s="857"/>
      <c r="AZ548" s="857"/>
      <c r="BA548" s="857"/>
      <c r="BB548" s="857"/>
      <c r="BC548" s="857"/>
      <c r="BD548" s="857"/>
      <c r="BE548" s="857"/>
      <c r="BF548" s="857"/>
      <c r="BG548" s="857"/>
    </row>
    <row r="549" spans="1:59" ht="15.75" customHeight="1">
      <c r="A549" s="857"/>
      <c r="B549" s="857"/>
      <c r="C549" s="857"/>
      <c r="D549" s="857"/>
      <c r="E549" s="857"/>
      <c r="F549" s="857"/>
      <c r="G549" s="857"/>
      <c r="H549" s="857"/>
      <c r="I549" s="857"/>
      <c r="J549" s="857"/>
      <c r="K549" s="857"/>
      <c r="L549" s="857"/>
      <c r="M549" s="857"/>
      <c r="N549" s="857"/>
      <c r="O549" s="857"/>
      <c r="P549" s="857"/>
      <c r="Q549" s="857"/>
      <c r="R549" s="857"/>
      <c r="S549" s="857"/>
      <c r="T549" s="857"/>
      <c r="U549" s="857"/>
      <c r="V549" s="857"/>
      <c r="W549" s="857"/>
      <c r="X549" s="857"/>
      <c r="Y549" s="857"/>
      <c r="Z549" s="857"/>
      <c r="AA549" s="857"/>
      <c r="AB549" s="857"/>
      <c r="AC549" s="857"/>
      <c r="AD549" s="857"/>
      <c r="AE549" s="857"/>
      <c r="AF549" s="857"/>
      <c r="AG549" s="857"/>
      <c r="AH549" s="857"/>
      <c r="AI549" s="857"/>
      <c r="AJ549" s="857"/>
      <c r="AK549" s="857"/>
      <c r="AL549" s="857"/>
      <c r="AM549" s="857"/>
      <c r="AN549" s="857"/>
      <c r="AO549" s="857"/>
      <c r="AP549" s="857"/>
      <c r="AQ549" s="857"/>
      <c r="AR549" s="857"/>
      <c r="AS549" s="857"/>
      <c r="AT549" s="855"/>
      <c r="AV549" s="857"/>
      <c r="AW549" s="857"/>
      <c r="AX549" s="857"/>
      <c r="AY549" s="857"/>
      <c r="AZ549" s="857"/>
      <c r="BA549" s="857"/>
      <c r="BB549" s="857"/>
      <c r="BC549" s="857"/>
      <c r="BD549" s="857"/>
      <c r="BE549" s="857"/>
      <c r="BF549" s="857"/>
      <c r="BG549" s="857"/>
    </row>
    <row r="550" spans="1:59" ht="15.75" customHeight="1">
      <c r="A550" s="857"/>
      <c r="B550" s="857"/>
      <c r="C550" s="857"/>
      <c r="D550" s="857"/>
      <c r="E550" s="857"/>
      <c r="F550" s="857"/>
      <c r="G550" s="857"/>
      <c r="H550" s="857"/>
      <c r="I550" s="857"/>
      <c r="J550" s="857"/>
      <c r="K550" s="857"/>
      <c r="L550" s="857"/>
      <c r="M550" s="857"/>
      <c r="N550" s="857"/>
      <c r="O550" s="857"/>
      <c r="P550" s="857"/>
      <c r="Q550" s="857"/>
      <c r="R550" s="857"/>
      <c r="S550" s="857"/>
      <c r="T550" s="857"/>
      <c r="U550" s="857"/>
      <c r="V550" s="857"/>
      <c r="W550" s="857"/>
      <c r="X550" s="857"/>
      <c r="Y550" s="857"/>
      <c r="Z550" s="857"/>
      <c r="AA550" s="857"/>
      <c r="AB550" s="857"/>
      <c r="AC550" s="857"/>
      <c r="AD550" s="857"/>
      <c r="AE550" s="857"/>
      <c r="AF550" s="857"/>
      <c r="AG550" s="857"/>
      <c r="AH550" s="857"/>
      <c r="AI550" s="857"/>
      <c r="AJ550" s="857"/>
      <c r="AK550" s="857"/>
      <c r="AL550" s="857"/>
      <c r="AM550" s="857"/>
      <c r="AN550" s="857"/>
      <c r="AO550" s="857"/>
      <c r="AP550" s="857"/>
      <c r="AQ550" s="857"/>
      <c r="AR550" s="857"/>
      <c r="AS550" s="857"/>
      <c r="AT550" s="855"/>
      <c r="AV550" s="857"/>
      <c r="AW550" s="857"/>
      <c r="AX550" s="857"/>
      <c r="AY550" s="857"/>
      <c r="AZ550" s="857"/>
      <c r="BA550" s="857"/>
      <c r="BB550" s="857"/>
      <c r="BC550" s="857"/>
      <c r="BD550" s="857"/>
      <c r="BE550" s="857"/>
      <c r="BF550" s="857"/>
      <c r="BG550" s="857"/>
    </row>
    <row r="551" spans="1:59" ht="15.75" customHeight="1">
      <c r="A551" s="857"/>
      <c r="B551" s="857"/>
      <c r="C551" s="857"/>
      <c r="D551" s="857"/>
      <c r="E551" s="857"/>
      <c r="F551" s="857"/>
      <c r="G551" s="857"/>
      <c r="H551" s="857"/>
      <c r="I551" s="857"/>
      <c r="J551" s="857"/>
      <c r="K551" s="857"/>
      <c r="L551" s="857"/>
      <c r="M551" s="857"/>
      <c r="N551" s="857"/>
      <c r="O551" s="857"/>
      <c r="P551" s="857"/>
      <c r="Q551" s="857"/>
      <c r="R551" s="857"/>
      <c r="S551" s="857"/>
      <c r="T551" s="857"/>
      <c r="U551" s="857"/>
      <c r="V551" s="857"/>
      <c r="W551" s="857"/>
      <c r="X551" s="857"/>
      <c r="Y551" s="857"/>
      <c r="Z551" s="857"/>
      <c r="AA551" s="857"/>
      <c r="AB551" s="857"/>
      <c r="AC551" s="857"/>
      <c r="AD551" s="857"/>
      <c r="AE551" s="857"/>
      <c r="AF551" s="857"/>
      <c r="AG551" s="857"/>
      <c r="AH551" s="857"/>
      <c r="AI551" s="857"/>
      <c r="AJ551" s="857"/>
      <c r="AK551" s="857"/>
      <c r="AL551" s="857"/>
      <c r="AM551" s="857"/>
      <c r="AN551" s="857"/>
      <c r="AO551" s="857"/>
      <c r="AP551" s="857"/>
      <c r="AQ551" s="857"/>
      <c r="AR551" s="857"/>
      <c r="AS551" s="857"/>
      <c r="AT551" s="855"/>
      <c r="AV551" s="857"/>
      <c r="AW551" s="857"/>
      <c r="AX551" s="857"/>
      <c r="AY551" s="857"/>
      <c r="AZ551" s="857"/>
      <c r="BA551" s="857"/>
      <c r="BB551" s="857"/>
      <c r="BC551" s="857"/>
      <c r="BD551" s="857"/>
      <c r="BE551" s="857"/>
      <c r="BF551" s="857"/>
      <c r="BG551" s="857"/>
    </row>
    <row r="552" spans="1:59" ht="15.75" customHeight="1">
      <c r="A552" s="857"/>
      <c r="B552" s="857"/>
      <c r="C552" s="857"/>
      <c r="D552" s="857"/>
      <c r="E552" s="857"/>
      <c r="F552" s="857"/>
      <c r="G552" s="857"/>
      <c r="H552" s="857"/>
      <c r="I552" s="857"/>
      <c r="J552" s="857"/>
      <c r="K552" s="857"/>
      <c r="L552" s="857"/>
      <c r="M552" s="857"/>
      <c r="N552" s="857"/>
      <c r="O552" s="857"/>
      <c r="P552" s="857"/>
      <c r="Q552" s="857"/>
      <c r="R552" s="857"/>
      <c r="S552" s="857"/>
      <c r="T552" s="857"/>
      <c r="U552" s="857"/>
      <c r="V552" s="857"/>
      <c r="W552" s="857"/>
      <c r="X552" s="857"/>
      <c r="Y552" s="857"/>
      <c r="Z552" s="857"/>
      <c r="AA552" s="857"/>
      <c r="AB552" s="857"/>
      <c r="AC552" s="857"/>
      <c r="AD552" s="857"/>
      <c r="AE552" s="857"/>
      <c r="AF552" s="857"/>
      <c r="AG552" s="857"/>
      <c r="AH552" s="857"/>
      <c r="AI552" s="857"/>
      <c r="AJ552" s="857"/>
      <c r="AK552" s="857"/>
      <c r="AL552" s="857"/>
      <c r="AM552" s="857"/>
      <c r="AN552" s="857"/>
      <c r="AO552" s="857"/>
      <c r="AP552" s="857"/>
      <c r="AQ552" s="857"/>
      <c r="AR552" s="857"/>
      <c r="AS552" s="857"/>
      <c r="AT552" s="855"/>
      <c r="AV552" s="857"/>
      <c r="AW552" s="857"/>
      <c r="AX552" s="857"/>
      <c r="AY552" s="857"/>
      <c r="AZ552" s="857"/>
      <c r="BA552" s="857"/>
      <c r="BB552" s="857"/>
      <c r="BC552" s="857"/>
      <c r="BD552" s="857"/>
      <c r="BE552" s="857"/>
      <c r="BF552" s="857"/>
      <c r="BG552" s="857"/>
    </row>
    <row r="553" spans="1:59" ht="15.75" customHeight="1">
      <c r="A553" s="857"/>
      <c r="B553" s="857"/>
      <c r="C553" s="857"/>
      <c r="D553" s="857"/>
      <c r="E553" s="857"/>
      <c r="F553" s="857"/>
      <c r="G553" s="857"/>
      <c r="H553" s="857"/>
      <c r="I553" s="857"/>
      <c r="J553" s="857"/>
      <c r="K553" s="857"/>
      <c r="L553" s="857"/>
      <c r="M553" s="857"/>
      <c r="N553" s="857"/>
      <c r="O553" s="857"/>
      <c r="P553" s="857"/>
      <c r="Q553" s="857"/>
      <c r="R553" s="857"/>
      <c r="S553" s="857"/>
      <c r="T553" s="857"/>
      <c r="U553" s="857"/>
      <c r="V553" s="857"/>
      <c r="W553" s="857"/>
      <c r="X553" s="857"/>
      <c r="Y553" s="857"/>
      <c r="Z553" s="857"/>
      <c r="AA553" s="857"/>
      <c r="AB553" s="857"/>
      <c r="AC553" s="857"/>
      <c r="AD553" s="857"/>
      <c r="AE553" s="857"/>
      <c r="AF553" s="857"/>
      <c r="AG553" s="857"/>
      <c r="AH553" s="857"/>
      <c r="AI553" s="857"/>
      <c r="AJ553" s="857"/>
      <c r="AK553" s="857"/>
      <c r="AL553" s="857"/>
      <c r="AM553" s="857"/>
      <c r="AN553" s="857"/>
      <c r="AO553" s="857"/>
      <c r="AP553" s="857"/>
      <c r="AQ553" s="857"/>
      <c r="AR553" s="857"/>
      <c r="AS553" s="857"/>
      <c r="AT553" s="855"/>
      <c r="AV553" s="857"/>
      <c r="AW553" s="857"/>
      <c r="AX553" s="857"/>
      <c r="AY553" s="857"/>
      <c r="AZ553" s="857"/>
      <c r="BA553" s="857"/>
      <c r="BB553" s="857"/>
      <c r="BC553" s="857"/>
      <c r="BD553" s="857"/>
      <c r="BE553" s="857"/>
      <c r="BF553" s="857"/>
      <c r="BG553" s="857"/>
    </row>
    <row r="554" spans="1:59" ht="15.75" customHeight="1">
      <c r="A554" s="857"/>
      <c r="B554" s="857"/>
      <c r="C554" s="857"/>
      <c r="D554" s="857"/>
      <c r="E554" s="857"/>
      <c r="F554" s="857"/>
      <c r="G554" s="857"/>
      <c r="H554" s="857"/>
      <c r="I554" s="857"/>
      <c r="J554" s="857"/>
      <c r="K554" s="857"/>
      <c r="L554" s="857"/>
      <c r="M554" s="857"/>
      <c r="N554" s="857"/>
      <c r="O554" s="857"/>
      <c r="P554" s="857"/>
      <c r="Q554" s="857"/>
      <c r="R554" s="857"/>
      <c r="S554" s="857"/>
      <c r="T554" s="857"/>
      <c r="U554" s="857"/>
      <c r="V554" s="857"/>
      <c r="W554" s="857"/>
      <c r="X554" s="857"/>
      <c r="Y554" s="857"/>
      <c r="Z554" s="857"/>
      <c r="AA554" s="857"/>
      <c r="AB554" s="857"/>
      <c r="AC554" s="857"/>
      <c r="AD554" s="857"/>
      <c r="AE554" s="857"/>
      <c r="AF554" s="857"/>
      <c r="AG554" s="857"/>
      <c r="AH554" s="857"/>
      <c r="AI554" s="857"/>
      <c r="AJ554" s="857"/>
      <c r="AK554" s="857"/>
      <c r="AL554" s="857"/>
      <c r="AM554" s="857"/>
      <c r="AN554" s="857"/>
      <c r="AO554" s="857"/>
      <c r="AP554" s="857"/>
      <c r="AQ554" s="857"/>
      <c r="AR554" s="857"/>
      <c r="AS554" s="857"/>
      <c r="AT554" s="855"/>
      <c r="AV554" s="857"/>
      <c r="AW554" s="857"/>
      <c r="AX554" s="857"/>
      <c r="AY554" s="857"/>
      <c r="AZ554" s="857"/>
      <c r="BA554" s="857"/>
      <c r="BB554" s="857"/>
      <c r="BC554" s="857"/>
      <c r="BD554" s="857"/>
      <c r="BE554" s="857"/>
      <c r="BF554" s="857"/>
      <c r="BG554" s="857"/>
    </row>
    <row r="555" spans="1:59" ht="15.75" customHeight="1">
      <c r="A555" s="857"/>
      <c r="B555" s="857"/>
      <c r="C555" s="857"/>
      <c r="D555" s="857"/>
      <c r="E555" s="857"/>
      <c r="F555" s="857"/>
      <c r="G555" s="857"/>
      <c r="H555" s="857"/>
      <c r="I555" s="857"/>
      <c r="J555" s="857"/>
      <c r="K555" s="857"/>
      <c r="L555" s="857"/>
      <c r="M555" s="857"/>
      <c r="N555" s="857"/>
      <c r="O555" s="857"/>
      <c r="P555" s="857"/>
      <c r="Q555" s="857"/>
      <c r="R555" s="857"/>
      <c r="S555" s="857"/>
      <c r="T555" s="857"/>
      <c r="U555" s="857"/>
      <c r="V555" s="857"/>
      <c r="W555" s="857"/>
      <c r="X555" s="857"/>
      <c r="Y555" s="857"/>
      <c r="Z555" s="857"/>
      <c r="AA555" s="857"/>
      <c r="AB555" s="857"/>
      <c r="AC555" s="857"/>
      <c r="AD555" s="857"/>
      <c r="AE555" s="857"/>
      <c r="AF555" s="857"/>
      <c r="AG555" s="857"/>
      <c r="AH555" s="857"/>
      <c r="AI555" s="857"/>
      <c r="AJ555" s="857"/>
      <c r="AK555" s="857"/>
      <c r="AL555" s="857"/>
      <c r="AM555" s="857"/>
      <c r="AN555" s="857"/>
      <c r="AO555" s="857"/>
      <c r="AP555" s="857"/>
      <c r="AQ555" s="857"/>
      <c r="AR555" s="857"/>
      <c r="AS555" s="857"/>
      <c r="AT555" s="855"/>
      <c r="AV555" s="857"/>
      <c r="AW555" s="857"/>
      <c r="AX555" s="857"/>
      <c r="AY555" s="857"/>
      <c r="AZ555" s="857"/>
      <c r="BA555" s="857"/>
      <c r="BB555" s="857"/>
      <c r="BC555" s="857"/>
      <c r="BD555" s="857"/>
      <c r="BE555" s="857"/>
      <c r="BF555" s="857"/>
      <c r="BG555" s="857"/>
    </row>
    <row r="556" spans="1:59" ht="15.75" customHeight="1">
      <c r="A556" s="857"/>
      <c r="B556" s="857"/>
      <c r="C556" s="857"/>
      <c r="D556" s="857"/>
      <c r="E556" s="857"/>
      <c r="F556" s="857"/>
      <c r="G556" s="857"/>
      <c r="H556" s="857"/>
      <c r="I556" s="857"/>
      <c r="J556" s="857"/>
      <c r="K556" s="857"/>
      <c r="L556" s="857"/>
      <c r="M556" s="857"/>
      <c r="N556" s="857"/>
      <c r="O556" s="857"/>
      <c r="P556" s="857"/>
      <c r="Q556" s="857"/>
      <c r="R556" s="857"/>
      <c r="S556" s="857"/>
      <c r="T556" s="857"/>
      <c r="U556" s="857"/>
      <c r="V556" s="857"/>
      <c r="W556" s="857"/>
      <c r="X556" s="857"/>
      <c r="Y556" s="857"/>
      <c r="Z556" s="857"/>
      <c r="AA556" s="857"/>
      <c r="AB556" s="857"/>
      <c r="AC556" s="857"/>
      <c r="AD556" s="857"/>
      <c r="AE556" s="857"/>
      <c r="AF556" s="857"/>
      <c r="AG556" s="857"/>
      <c r="AH556" s="857"/>
      <c r="AI556" s="857"/>
      <c r="AJ556" s="857"/>
      <c r="AK556" s="857"/>
      <c r="AL556" s="857"/>
      <c r="AM556" s="857"/>
      <c r="AN556" s="857"/>
      <c r="AO556" s="857"/>
      <c r="AP556" s="857"/>
      <c r="AQ556" s="857"/>
      <c r="AR556" s="857"/>
      <c r="AS556" s="857"/>
      <c r="AT556" s="855"/>
      <c r="AV556" s="857"/>
      <c r="AW556" s="857"/>
      <c r="AX556" s="857"/>
      <c r="AY556" s="857"/>
      <c r="AZ556" s="857"/>
      <c r="BA556" s="857"/>
      <c r="BB556" s="857"/>
      <c r="BC556" s="857"/>
      <c r="BD556" s="857"/>
      <c r="BE556" s="857"/>
      <c r="BF556" s="857"/>
      <c r="BG556" s="857"/>
    </row>
    <row r="557" spans="1:59" ht="15.75" customHeight="1">
      <c r="A557" s="857"/>
      <c r="B557" s="857"/>
      <c r="C557" s="857"/>
      <c r="D557" s="857"/>
      <c r="E557" s="857"/>
      <c r="F557" s="857"/>
      <c r="G557" s="857"/>
      <c r="H557" s="857"/>
      <c r="I557" s="857"/>
      <c r="J557" s="857"/>
      <c r="K557" s="857"/>
      <c r="L557" s="857"/>
      <c r="M557" s="857"/>
      <c r="N557" s="857"/>
      <c r="O557" s="857"/>
      <c r="P557" s="857"/>
      <c r="Q557" s="857"/>
      <c r="R557" s="857"/>
      <c r="S557" s="857"/>
      <c r="T557" s="857"/>
      <c r="U557" s="857"/>
      <c r="V557" s="857"/>
      <c r="W557" s="857"/>
      <c r="X557" s="857"/>
      <c r="Y557" s="857"/>
      <c r="Z557" s="857"/>
      <c r="AA557" s="857"/>
      <c r="AB557" s="857"/>
      <c r="AC557" s="857"/>
      <c r="AD557" s="857"/>
      <c r="AE557" s="857"/>
      <c r="AF557" s="857"/>
      <c r="AG557" s="857"/>
      <c r="AH557" s="857"/>
      <c r="AI557" s="857"/>
      <c r="AJ557" s="857"/>
      <c r="AK557" s="857"/>
      <c r="AL557" s="857"/>
      <c r="AM557" s="857"/>
      <c r="AN557" s="857"/>
      <c r="AO557" s="857"/>
      <c r="AP557" s="857"/>
      <c r="AQ557" s="857"/>
      <c r="AR557" s="857"/>
      <c r="AS557" s="857"/>
      <c r="AT557" s="855"/>
      <c r="AV557" s="857"/>
      <c r="AW557" s="857"/>
      <c r="AX557" s="857"/>
      <c r="AY557" s="857"/>
      <c r="AZ557" s="857"/>
      <c r="BA557" s="857"/>
      <c r="BB557" s="857"/>
      <c r="BC557" s="857"/>
      <c r="BD557" s="857"/>
      <c r="BE557" s="857"/>
      <c r="BF557" s="857"/>
      <c r="BG557" s="857"/>
    </row>
    <row r="558" spans="1:59" ht="15.75" customHeight="1">
      <c r="A558" s="857"/>
      <c r="B558" s="857"/>
      <c r="C558" s="857"/>
      <c r="D558" s="857"/>
      <c r="E558" s="857"/>
      <c r="F558" s="857"/>
      <c r="G558" s="857"/>
      <c r="H558" s="857"/>
      <c r="I558" s="857"/>
      <c r="J558" s="857"/>
      <c r="K558" s="857"/>
      <c r="L558" s="857"/>
      <c r="M558" s="857"/>
      <c r="N558" s="857"/>
      <c r="O558" s="857"/>
      <c r="P558" s="857"/>
      <c r="Q558" s="857"/>
      <c r="R558" s="857"/>
      <c r="S558" s="857"/>
      <c r="T558" s="857"/>
      <c r="U558" s="857"/>
      <c r="V558" s="857"/>
      <c r="W558" s="857"/>
      <c r="X558" s="857"/>
      <c r="Y558" s="857"/>
      <c r="Z558" s="857"/>
      <c r="AA558" s="857"/>
      <c r="AB558" s="857"/>
      <c r="AC558" s="857"/>
      <c r="AD558" s="857"/>
      <c r="AE558" s="857"/>
      <c r="AF558" s="857"/>
      <c r="AG558" s="857"/>
      <c r="AH558" s="857"/>
      <c r="AI558" s="857"/>
      <c r="AJ558" s="857"/>
      <c r="AK558" s="857"/>
      <c r="AL558" s="857"/>
      <c r="AM558" s="857"/>
      <c r="AN558" s="857"/>
      <c r="AO558" s="857"/>
      <c r="AP558" s="857"/>
      <c r="AQ558" s="857"/>
      <c r="AR558" s="857"/>
      <c r="AS558" s="857"/>
      <c r="AT558" s="855"/>
      <c r="AV558" s="857"/>
      <c r="AW558" s="857"/>
      <c r="AX558" s="857"/>
      <c r="AY558" s="857"/>
      <c r="AZ558" s="857"/>
      <c r="BA558" s="857"/>
      <c r="BB558" s="857"/>
      <c r="BC558" s="857"/>
      <c r="BD558" s="857"/>
      <c r="BE558" s="857"/>
      <c r="BF558" s="857"/>
      <c r="BG558" s="857"/>
    </row>
    <row r="559" spans="1:59" ht="15.75" customHeight="1">
      <c r="A559" s="857"/>
      <c r="B559" s="857"/>
      <c r="C559" s="857"/>
      <c r="D559" s="857"/>
      <c r="E559" s="857"/>
      <c r="F559" s="857"/>
      <c r="G559" s="857"/>
      <c r="H559" s="857"/>
      <c r="I559" s="857"/>
      <c r="J559" s="857"/>
      <c r="K559" s="857"/>
      <c r="L559" s="857"/>
      <c r="M559" s="857"/>
      <c r="N559" s="857"/>
      <c r="O559" s="857"/>
      <c r="P559" s="857"/>
      <c r="Q559" s="857"/>
      <c r="R559" s="857"/>
      <c r="S559" s="857"/>
      <c r="T559" s="857"/>
      <c r="U559" s="857"/>
      <c r="V559" s="857"/>
      <c r="W559" s="857"/>
      <c r="X559" s="857"/>
      <c r="Y559" s="857"/>
      <c r="Z559" s="857"/>
      <c r="AA559" s="857"/>
      <c r="AB559" s="857"/>
      <c r="AC559" s="857"/>
      <c r="AD559" s="857"/>
      <c r="AE559" s="857"/>
      <c r="AF559" s="857"/>
      <c r="AG559" s="857"/>
      <c r="AH559" s="857"/>
      <c r="AI559" s="857"/>
      <c r="AJ559" s="857"/>
      <c r="AK559" s="857"/>
      <c r="AL559" s="857"/>
      <c r="AM559" s="857"/>
      <c r="AN559" s="857"/>
      <c r="AO559" s="857"/>
      <c r="AP559" s="857"/>
      <c r="AQ559" s="857"/>
      <c r="AR559" s="857"/>
      <c r="AS559" s="857"/>
      <c r="AT559" s="855"/>
      <c r="AV559" s="857"/>
      <c r="AW559" s="857"/>
      <c r="AX559" s="857"/>
      <c r="AY559" s="857"/>
      <c r="AZ559" s="857"/>
      <c r="BA559" s="857"/>
      <c r="BB559" s="857"/>
      <c r="BC559" s="857"/>
      <c r="BD559" s="857"/>
      <c r="BE559" s="857"/>
      <c r="BF559" s="857"/>
      <c r="BG559" s="857"/>
    </row>
    <row r="560" spans="1:59" ht="15.75" customHeight="1">
      <c r="A560" s="857"/>
      <c r="B560" s="857"/>
      <c r="C560" s="857"/>
      <c r="D560" s="857"/>
      <c r="E560" s="857"/>
      <c r="F560" s="857"/>
      <c r="G560" s="857"/>
      <c r="H560" s="857"/>
      <c r="I560" s="857"/>
      <c r="J560" s="857"/>
      <c r="K560" s="857"/>
      <c r="L560" s="857"/>
      <c r="M560" s="857"/>
      <c r="N560" s="857"/>
      <c r="O560" s="857"/>
      <c r="P560" s="857"/>
      <c r="Q560" s="857"/>
      <c r="R560" s="857"/>
      <c r="S560" s="857"/>
      <c r="T560" s="857"/>
      <c r="U560" s="857"/>
      <c r="V560" s="857"/>
      <c r="W560" s="857"/>
      <c r="X560" s="857"/>
      <c r="Y560" s="857"/>
      <c r="Z560" s="857"/>
      <c r="AA560" s="857"/>
      <c r="AB560" s="857"/>
      <c r="AC560" s="857"/>
      <c r="AD560" s="857"/>
      <c r="AE560" s="857"/>
      <c r="AF560" s="857"/>
      <c r="AG560" s="857"/>
      <c r="AH560" s="857"/>
      <c r="AI560" s="857"/>
      <c r="AJ560" s="857"/>
      <c r="AK560" s="857"/>
      <c r="AL560" s="857"/>
      <c r="AM560" s="857"/>
      <c r="AN560" s="857"/>
      <c r="AO560" s="857"/>
      <c r="AP560" s="857"/>
      <c r="AQ560" s="857"/>
      <c r="AR560" s="857"/>
      <c r="AS560" s="857"/>
      <c r="AT560" s="855"/>
      <c r="AV560" s="857"/>
      <c r="AW560" s="857"/>
      <c r="AX560" s="857"/>
      <c r="AY560" s="857"/>
      <c r="AZ560" s="857"/>
      <c r="BA560" s="857"/>
      <c r="BB560" s="857"/>
      <c r="BC560" s="857"/>
      <c r="BD560" s="857"/>
      <c r="BE560" s="857"/>
      <c r="BF560" s="857"/>
      <c r="BG560" s="857"/>
    </row>
    <row r="561" spans="1:59" ht="15.75" customHeight="1">
      <c r="A561" s="857"/>
      <c r="B561" s="857"/>
      <c r="C561" s="857"/>
      <c r="D561" s="857"/>
      <c r="E561" s="857"/>
      <c r="F561" s="857"/>
      <c r="G561" s="857"/>
      <c r="H561" s="857"/>
      <c r="I561" s="857"/>
      <c r="J561" s="857"/>
      <c r="K561" s="857"/>
      <c r="L561" s="857"/>
      <c r="M561" s="857"/>
      <c r="N561" s="857"/>
      <c r="O561" s="857"/>
      <c r="P561" s="857"/>
      <c r="Q561" s="857"/>
      <c r="R561" s="857"/>
      <c r="S561" s="857"/>
      <c r="T561" s="857"/>
      <c r="U561" s="857"/>
      <c r="V561" s="857"/>
      <c r="W561" s="857"/>
      <c r="X561" s="857"/>
      <c r="Y561" s="857"/>
      <c r="Z561" s="857"/>
      <c r="AA561" s="857"/>
      <c r="AB561" s="857"/>
      <c r="AC561" s="857"/>
      <c r="AD561" s="857"/>
      <c r="AE561" s="857"/>
      <c r="AF561" s="857"/>
      <c r="AG561" s="857"/>
      <c r="AH561" s="857"/>
      <c r="AI561" s="857"/>
      <c r="AJ561" s="857"/>
      <c r="AK561" s="857"/>
      <c r="AL561" s="857"/>
      <c r="AM561" s="857"/>
      <c r="AN561" s="857"/>
      <c r="AO561" s="857"/>
      <c r="AP561" s="857"/>
      <c r="AQ561" s="857"/>
      <c r="AR561" s="857"/>
      <c r="AS561" s="857"/>
      <c r="AT561" s="855"/>
      <c r="AV561" s="857"/>
      <c r="AW561" s="857"/>
      <c r="AX561" s="857"/>
      <c r="AY561" s="857"/>
      <c r="AZ561" s="857"/>
      <c r="BA561" s="857"/>
      <c r="BB561" s="857"/>
      <c r="BC561" s="857"/>
      <c r="BD561" s="857"/>
      <c r="BE561" s="857"/>
      <c r="BF561" s="857"/>
      <c r="BG561" s="857"/>
    </row>
    <row r="562" spans="1:59" ht="15.75" customHeight="1">
      <c r="A562" s="857"/>
      <c r="B562" s="857"/>
      <c r="C562" s="857"/>
      <c r="D562" s="857"/>
      <c r="E562" s="857"/>
      <c r="F562" s="857"/>
      <c r="G562" s="857"/>
      <c r="H562" s="857"/>
      <c r="I562" s="857"/>
      <c r="J562" s="857"/>
      <c r="K562" s="857"/>
      <c r="L562" s="857"/>
      <c r="M562" s="857"/>
      <c r="N562" s="857"/>
      <c r="O562" s="857"/>
      <c r="P562" s="857"/>
      <c r="Q562" s="857"/>
      <c r="R562" s="857"/>
      <c r="S562" s="857"/>
      <c r="T562" s="857"/>
      <c r="U562" s="857"/>
      <c r="V562" s="857"/>
      <c r="W562" s="857"/>
      <c r="X562" s="857"/>
      <c r="Y562" s="857"/>
      <c r="Z562" s="857"/>
      <c r="AA562" s="857"/>
      <c r="AB562" s="857"/>
      <c r="AC562" s="857"/>
      <c r="AD562" s="857"/>
      <c r="AE562" s="857"/>
      <c r="AF562" s="857"/>
      <c r="AG562" s="857"/>
      <c r="AH562" s="857"/>
      <c r="AI562" s="857"/>
      <c r="AJ562" s="857"/>
      <c r="AK562" s="857"/>
      <c r="AL562" s="857"/>
      <c r="AM562" s="857"/>
      <c r="AN562" s="857"/>
      <c r="AO562" s="857"/>
      <c r="AP562" s="857"/>
      <c r="AQ562" s="857"/>
      <c r="AR562" s="857"/>
      <c r="AS562" s="857"/>
      <c r="AT562" s="855"/>
      <c r="AV562" s="857"/>
      <c r="AW562" s="857"/>
      <c r="AX562" s="857"/>
      <c r="AY562" s="857"/>
      <c r="AZ562" s="857"/>
      <c r="BA562" s="857"/>
      <c r="BB562" s="857"/>
      <c r="BC562" s="857"/>
      <c r="BD562" s="857"/>
      <c r="BE562" s="857"/>
      <c r="BF562" s="857"/>
      <c r="BG562" s="857"/>
    </row>
    <row r="563" spans="1:59" ht="15.75" customHeight="1">
      <c r="A563" s="857"/>
      <c r="B563" s="857"/>
      <c r="C563" s="857"/>
      <c r="D563" s="857"/>
      <c r="E563" s="857"/>
      <c r="F563" s="857"/>
      <c r="G563" s="857"/>
      <c r="H563" s="857"/>
      <c r="I563" s="857"/>
      <c r="J563" s="857"/>
      <c r="K563" s="857"/>
      <c r="L563" s="857"/>
      <c r="M563" s="857"/>
      <c r="N563" s="857"/>
      <c r="O563" s="857"/>
      <c r="P563" s="857"/>
      <c r="Q563" s="857"/>
      <c r="R563" s="857"/>
      <c r="S563" s="857"/>
      <c r="T563" s="857"/>
      <c r="U563" s="857"/>
      <c r="V563" s="857"/>
      <c r="W563" s="857"/>
      <c r="X563" s="857"/>
      <c r="Y563" s="857"/>
      <c r="Z563" s="857"/>
      <c r="AA563" s="857"/>
      <c r="AB563" s="857"/>
      <c r="AC563" s="857"/>
      <c r="AD563" s="857"/>
      <c r="AE563" s="857"/>
      <c r="AF563" s="857"/>
      <c r="AG563" s="857"/>
      <c r="AH563" s="857"/>
      <c r="AI563" s="857"/>
      <c r="AJ563" s="857"/>
      <c r="AK563" s="857"/>
      <c r="AL563" s="857"/>
      <c r="AM563" s="857"/>
      <c r="AN563" s="857"/>
      <c r="AO563" s="857"/>
      <c r="AP563" s="857"/>
      <c r="AQ563" s="857"/>
      <c r="AR563" s="857"/>
      <c r="AS563" s="857"/>
      <c r="AT563" s="855"/>
      <c r="AV563" s="857"/>
      <c r="AW563" s="857"/>
      <c r="AX563" s="857"/>
      <c r="AY563" s="857"/>
      <c r="AZ563" s="857"/>
      <c r="BA563" s="857"/>
      <c r="BB563" s="857"/>
      <c r="BC563" s="857"/>
      <c r="BD563" s="857"/>
      <c r="BE563" s="857"/>
      <c r="BF563" s="857"/>
      <c r="BG563" s="857"/>
    </row>
    <row r="564" spans="1:59" ht="15.75" customHeight="1">
      <c r="A564" s="857"/>
      <c r="B564" s="857"/>
      <c r="C564" s="857"/>
      <c r="D564" s="857"/>
      <c r="E564" s="857"/>
      <c r="F564" s="857"/>
      <c r="G564" s="857"/>
      <c r="H564" s="857"/>
      <c r="I564" s="857"/>
      <c r="J564" s="857"/>
      <c r="K564" s="857"/>
      <c r="L564" s="857"/>
      <c r="M564" s="857"/>
      <c r="N564" s="857"/>
      <c r="O564" s="857"/>
      <c r="P564" s="857"/>
      <c r="Q564" s="857"/>
      <c r="R564" s="857"/>
      <c r="S564" s="857"/>
      <c r="T564" s="857"/>
      <c r="U564" s="857"/>
      <c r="V564" s="857"/>
      <c r="W564" s="857"/>
      <c r="X564" s="857"/>
      <c r="Y564" s="857"/>
      <c r="Z564" s="857"/>
      <c r="AA564" s="857"/>
      <c r="AB564" s="857"/>
      <c r="AC564" s="857"/>
      <c r="AD564" s="857"/>
      <c r="AE564" s="857"/>
      <c r="AF564" s="857"/>
      <c r="AG564" s="857"/>
      <c r="AH564" s="857"/>
      <c r="AI564" s="857"/>
      <c r="AJ564" s="857"/>
      <c r="AK564" s="857"/>
      <c r="AL564" s="857"/>
      <c r="AM564" s="857"/>
      <c r="AN564" s="857"/>
      <c r="AO564" s="857"/>
      <c r="AP564" s="857"/>
      <c r="AQ564" s="857"/>
      <c r="AR564" s="857"/>
      <c r="AS564" s="857"/>
      <c r="AT564" s="855"/>
      <c r="AV564" s="857"/>
      <c r="AW564" s="857"/>
      <c r="AX564" s="857"/>
      <c r="AY564" s="857"/>
      <c r="AZ564" s="857"/>
      <c r="BA564" s="857"/>
      <c r="BB564" s="857"/>
      <c r="BC564" s="857"/>
      <c r="BD564" s="857"/>
      <c r="BE564" s="857"/>
      <c r="BF564" s="857"/>
      <c r="BG564" s="857"/>
    </row>
    <row r="565" spans="1:59" ht="15.75" customHeight="1">
      <c r="A565" s="857"/>
      <c r="B565" s="857"/>
      <c r="C565" s="857"/>
      <c r="D565" s="857"/>
      <c r="E565" s="857"/>
      <c r="F565" s="857"/>
      <c r="G565" s="857"/>
      <c r="H565" s="857"/>
      <c r="I565" s="857"/>
      <c r="J565" s="857"/>
      <c r="K565" s="857"/>
      <c r="L565" s="857"/>
      <c r="M565" s="857"/>
      <c r="N565" s="857"/>
      <c r="O565" s="857"/>
      <c r="P565" s="857"/>
      <c r="Q565" s="857"/>
      <c r="R565" s="857"/>
      <c r="S565" s="857"/>
      <c r="T565" s="857"/>
      <c r="U565" s="857"/>
      <c r="V565" s="857"/>
      <c r="W565" s="857"/>
      <c r="X565" s="857"/>
      <c r="Y565" s="857"/>
      <c r="Z565" s="857"/>
      <c r="AA565" s="857"/>
      <c r="AB565" s="857"/>
      <c r="AC565" s="857"/>
      <c r="AD565" s="857"/>
      <c r="AE565" s="857"/>
      <c r="AF565" s="857"/>
      <c r="AG565" s="857"/>
      <c r="AH565" s="857"/>
      <c r="AI565" s="857"/>
      <c r="AJ565" s="857"/>
      <c r="AK565" s="857"/>
      <c r="AL565" s="857"/>
      <c r="AM565" s="857"/>
      <c r="AN565" s="857"/>
      <c r="AO565" s="857"/>
      <c r="AP565" s="857"/>
      <c r="AQ565" s="857"/>
      <c r="AR565" s="857"/>
      <c r="AS565" s="857"/>
      <c r="AT565" s="855"/>
      <c r="AV565" s="857"/>
      <c r="AW565" s="857"/>
      <c r="AX565" s="857"/>
      <c r="AY565" s="857"/>
      <c r="AZ565" s="857"/>
      <c r="BA565" s="857"/>
      <c r="BB565" s="857"/>
      <c r="BC565" s="857"/>
      <c r="BD565" s="857"/>
      <c r="BE565" s="857"/>
      <c r="BF565" s="857"/>
      <c r="BG565" s="857"/>
    </row>
    <row r="566" spans="1:59" ht="15.75" customHeight="1">
      <c r="A566" s="857"/>
      <c r="B566" s="857"/>
      <c r="C566" s="857"/>
      <c r="D566" s="857"/>
      <c r="E566" s="857"/>
      <c r="F566" s="857"/>
      <c r="G566" s="857"/>
      <c r="H566" s="857"/>
      <c r="I566" s="857"/>
      <c r="J566" s="857"/>
      <c r="K566" s="857"/>
      <c r="L566" s="857"/>
      <c r="M566" s="857"/>
      <c r="N566" s="857"/>
      <c r="O566" s="857"/>
      <c r="P566" s="857"/>
      <c r="Q566" s="857"/>
      <c r="R566" s="857"/>
      <c r="S566" s="857"/>
      <c r="T566" s="857"/>
      <c r="U566" s="857"/>
      <c r="V566" s="857"/>
      <c r="W566" s="857"/>
      <c r="X566" s="857"/>
      <c r="Y566" s="857"/>
      <c r="Z566" s="857"/>
      <c r="AA566" s="857"/>
      <c r="AB566" s="857"/>
      <c r="AC566" s="857"/>
      <c r="AD566" s="857"/>
      <c r="AE566" s="857"/>
      <c r="AF566" s="857"/>
      <c r="AG566" s="857"/>
      <c r="AH566" s="857"/>
      <c r="AI566" s="857"/>
      <c r="AJ566" s="857"/>
      <c r="AK566" s="857"/>
      <c r="AL566" s="857"/>
      <c r="AM566" s="857"/>
      <c r="AN566" s="857"/>
      <c r="AO566" s="857"/>
      <c r="AP566" s="857"/>
      <c r="AQ566" s="857"/>
      <c r="AR566" s="857"/>
      <c r="AS566" s="857"/>
      <c r="AT566" s="855"/>
      <c r="AV566" s="857"/>
      <c r="AW566" s="857"/>
      <c r="AX566" s="857"/>
      <c r="AY566" s="857"/>
      <c r="AZ566" s="857"/>
      <c r="BA566" s="857"/>
      <c r="BB566" s="857"/>
      <c r="BC566" s="857"/>
      <c r="BD566" s="857"/>
      <c r="BE566" s="857"/>
      <c r="BF566" s="857"/>
      <c r="BG566" s="857"/>
    </row>
    <row r="567" spans="1:59" ht="15.75" customHeight="1">
      <c r="A567" s="857"/>
      <c r="B567" s="857"/>
      <c r="C567" s="857"/>
      <c r="D567" s="857"/>
      <c r="E567" s="857"/>
      <c r="F567" s="857"/>
      <c r="G567" s="857"/>
      <c r="H567" s="857"/>
      <c r="I567" s="857"/>
      <c r="J567" s="857"/>
      <c r="K567" s="857"/>
      <c r="L567" s="857"/>
      <c r="M567" s="857"/>
      <c r="N567" s="857"/>
      <c r="O567" s="857"/>
      <c r="P567" s="857"/>
      <c r="Q567" s="857"/>
      <c r="R567" s="857"/>
      <c r="S567" s="857"/>
      <c r="T567" s="857"/>
      <c r="U567" s="857"/>
      <c r="V567" s="857"/>
      <c r="W567" s="857"/>
      <c r="X567" s="857"/>
      <c r="Y567" s="857"/>
      <c r="Z567" s="857"/>
      <c r="AA567" s="857"/>
      <c r="AB567" s="857"/>
      <c r="AC567" s="857"/>
      <c r="AD567" s="857"/>
      <c r="AE567" s="857"/>
      <c r="AF567" s="857"/>
      <c r="AG567" s="857"/>
      <c r="AH567" s="857"/>
      <c r="AI567" s="857"/>
      <c r="AJ567" s="857"/>
      <c r="AK567" s="857"/>
      <c r="AL567" s="857"/>
      <c r="AM567" s="857"/>
      <c r="AN567" s="857"/>
      <c r="AO567" s="857"/>
      <c r="AP567" s="857"/>
      <c r="AQ567" s="857"/>
      <c r="AR567" s="857"/>
      <c r="AS567" s="857"/>
      <c r="AT567" s="855"/>
      <c r="AV567" s="857"/>
      <c r="AW567" s="857"/>
      <c r="AX567" s="857"/>
      <c r="AY567" s="857"/>
      <c r="AZ567" s="857"/>
      <c r="BA567" s="857"/>
      <c r="BB567" s="857"/>
      <c r="BC567" s="857"/>
      <c r="BD567" s="857"/>
      <c r="BE567" s="857"/>
      <c r="BF567" s="857"/>
      <c r="BG567" s="857"/>
    </row>
    <row r="568" spans="1:59" ht="15.75" customHeight="1">
      <c r="A568" s="857"/>
      <c r="B568" s="857"/>
      <c r="C568" s="857"/>
      <c r="D568" s="857"/>
      <c r="E568" s="857"/>
      <c r="F568" s="857"/>
      <c r="G568" s="857"/>
      <c r="H568" s="857"/>
      <c r="I568" s="857"/>
      <c r="J568" s="857"/>
      <c r="K568" s="857"/>
      <c r="L568" s="857"/>
      <c r="M568" s="857"/>
      <c r="N568" s="857"/>
      <c r="O568" s="857"/>
      <c r="P568" s="857"/>
      <c r="Q568" s="857"/>
      <c r="R568" s="857"/>
      <c r="S568" s="857"/>
      <c r="T568" s="857"/>
      <c r="U568" s="857"/>
      <c r="V568" s="857"/>
      <c r="W568" s="857"/>
      <c r="X568" s="857"/>
      <c r="Y568" s="857"/>
      <c r="Z568" s="857"/>
      <c r="AA568" s="857"/>
      <c r="AB568" s="857"/>
      <c r="AC568" s="857"/>
      <c r="AD568" s="857"/>
      <c r="AE568" s="857"/>
      <c r="AF568" s="857"/>
      <c r="AG568" s="857"/>
      <c r="AH568" s="857"/>
      <c r="AI568" s="857"/>
      <c r="AJ568" s="857"/>
      <c r="AK568" s="857"/>
      <c r="AL568" s="857"/>
      <c r="AM568" s="857"/>
      <c r="AN568" s="857"/>
      <c r="AO568" s="857"/>
      <c r="AP568" s="857"/>
      <c r="AQ568" s="857"/>
      <c r="AR568" s="857"/>
      <c r="AS568" s="857"/>
      <c r="AT568" s="855"/>
      <c r="AV568" s="857"/>
      <c r="AW568" s="857"/>
      <c r="AX568" s="857"/>
      <c r="AY568" s="857"/>
      <c r="AZ568" s="857"/>
      <c r="BA568" s="857"/>
      <c r="BB568" s="857"/>
      <c r="BC568" s="857"/>
      <c r="BD568" s="857"/>
      <c r="BE568" s="857"/>
      <c r="BF568" s="857"/>
      <c r="BG568" s="857"/>
    </row>
    <row r="569" spans="1:59" ht="15.75" customHeight="1">
      <c r="A569" s="857"/>
      <c r="B569" s="857"/>
      <c r="C569" s="857"/>
      <c r="D569" s="857"/>
      <c r="E569" s="857"/>
      <c r="F569" s="857"/>
      <c r="G569" s="857"/>
      <c r="H569" s="857"/>
      <c r="I569" s="857"/>
      <c r="J569" s="857"/>
      <c r="K569" s="857"/>
      <c r="L569" s="857"/>
      <c r="M569" s="857"/>
      <c r="N569" s="857"/>
      <c r="O569" s="857"/>
      <c r="P569" s="857"/>
      <c r="Q569" s="857"/>
      <c r="R569" s="857"/>
      <c r="S569" s="857"/>
      <c r="T569" s="857"/>
      <c r="U569" s="857"/>
      <c r="V569" s="857"/>
      <c r="W569" s="857"/>
      <c r="X569" s="857"/>
      <c r="Y569" s="857"/>
      <c r="Z569" s="857"/>
      <c r="AA569" s="857"/>
      <c r="AB569" s="857"/>
      <c r="AC569" s="857"/>
      <c r="AD569" s="857"/>
      <c r="AE569" s="857"/>
      <c r="AF569" s="857"/>
      <c r="AG569" s="857"/>
      <c r="AH569" s="857"/>
      <c r="AI569" s="857"/>
      <c r="AJ569" s="857"/>
      <c r="AK569" s="857"/>
      <c r="AL569" s="857"/>
      <c r="AM569" s="857"/>
      <c r="AN569" s="857"/>
      <c r="AO569" s="857"/>
      <c r="AP569" s="857"/>
      <c r="AQ569" s="857"/>
      <c r="AR569" s="857"/>
      <c r="AS569" s="857"/>
      <c r="AT569" s="855"/>
      <c r="AV569" s="857"/>
      <c r="AW569" s="857"/>
      <c r="AX569" s="857"/>
      <c r="AY569" s="857"/>
      <c r="AZ569" s="857"/>
      <c r="BA569" s="857"/>
      <c r="BB569" s="857"/>
      <c r="BC569" s="857"/>
      <c r="BD569" s="857"/>
      <c r="BE569" s="857"/>
      <c r="BF569" s="857"/>
      <c r="BG569" s="857"/>
    </row>
    <row r="570" spans="1:59" ht="15.75" customHeight="1">
      <c r="A570" s="857"/>
      <c r="B570" s="857"/>
      <c r="C570" s="857"/>
      <c r="D570" s="857"/>
      <c r="E570" s="857"/>
      <c r="F570" s="857"/>
      <c r="G570" s="857"/>
      <c r="H570" s="857"/>
      <c r="I570" s="857"/>
      <c r="J570" s="857"/>
      <c r="K570" s="857"/>
      <c r="L570" s="857"/>
      <c r="M570" s="857"/>
      <c r="N570" s="857"/>
      <c r="O570" s="857"/>
      <c r="P570" s="857"/>
      <c r="Q570" s="857"/>
      <c r="R570" s="857"/>
      <c r="S570" s="857"/>
      <c r="T570" s="857"/>
      <c r="U570" s="857"/>
      <c r="V570" s="857"/>
      <c r="W570" s="857"/>
      <c r="X570" s="857"/>
      <c r="Y570" s="857"/>
      <c r="Z570" s="857"/>
      <c r="AA570" s="857"/>
      <c r="AB570" s="857"/>
      <c r="AC570" s="857"/>
      <c r="AD570" s="857"/>
      <c r="AE570" s="857"/>
      <c r="AF570" s="857"/>
      <c r="AG570" s="857"/>
      <c r="AH570" s="857"/>
      <c r="AI570" s="857"/>
      <c r="AJ570" s="857"/>
      <c r="AK570" s="857"/>
      <c r="AL570" s="857"/>
      <c r="AM570" s="857"/>
      <c r="AN570" s="857"/>
      <c r="AO570" s="857"/>
      <c r="AP570" s="857"/>
      <c r="AQ570" s="857"/>
      <c r="AR570" s="857"/>
      <c r="AS570" s="857"/>
      <c r="AT570" s="855"/>
      <c r="AV570" s="857"/>
      <c r="AW570" s="857"/>
      <c r="AX570" s="857"/>
      <c r="AY570" s="857"/>
      <c r="AZ570" s="857"/>
      <c r="BA570" s="857"/>
      <c r="BB570" s="857"/>
      <c r="BC570" s="857"/>
      <c r="BD570" s="857"/>
      <c r="BE570" s="857"/>
      <c r="BF570" s="857"/>
      <c r="BG570" s="857"/>
    </row>
    <row r="571" spans="1:59" ht="15.75" customHeight="1">
      <c r="A571" s="857"/>
      <c r="B571" s="857"/>
      <c r="C571" s="857"/>
      <c r="D571" s="857"/>
      <c r="E571" s="857"/>
      <c r="F571" s="857"/>
      <c r="G571" s="857"/>
      <c r="H571" s="857"/>
      <c r="I571" s="857"/>
      <c r="J571" s="857"/>
      <c r="K571" s="857"/>
      <c r="L571" s="857"/>
      <c r="M571" s="857"/>
      <c r="N571" s="857"/>
      <c r="O571" s="857"/>
      <c r="P571" s="857"/>
      <c r="Q571" s="857"/>
      <c r="R571" s="857"/>
      <c r="S571" s="857"/>
      <c r="T571" s="857"/>
      <c r="U571" s="857"/>
      <c r="V571" s="857"/>
      <c r="W571" s="857"/>
      <c r="X571" s="857"/>
      <c r="Y571" s="857"/>
      <c r="Z571" s="857"/>
      <c r="AA571" s="857"/>
      <c r="AB571" s="857"/>
      <c r="AC571" s="857"/>
      <c r="AD571" s="857"/>
      <c r="AE571" s="857"/>
      <c r="AF571" s="857"/>
      <c r="AG571" s="857"/>
      <c r="AH571" s="857"/>
      <c r="AI571" s="857"/>
      <c r="AJ571" s="857"/>
      <c r="AK571" s="857"/>
      <c r="AL571" s="857"/>
      <c r="AM571" s="857"/>
      <c r="AN571" s="857"/>
      <c r="AO571" s="857"/>
      <c r="AP571" s="857"/>
      <c r="AQ571" s="857"/>
      <c r="AR571" s="857"/>
      <c r="AS571" s="857"/>
      <c r="AT571" s="855"/>
      <c r="AV571" s="857"/>
      <c r="AW571" s="857"/>
      <c r="AX571" s="857"/>
      <c r="AY571" s="857"/>
      <c r="AZ571" s="857"/>
      <c r="BA571" s="857"/>
      <c r="BB571" s="857"/>
      <c r="BC571" s="857"/>
      <c r="BD571" s="857"/>
      <c r="BE571" s="857"/>
      <c r="BF571" s="857"/>
      <c r="BG571" s="857"/>
    </row>
    <row r="572" spans="1:59" ht="15.75" customHeight="1">
      <c r="A572" s="857"/>
      <c r="B572" s="857"/>
      <c r="C572" s="857"/>
      <c r="D572" s="857"/>
      <c r="E572" s="857"/>
      <c r="F572" s="857"/>
      <c r="G572" s="857"/>
      <c r="H572" s="857"/>
      <c r="I572" s="857"/>
      <c r="J572" s="857"/>
      <c r="K572" s="857"/>
      <c r="L572" s="857"/>
      <c r="M572" s="857"/>
      <c r="N572" s="857"/>
      <c r="O572" s="857"/>
      <c r="P572" s="857"/>
      <c r="Q572" s="857"/>
      <c r="R572" s="857"/>
      <c r="S572" s="857"/>
      <c r="T572" s="857"/>
      <c r="U572" s="857"/>
      <c r="V572" s="857"/>
      <c r="W572" s="857"/>
      <c r="X572" s="857"/>
      <c r="Y572" s="857"/>
      <c r="Z572" s="857"/>
      <c r="AA572" s="857"/>
      <c r="AB572" s="857"/>
      <c r="AC572" s="857"/>
      <c r="AD572" s="857"/>
      <c r="AE572" s="857"/>
      <c r="AF572" s="857"/>
      <c r="AG572" s="857"/>
      <c r="AH572" s="857"/>
      <c r="AI572" s="857"/>
      <c r="AJ572" s="857"/>
      <c r="AK572" s="857"/>
      <c r="AL572" s="857"/>
      <c r="AM572" s="857"/>
      <c r="AN572" s="857"/>
      <c r="AO572" s="857"/>
      <c r="AP572" s="857"/>
      <c r="AQ572" s="857"/>
      <c r="AR572" s="857"/>
      <c r="AS572" s="857"/>
      <c r="AT572" s="855"/>
      <c r="AV572" s="857"/>
      <c r="AW572" s="857"/>
      <c r="AX572" s="857"/>
      <c r="AY572" s="857"/>
      <c r="AZ572" s="857"/>
      <c r="BA572" s="857"/>
      <c r="BB572" s="857"/>
      <c r="BC572" s="857"/>
      <c r="BD572" s="857"/>
      <c r="BE572" s="857"/>
      <c r="BF572" s="857"/>
      <c r="BG572" s="857"/>
    </row>
    <row r="573" spans="1:59" ht="15.75" customHeight="1">
      <c r="A573" s="857"/>
      <c r="B573" s="857"/>
      <c r="C573" s="857"/>
      <c r="D573" s="857"/>
      <c r="E573" s="857"/>
      <c r="F573" s="857"/>
      <c r="G573" s="857"/>
      <c r="H573" s="857"/>
      <c r="I573" s="857"/>
      <c r="J573" s="857"/>
      <c r="K573" s="857"/>
      <c r="L573" s="857"/>
      <c r="M573" s="857"/>
      <c r="N573" s="857"/>
      <c r="O573" s="857"/>
      <c r="P573" s="857"/>
      <c r="Q573" s="857"/>
      <c r="R573" s="857"/>
      <c r="S573" s="857"/>
      <c r="T573" s="857"/>
      <c r="U573" s="857"/>
      <c r="V573" s="857"/>
      <c r="W573" s="857"/>
      <c r="X573" s="857"/>
      <c r="Y573" s="857"/>
      <c r="Z573" s="857"/>
      <c r="AA573" s="857"/>
      <c r="AB573" s="857"/>
      <c r="AC573" s="857"/>
      <c r="AD573" s="857"/>
      <c r="AE573" s="857"/>
      <c r="AF573" s="857"/>
      <c r="AG573" s="857"/>
      <c r="AH573" s="857"/>
      <c r="AI573" s="857"/>
      <c r="AJ573" s="857"/>
      <c r="AK573" s="857"/>
      <c r="AL573" s="857"/>
      <c r="AM573" s="857"/>
      <c r="AN573" s="857"/>
      <c r="AO573" s="857"/>
      <c r="AP573" s="857"/>
      <c r="AQ573" s="857"/>
      <c r="AR573" s="857"/>
      <c r="AS573" s="857"/>
      <c r="AT573" s="855"/>
      <c r="AV573" s="857"/>
      <c r="AW573" s="857"/>
      <c r="AX573" s="857"/>
      <c r="AY573" s="857"/>
      <c r="AZ573" s="857"/>
      <c r="BA573" s="857"/>
      <c r="BB573" s="857"/>
      <c r="BC573" s="857"/>
      <c r="BD573" s="857"/>
      <c r="BE573" s="857"/>
      <c r="BF573" s="857"/>
      <c r="BG573" s="857"/>
    </row>
    <row r="574" spans="1:59" ht="15.75" customHeight="1">
      <c r="A574" s="857"/>
      <c r="B574" s="857"/>
      <c r="C574" s="857"/>
      <c r="D574" s="857"/>
      <c r="E574" s="857"/>
      <c r="F574" s="857"/>
      <c r="G574" s="857"/>
      <c r="H574" s="857"/>
      <c r="I574" s="857"/>
      <c r="J574" s="857"/>
      <c r="K574" s="857"/>
      <c r="L574" s="857"/>
      <c r="M574" s="857"/>
      <c r="N574" s="857"/>
      <c r="O574" s="857"/>
      <c r="P574" s="857"/>
      <c r="Q574" s="857"/>
      <c r="R574" s="857"/>
      <c r="S574" s="857"/>
      <c r="T574" s="857"/>
      <c r="U574" s="857"/>
      <c r="V574" s="857"/>
      <c r="W574" s="857"/>
      <c r="X574" s="857"/>
      <c r="Y574" s="857"/>
      <c r="Z574" s="857"/>
      <c r="AA574" s="857"/>
      <c r="AB574" s="857"/>
      <c r="AC574" s="857"/>
      <c r="AD574" s="857"/>
      <c r="AE574" s="857"/>
      <c r="AF574" s="857"/>
      <c r="AG574" s="857"/>
      <c r="AH574" s="857"/>
      <c r="AI574" s="857"/>
      <c r="AJ574" s="857"/>
      <c r="AK574" s="857"/>
      <c r="AL574" s="857"/>
      <c r="AM574" s="857"/>
      <c r="AN574" s="857"/>
      <c r="AO574" s="857"/>
      <c r="AP574" s="857"/>
      <c r="AQ574" s="857"/>
      <c r="AR574" s="857"/>
      <c r="AS574" s="857"/>
      <c r="AT574" s="855"/>
      <c r="AV574" s="857"/>
      <c r="AW574" s="857"/>
      <c r="AX574" s="857"/>
      <c r="AY574" s="857"/>
      <c r="AZ574" s="857"/>
      <c r="BA574" s="857"/>
      <c r="BB574" s="857"/>
      <c r="BC574" s="857"/>
      <c r="BD574" s="857"/>
      <c r="BE574" s="857"/>
      <c r="BF574" s="857"/>
      <c r="BG574" s="857"/>
    </row>
    <row r="575" spans="1:59" ht="15.75" customHeight="1">
      <c r="A575" s="857"/>
      <c r="B575" s="857"/>
      <c r="C575" s="857"/>
      <c r="D575" s="857"/>
      <c r="E575" s="857"/>
      <c r="F575" s="857"/>
      <c r="G575" s="857"/>
      <c r="H575" s="857"/>
      <c r="I575" s="857"/>
      <c r="J575" s="857"/>
      <c r="K575" s="857"/>
      <c r="L575" s="857"/>
      <c r="M575" s="857"/>
      <c r="N575" s="857"/>
      <c r="O575" s="857"/>
      <c r="P575" s="857"/>
      <c r="Q575" s="857"/>
      <c r="R575" s="857"/>
      <c r="S575" s="857"/>
      <c r="T575" s="857"/>
      <c r="U575" s="857"/>
      <c r="V575" s="857"/>
      <c r="W575" s="857"/>
      <c r="X575" s="857"/>
      <c r="Y575" s="857"/>
      <c r="Z575" s="857"/>
      <c r="AA575" s="857"/>
      <c r="AB575" s="857"/>
      <c r="AC575" s="857"/>
      <c r="AD575" s="857"/>
      <c r="AE575" s="857"/>
      <c r="AF575" s="857"/>
      <c r="AG575" s="857"/>
      <c r="AH575" s="857"/>
      <c r="AI575" s="857"/>
      <c r="AJ575" s="857"/>
      <c r="AK575" s="857"/>
      <c r="AL575" s="857"/>
      <c r="AM575" s="857"/>
      <c r="AN575" s="857"/>
      <c r="AO575" s="857"/>
      <c r="AP575" s="857"/>
      <c r="AQ575" s="857"/>
      <c r="AR575" s="857"/>
      <c r="AS575" s="857"/>
      <c r="AT575" s="855"/>
      <c r="AV575" s="857"/>
      <c r="AW575" s="857"/>
      <c r="AX575" s="857"/>
      <c r="AY575" s="857"/>
      <c r="AZ575" s="857"/>
      <c r="BA575" s="857"/>
      <c r="BB575" s="857"/>
      <c r="BC575" s="857"/>
      <c r="BD575" s="857"/>
      <c r="BE575" s="857"/>
      <c r="BF575" s="857"/>
      <c r="BG575" s="857"/>
    </row>
    <row r="576" spans="1:59" ht="15.75" customHeight="1">
      <c r="A576" s="857"/>
      <c r="B576" s="857"/>
      <c r="C576" s="857"/>
      <c r="D576" s="857"/>
      <c r="E576" s="857"/>
      <c r="F576" s="857"/>
      <c r="G576" s="857"/>
      <c r="H576" s="857"/>
      <c r="I576" s="857"/>
      <c r="J576" s="857"/>
      <c r="K576" s="857"/>
      <c r="L576" s="857"/>
      <c r="M576" s="857"/>
      <c r="N576" s="857"/>
      <c r="O576" s="857"/>
      <c r="P576" s="857"/>
      <c r="Q576" s="857"/>
      <c r="R576" s="857"/>
      <c r="S576" s="857"/>
      <c r="T576" s="857"/>
      <c r="U576" s="857"/>
      <c r="V576" s="857"/>
      <c r="W576" s="857"/>
      <c r="X576" s="857"/>
      <c r="Y576" s="857"/>
      <c r="Z576" s="857"/>
      <c r="AA576" s="857"/>
      <c r="AB576" s="857"/>
      <c r="AC576" s="857"/>
      <c r="AD576" s="857"/>
      <c r="AE576" s="857"/>
      <c r="AF576" s="857"/>
      <c r="AG576" s="857"/>
      <c r="AH576" s="857"/>
      <c r="AI576" s="857"/>
      <c r="AJ576" s="857"/>
      <c r="AK576" s="857"/>
      <c r="AL576" s="857"/>
      <c r="AM576" s="857"/>
      <c r="AN576" s="857"/>
      <c r="AO576" s="857"/>
      <c r="AP576" s="857"/>
      <c r="AQ576" s="857"/>
      <c r="AR576" s="857"/>
      <c r="AS576" s="857"/>
      <c r="AT576" s="855"/>
      <c r="AV576" s="857"/>
      <c r="AW576" s="857"/>
      <c r="AX576" s="857"/>
      <c r="AY576" s="857"/>
      <c r="AZ576" s="857"/>
      <c r="BA576" s="857"/>
      <c r="BB576" s="857"/>
      <c r="BC576" s="857"/>
      <c r="BD576" s="857"/>
      <c r="BE576" s="857"/>
      <c r="BF576" s="857"/>
      <c r="BG576" s="857"/>
    </row>
    <row r="577" spans="1:59" ht="15.75" customHeight="1">
      <c r="A577" s="857"/>
      <c r="B577" s="857"/>
      <c r="C577" s="857"/>
      <c r="D577" s="857"/>
      <c r="E577" s="857"/>
      <c r="F577" s="857"/>
      <c r="G577" s="857"/>
      <c r="H577" s="857"/>
      <c r="I577" s="857"/>
      <c r="J577" s="857"/>
      <c r="K577" s="857"/>
      <c r="L577" s="857"/>
      <c r="M577" s="857"/>
      <c r="N577" s="857"/>
      <c r="O577" s="857"/>
      <c r="P577" s="857"/>
      <c r="Q577" s="857"/>
      <c r="R577" s="857"/>
      <c r="S577" s="857"/>
      <c r="T577" s="857"/>
      <c r="U577" s="857"/>
      <c r="V577" s="857"/>
      <c r="W577" s="857"/>
      <c r="X577" s="857"/>
      <c r="Y577" s="857"/>
      <c r="Z577" s="857"/>
      <c r="AA577" s="857"/>
      <c r="AB577" s="857"/>
      <c r="AC577" s="857"/>
      <c r="AD577" s="857"/>
      <c r="AE577" s="857"/>
      <c r="AF577" s="857"/>
      <c r="AG577" s="857"/>
      <c r="AH577" s="857"/>
      <c r="AI577" s="857"/>
      <c r="AJ577" s="857"/>
      <c r="AK577" s="857"/>
      <c r="AL577" s="857"/>
      <c r="AM577" s="857"/>
      <c r="AN577" s="857"/>
      <c r="AO577" s="857"/>
      <c r="AP577" s="857"/>
      <c r="AQ577" s="857"/>
      <c r="AR577" s="857"/>
      <c r="AS577" s="857"/>
      <c r="AT577" s="855"/>
      <c r="AV577" s="857"/>
      <c r="AW577" s="857"/>
      <c r="AX577" s="857"/>
      <c r="AY577" s="857"/>
      <c r="AZ577" s="857"/>
      <c r="BA577" s="857"/>
      <c r="BB577" s="857"/>
      <c r="BC577" s="857"/>
      <c r="BD577" s="857"/>
      <c r="BE577" s="857"/>
      <c r="BF577" s="857"/>
      <c r="BG577" s="857"/>
    </row>
    <row r="578" spans="1:59" ht="15.75" customHeight="1">
      <c r="A578" s="857"/>
      <c r="B578" s="857"/>
      <c r="C578" s="857"/>
      <c r="D578" s="857"/>
      <c r="E578" s="857"/>
      <c r="F578" s="857"/>
      <c r="G578" s="857"/>
      <c r="H578" s="857"/>
      <c r="I578" s="857"/>
      <c r="J578" s="857"/>
      <c r="K578" s="857"/>
      <c r="L578" s="857"/>
      <c r="M578" s="857"/>
      <c r="N578" s="857"/>
      <c r="O578" s="857"/>
      <c r="P578" s="857"/>
      <c r="Q578" s="857"/>
      <c r="R578" s="857"/>
      <c r="S578" s="857"/>
      <c r="T578" s="857"/>
      <c r="U578" s="857"/>
      <c r="V578" s="857"/>
      <c r="W578" s="857"/>
      <c r="X578" s="857"/>
      <c r="Y578" s="857"/>
      <c r="Z578" s="857"/>
      <c r="AA578" s="857"/>
      <c r="AB578" s="857"/>
      <c r="AC578" s="857"/>
      <c r="AD578" s="857"/>
      <c r="AE578" s="857"/>
      <c r="AF578" s="857"/>
      <c r="AG578" s="857"/>
      <c r="AH578" s="857"/>
      <c r="AI578" s="857"/>
      <c r="AJ578" s="857"/>
      <c r="AK578" s="857"/>
      <c r="AL578" s="857"/>
      <c r="AM578" s="857"/>
      <c r="AN578" s="857"/>
      <c r="AO578" s="857"/>
      <c r="AP578" s="857"/>
      <c r="AQ578" s="857"/>
      <c r="AR578" s="857"/>
      <c r="AS578" s="857"/>
      <c r="AT578" s="855"/>
      <c r="AV578" s="857"/>
      <c r="AW578" s="857"/>
      <c r="AX578" s="857"/>
      <c r="AY578" s="857"/>
      <c r="AZ578" s="857"/>
      <c r="BA578" s="857"/>
      <c r="BB578" s="857"/>
      <c r="BC578" s="857"/>
      <c r="BD578" s="857"/>
      <c r="BE578" s="857"/>
      <c r="BF578" s="857"/>
      <c r="BG578" s="857"/>
    </row>
    <row r="579" spans="1:59" ht="15.75" customHeight="1">
      <c r="A579" s="857"/>
      <c r="B579" s="857"/>
      <c r="C579" s="857"/>
      <c r="D579" s="857"/>
      <c r="E579" s="857"/>
      <c r="F579" s="857"/>
      <c r="G579" s="857"/>
      <c r="H579" s="857"/>
      <c r="I579" s="857"/>
      <c r="J579" s="857"/>
      <c r="K579" s="857"/>
      <c r="L579" s="857"/>
      <c r="M579" s="857"/>
      <c r="N579" s="857"/>
      <c r="O579" s="857"/>
      <c r="P579" s="857"/>
      <c r="Q579" s="857"/>
      <c r="R579" s="857"/>
      <c r="S579" s="857"/>
      <c r="T579" s="857"/>
      <c r="U579" s="857"/>
      <c r="V579" s="857"/>
      <c r="W579" s="857"/>
      <c r="X579" s="857"/>
      <c r="Y579" s="857"/>
      <c r="Z579" s="857"/>
      <c r="AA579" s="857"/>
      <c r="AB579" s="857"/>
      <c r="AC579" s="857"/>
      <c r="AD579" s="857"/>
      <c r="AE579" s="857"/>
      <c r="AF579" s="857"/>
      <c r="AG579" s="857"/>
      <c r="AH579" s="857"/>
      <c r="AI579" s="857"/>
      <c r="AJ579" s="857"/>
      <c r="AK579" s="857"/>
      <c r="AL579" s="857"/>
      <c r="AM579" s="857"/>
      <c r="AN579" s="857"/>
      <c r="AO579" s="857"/>
      <c r="AP579" s="857"/>
      <c r="AQ579" s="857"/>
      <c r="AR579" s="857"/>
      <c r="AS579" s="857"/>
      <c r="AT579" s="855"/>
      <c r="AV579" s="857"/>
      <c r="AW579" s="857"/>
      <c r="AX579" s="857"/>
      <c r="AY579" s="857"/>
      <c r="AZ579" s="857"/>
      <c r="BA579" s="857"/>
      <c r="BB579" s="857"/>
      <c r="BC579" s="857"/>
      <c r="BD579" s="857"/>
      <c r="BE579" s="857"/>
      <c r="BF579" s="857"/>
      <c r="BG579" s="857"/>
    </row>
    <row r="580" spans="1:59" ht="15.75" customHeight="1">
      <c r="A580" s="857"/>
      <c r="B580" s="857"/>
      <c r="C580" s="857"/>
      <c r="D580" s="857"/>
      <c r="E580" s="857"/>
      <c r="F580" s="857"/>
      <c r="G580" s="857"/>
      <c r="H580" s="857"/>
      <c r="I580" s="857"/>
      <c r="J580" s="857"/>
      <c r="K580" s="857"/>
      <c r="L580" s="857"/>
      <c r="M580" s="857"/>
      <c r="N580" s="857"/>
      <c r="O580" s="857"/>
      <c r="P580" s="857"/>
      <c r="Q580" s="857"/>
      <c r="R580" s="857"/>
      <c r="S580" s="857"/>
      <c r="T580" s="857"/>
      <c r="U580" s="857"/>
      <c r="V580" s="857"/>
      <c r="W580" s="857"/>
      <c r="X580" s="857"/>
      <c r="Y580" s="857"/>
      <c r="Z580" s="857"/>
      <c r="AA580" s="857"/>
      <c r="AB580" s="857"/>
      <c r="AC580" s="857"/>
      <c r="AD580" s="857"/>
      <c r="AE580" s="857"/>
      <c r="AF580" s="857"/>
      <c r="AG580" s="857"/>
      <c r="AH580" s="857"/>
      <c r="AI580" s="857"/>
      <c r="AJ580" s="857"/>
      <c r="AK580" s="857"/>
      <c r="AL580" s="857"/>
      <c r="AM580" s="857"/>
      <c r="AN580" s="857"/>
      <c r="AO580" s="857"/>
      <c r="AP580" s="857"/>
      <c r="AQ580" s="857"/>
      <c r="AR580" s="857"/>
      <c r="AS580" s="857"/>
      <c r="AT580" s="855"/>
      <c r="AV580" s="857"/>
      <c r="AW580" s="857"/>
      <c r="AX580" s="857"/>
      <c r="AY580" s="857"/>
      <c r="AZ580" s="857"/>
      <c r="BA580" s="857"/>
      <c r="BB580" s="857"/>
      <c r="BC580" s="857"/>
      <c r="BD580" s="857"/>
      <c r="BE580" s="857"/>
      <c r="BF580" s="857"/>
      <c r="BG580" s="857"/>
    </row>
    <row r="581" spans="1:59" ht="15.75" customHeight="1">
      <c r="A581" s="857"/>
      <c r="B581" s="857"/>
      <c r="C581" s="857"/>
      <c r="D581" s="857"/>
      <c r="E581" s="857"/>
      <c r="F581" s="857"/>
      <c r="G581" s="857"/>
      <c r="H581" s="857"/>
      <c r="I581" s="857"/>
      <c r="J581" s="857"/>
      <c r="K581" s="857"/>
      <c r="L581" s="857"/>
      <c r="M581" s="857"/>
      <c r="N581" s="857"/>
      <c r="O581" s="857"/>
      <c r="P581" s="857"/>
      <c r="Q581" s="857"/>
      <c r="R581" s="857"/>
      <c r="S581" s="857"/>
      <c r="T581" s="857"/>
      <c r="U581" s="857"/>
      <c r="V581" s="857"/>
      <c r="W581" s="857"/>
      <c r="X581" s="857"/>
      <c r="Y581" s="857"/>
      <c r="Z581" s="857"/>
      <c r="AA581" s="857"/>
      <c r="AB581" s="857"/>
      <c r="AC581" s="857"/>
      <c r="AD581" s="857"/>
      <c r="AE581" s="857"/>
      <c r="AF581" s="857"/>
      <c r="AG581" s="857"/>
      <c r="AH581" s="857"/>
      <c r="AI581" s="857"/>
      <c r="AJ581" s="857"/>
      <c r="AK581" s="857"/>
      <c r="AL581" s="857"/>
      <c r="AM581" s="857"/>
      <c r="AN581" s="857"/>
      <c r="AO581" s="857"/>
      <c r="AP581" s="857"/>
      <c r="AQ581" s="857"/>
      <c r="AR581" s="857"/>
      <c r="AS581" s="857"/>
      <c r="AT581" s="855"/>
      <c r="AV581" s="857"/>
      <c r="AW581" s="857"/>
      <c r="AX581" s="857"/>
      <c r="AY581" s="857"/>
      <c r="AZ581" s="857"/>
      <c r="BA581" s="857"/>
      <c r="BB581" s="857"/>
      <c r="BC581" s="857"/>
      <c r="BD581" s="857"/>
      <c r="BE581" s="857"/>
      <c r="BF581" s="857"/>
      <c r="BG581" s="857"/>
    </row>
    <row r="582" spans="1:59" ht="15.75" customHeight="1">
      <c r="A582" s="857"/>
      <c r="B582" s="857"/>
      <c r="C582" s="857"/>
      <c r="D582" s="857"/>
      <c r="E582" s="857"/>
      <c r="F582" s="857"/>
      <c r="G582" s="857"/>
      <c r="H582" s="857"/>
      <c r="I582" s="857"/>
      <c r="J582" s="857"/>
      <c r="K582" s="857"/>
      <c r="L582" s="857"/>
      <c r="M582" s="857"/>
      <c r="N582" s="857"/>
      <c r="O582" s="857"/>
      <c r="P582" s="857"/>
      <c r="Q582" s="857"/>
      <c r="R582" s="857"/>
      <c r="S582" s="857"/>
      <c r="T582" s="857"/>
      <c r="U582" s="857"/>
      <c r="V582" s="857"/>
      <c r="W582" s="857"/>
      <c r="X582" s="857"/>
      <c r="Y582" s="857"/>
      <c r="Z582" s="857"/>
      <c r="AA582" s="857"/>
      <c r="AB582" s="857"/>
      <c r="AC582" s="857"/>
      <c r="AD582" s="857"/>
      <c r="AE582" s="857"/>
      <c r="AF582" s="857"/>
      <c r="AG582" s="857"/>
      <c r="AH582" s="857"/>
      <c r="AI582" s="857"/>
      <c r="AJ582" s="857"/>
      <c r="AK582" s="857"/>
      <c r="AL582" s="857"/>
      <c r="AM582" s="857"/>
      <c r="AN582" s="857"/>
      <c r="AO582" s="857"/>
      <c r="AP582" s="857"/>
      <c r="AQ582" s="857"/>
      <c r="AR582" s="857"/>
      <c r="AS582" s="857"/>
      <c r="AT582" s="855"/>
      <c r="AV582" s="857"/>
      <c r="AW582" s="857"/>
      <c r="AX582" s="857"/>
      <c r="AY582" s="857"/>
      <c r="AZ582" s="857"/>
      <c r="BA582" s="857"/>
      <c r="BB582" s="857"/>
      <c r="BC582" s="857"/>
      <c r="BD582" s="857"/>
      <c r="BE582" s="857"/>
      <c r="BF582" s="857"/>
      <c r="BG582" s="857"/>
    </row>
    <row r="583" spans="1:59" ht="15.75" customHeight="1">
      <c r="A583" s="857"/>
      <c r="B583" s="857"/>
      <c r="C583" s="857"/>
      <c r="D583" s="857"/>
      <c r="E583" s="857"/>
      <c r="F583" s="857"/>
      <c r="G583" s="857"/>
      <c r="H583" s="857"/>
      <c r="I583" s="857"/>
      <c r="J583" s="857"/>
      <c r="K583" s="857"/>
      <c r="L583" s="857"/>
      <c r="M583" s="857"/>
      <c r="N583" s="857"/>
      <c r="O583" s="857"/>
      <c r="P583" s="857"/>
      <c r="Q583" s="857"/>
      <c r="R583" s="857"/>
      <c r="S583" s="857"/>
      <c r="T583" s="857"/>
      <c r="U583" s="857"/>
      <c r="V583" s="857"/>
      <c r="W583" s="857"/>
      <c r="X583" s="857"/>
      <c r="Y583" s="857"/>
      <c r="Z583" s="857"/>
      <c r="AA583" s="857"/>
      <c r="AB583" s="857"/>
      <c r="AC583" s="857"/>
      <c r="AD583" s="857"/>
      <c r="AE583" s="857"/>
      <c r="AF583" s="857"/>
      <c r="AG583" s="857"/>
      <c r="AH583" s="857"/>
      <c r="AI583" s="857"/>
      <c r="AJ583" s="857"/>
      <c r="AK583" s="857"/>
      <c r="AL583" s="857"/>
      <c r="AM583" s="857"/>
      <c r="AN583" s="857"/>
      <c r="AO583" s="857"/>
      <c r="AP583" s="857"/>
      <c r="AQ583" s="857"/>
      <c r="AR583" s="857"/>
      <c r="AS583" s="857"/>
      <c r="AT583" s="855"/>
      <c r="AV583" s="857"/>
      <c r="AW583" s="857"/>
      <c r="AX583" s="857"/>
      <c r="AY583" s="857"/>
      <c r="AZ583" s="857"/>
      <c r="BA583" s="857"/>
      <c r="BB583" s="857"/>
      <c r="BC583" s="857"/>
      <c r="BD583" s="857"/>
      <c r="BE583" s="857"/>
      <c r="BF583" s="857"/>
      <c r="BG583" s="857"/>
    </row>
    <row r="584" spans="1:59" ht="15.75" customHeight="1">
      <c r="A584" s="857"/>
      <c r="B584" s="857"/>
      <c r="C584" s="857"/>
      <c r="D584" s="857"/>
      <c r="E584" s="857"/>
      <c r="F584" s="857"/>
      <c r="G584" s="857"/>
      <c r="H584" s="857"/>
      <c r="I584" s="857"/>
      <c r="J584" s="857"/>
      <c r="K584" s="857"/>
      <c r="L584" s="857"/>
      <c r="M584" s="857"/>
      <c r="N584" s="857"/>
      <c r="O584" s="857"/>
      <c r="P584" s="857"/>
      <c r="Q584" s="857"/>
      <c r="R584" s="857"/>
      <c r="S584" s="857"/>
      <c r="T584" s="857"/>
      <c r="U584" s="857"/>
      <c r="V584" s="857"/>
      <c r="W584" s="857"/>
      <c r="X584" s="857"/>
      <c r="Y584" s="857"/>
      <c r="Z584" s="857"/>
      <c r="AA584" s="857"/>
      <c r="AB584" s="857"/>
      <c r="AC584" s="857"/>
      <c r="AD584" s="857"/>
      <c r="AE584" s="857"/>
      <c r="AF584" s="857"/>
      <c r="AG584" s="857"/>
      <c r="AH584" s="857"/>
      <c r="AI584" s="857"/>
      <c r="AJ584" s="857"/>
      <c r="AK584" s="857"/>
      <c r="AL584" s="857"/>
      <c r="AM584" s="857"/>
      <c r="AN584" s="857"/>
      <c r="AO584" s="857"/>
      <c r="AP584" s="857"/>
      <c r="AQ584" s="857"/>
      <c r="AR584" s="857"/>
      <c r="AS584" s="857"/>
      <c r="AT584" s="855"/>
      <c r="AV584" s="857"/>
      <c r="AW584" s="857"/>
      <c r="AX584" s="857"/>
      <c r="AY584" s="857"/>
      <c r="AZ584" s="857"/>
      <c r="BA584" s="857"/>
      <c r="BB584" s="857"/>
      <c r="BC584" s="857"/>
      <c r="BD584" s="857"/>
      <c r="BE584" s="857"/>
      <c r="BF584" s="857"/>
      <c r="BG584" s="857"/>
    </row>
    <row r="585" spans="1:59" ht="15.75" customHeight="1">
      <c r="A585" s="857"/>
      <c r="B585" s="857"/>
      <c r="C585" s="857"/>
      <c r="D585" s="857"/>
      <c r="E585" s="857"/>
      <c r="F585" s="857"/>
      <c r="G585" s="857"/>
      <c r="H585" s="857"/>
      <c r="I585" s="857"/>
      <c r="J585" s="857"/>
      <c r="K585" s="857"/>
      <c r="L585" s="857"/>
      <c r="M585" s="857"/>
      <c r="N585" s="857"/>
      <c r="O585" s="857"/>
      <c r="P585" s="857"/>
      <c r="Q585" s="857"/>
      <c r="R585" s="857"/>
      <c r="S585" s="857"/>
      <c r="T585" s="857"/>
      <c r="U585" s="857"/>
      <c r="V585" s="857"/>
      <c r="W585" s="857"/>
      <c r="X585" s="857"/>
      <c r="Y585" s="857"/>
      <c r="Z585" s="857"/>
      <c r="AA585" s="857"/>
      <c r="AB585" s="857"/>
      <c r="AC585" s="857"/>
      <c r="AD585" s="857"/>
      <c r="AE585" s="857"/>
      <c r="AF585" s="857"/>
      <c r="AG585" s="857"/>
      <c r="AH585" s="857"/>
      <c r="AI585" s="857"/>
      <c r="AJ585" s="857"/>
      <c r="AK585" s="857"/>
      <c r="AL585" s="857"/>
      <c r="AM585" s="857"/>
      <c r="AN585" s="857"/>
      <c r="AO585" s="857"/>
      <c r="AP585" s="857"/>
      <c r="AQ585" s="857"/>
      <c r="AR585" s="857"/>
      <c r="AS585" s="857"/>
      <c r="AT585" s="855"/>
      <c r="AV585" s="857"/>
      <c r="AW585" s="857"/>
      <c r="AX585" s="857"/>
      <c r="AY585" s="857"/>
      <c r="AZ585" s="857"/>
      <c r="BA585" s="857"/>
      <c r="BB585" s="857"/>
      <c r="BC585" s="857"/>
      <c r="BD585" s="857"/>
      <c r="BE585" s="857"/>
      <c r="BF585" s="857"/>
      <c r="BG585" s="857"/>
    </row>
    <row r="586" spans="1:59" ht="15.75" customHeight="1">
      <c r="A586" s="857"/>
      <c r="B586" s="857"/>
      <c r="C586" s="857"/>
      <c r="D586" s="857"/>
      <c r="E586" s="857"/>
      <c r="F586" s="857"/>
      <c r="G586" s="857"/>
      <c r="H586" s="857"/>
      <c r="I586" s="857"/>
      <c r="J586" s="857"/>
      <c r="K586" s="857"/>
      <c r="L586" s="857"/>
      <c r="M586" s="857"/>
      <c r="N586" s="857"/>
      <c r="O586" s="857"/>
      <c r="P586" s="857"/>
      <c r="Q586" s="857"/>
      <c r="R586" s="857"/>
      <c r="S586" s="857"/>
      <c r="T586" s="857"/>
      <c r="U586" s="857"/>
      <c r="V586" s="857"/>
      <c r="W586" s="857"/>
      <c r="X586" s="857"/>
      <c r="Y586" s="857"/>
      <c r="Z586" s="857"/>
      <c r="AA586" s="857"/>
      <c r="AB586" s="857"/>
      <c r="AC586" s="857"/>
      <c r="AD586" s="857"/>
      <c r="AE586" s="857"/>
      <c r="AF586" s="857"/>
      <c r="AG586" s="857"/>
      <c r="AH586" s="857"/>
      <c r="AI586" s="857"/>
      <c r="AJ586" s="857"/>
      <c r="AK586" s="857"/>
      <c r="AL586" s="857"/>
      <c r="AM586" s="857"/>
      <c r="AN586" s="857"/>
      <c r="AO586" s="857"/>
      <c r="AP586" s="857"/>
      <c r="AQ586" s="857"/>
      <c r="AR586" s="857"/>
      <c r="AS586" s="857"/>
      <c r="AT586" s="855"/>
      <c r="AV586" s="857"/>
      <c r="AW586" s="857"/>
      <c r="AX586" s="857"/>
      <c r="AY586" s="857"/>
      <c r="AZ586" s="857"/>
      <c r="BA586" s="857"/>
      <c r="BB586" s="857"/>
      <c r="BC586" s="857"/>
      <c r="BD586" s="857"/>
      <c r="BE586" s="857"/>
      <c r="BF586" s="857"/>
      <c r="BG586" s="857"/>
    </row>
    <row r="587" spans="1:59" ht="15.75" customHeight="1">
      <c r="A587" s="857"/>
      <c r="B587" s="857"/>
      <c r="C587" s="857"/>
      <c r="D587" s="857"/>
      <c r="E587" s="857"/>
      <c r="F587" s="857"/>
      <c r="G587" s="857"/>
      <c r="H587" s="857"/>
      <c r="I587" s="857"/>
      <c r="J587" s="857"/>
      <c r="K587" s="857"/>
      <c r="L587" s="857"/>
      <c r="M587" s="857"/>
      <c r="N587" s="857"/>
      <c r="O587" s="857"/>
      <c r="P587" s="857"/>
      <c r="Q587" s="857"/>
      <c r="R587" s="857"/>
      <c r="S587" s="857"/>
      <c r="T587" s="857"/>
      <c r="U587" s="857"/>
      <c r="V587" s="857"/>
      <c r="W587" s="857"/>
      <c r="X587" s="857"/>
      <c r="Y587" s="857"/>
      <c r="Z587" s="857"/>
      <c r="AA587" s="857"/>
      <c r="AB587" s="857"/>
      <c r="AC587" s="857"/>
      <c r="AD587" s="857"/>
      <c r="AE587" s="857"/>
      <c r="AF587" s="857"/>
      <c r="AG587" s="857"/>
      <c r="AH587" s="857"/>
      <c r="AI587" s="857"/>
      <c r="AJ587" s="857"/>
      <c r="AK587" s="857"/>
      <c r="AL587" s="857"/>
      <c r="AM587" s="857"/>
      <c r="AN587" s="857"/>
      <c r="AO587" s="857"/>
      <c r="AP587" s="857"/>
      <c r="AQ587" s="857"/>
      <c r="AR587" s="857"/>
      <c r="AS587" s="857"/>
      <c r="AT587" s="855"/>
      <c r="AV587" s="857"/>
      <c r="AW587" s="857"/>
      <c r="AX587" s="857"/>
      <c r="AY587" s="857"/>
      <c r="AZ587" s="857"/>
      <c r="BA587" s="857"/>
      <c r="BB587" s="857"/>
      <c r="BC587" s="857"/>
      <c r="BD587" s="857"/>
      <c r="BE587" s="857"/>
      <c r="BF587" s="857"/>
      <c r="BG587" s="857"/>
    </row>
    <row r="588" spans="1:59" ht="15.75" customHeight="1">
      <c r="A588" s="857"/>
      <c r="B588" s="857"/>
      <c r="C588" s="857"/>
      <c r="D588" s="857"/>
      <c r="E588" s="857"/>
      <c r="F588" s="857"/>
      <c r="G588" s="857"/>
      <c r="H588" s="857"/>
      <c r="I588" s="857"/>
      <c r="J588" s="857"/>
      <c r="K588" s="857"/>
      <c r="L588" s="857"/>
      <c r="M588" s="857"/>
      <c r="N588" s="857"/>
      <c r="O588" s="857"/>
      <c r="P588" s="857"/>
      <c r="Q588" s="857"/>
      <c r="R588" s="857"/>
      <c r="S588" s="857"/>
      <c r="T588" s="857"/>
      <c r="U588" s="857"/>
      <c r="V588" s="857"/>
      <c r="W588" s="857"/>
      <c r="X588" s="857"/>
      <c r="Y588" s="857"/>
      <c r="Z588" s="857"/>
      <c r="AA588" s="857"/>
      <c r="AB588" s="857"/>
      <c r="AC588" s="857"/>
      <c r="AD588" s="857"/>
      <c r="AE588" s="857"/>
      <c r="AF588" s="857"/>
      <c r="AG588" s="857"/>
      <c r="AH588" s="857"/>
      <c r="AI588" s="857"/>
      <c r="AJ588" s="857"/>
      <c r="AK588" s="857"/>
      <c r="AL588" s="857"/>
      <c r="AM588" s="857"/>
      <c r="AN588" s="857"/>
      <c r="AO588" s="857"/>
      <c r="AP588" s="857"/>
      <c r="AQ588" s="857"/>
      <c r="AR588" s="857"/>
      <c r="AS588" s="857"/>
      <c r="AT588" s="855"/>
      <c r="AV588" s="857"/>
      <c r="AW588" s="857"/>
      <c r="AX588" s="857"/>
      <c r="AY588" s="857"/>
      <c r="AZ588" s="857"/>
      <c r="BA588" s="857"/>
      <c r="BB588" s="857"/>
      <c r="BC588" s="857"/>
      <c r="BD588" s="857"/>
      <c r="BE588" s="857"/>
      <c r="BF588" s="857"/>
      <c r="BG588" s="857"/>
    </row>
    <row r="589" spans="1:59" ht="15.75" customHeight="1">
      <c r="A589" s="857"/>
      <c r="B589" s="857"/>
      <c r="C589" s="857"/>
      <c r="D589" s="857"/>
      <c r="E589" s="857"/>
      <c r="F589" s="857"/>
      <c r="G589" s="857"/>
      <c r="H589" s="857"/>
      <c r="I589" s="857"/>
      <c r="J589" s="857"/>
      <c r="K589" s="857"/>
      <c r="L589" s="857"/>
      <c r="M589" s="857"/>
      <c r="N589" s="857"/>
      <c r="O589" s="857"/>
      <c r="P589" s="857"/>
      <c r="Q589" s="857"/>
      <c r="R589" s="857"/>
      <c r="S589" s="857"/>
      <c r="T589" s="857"/>
      <c r="U589" s="857"/>
      <c r="V589" s="857"/>
      <c r="W589" s="857"/>
      <c r="X589" s="857"/>
      <c r="Y589" s="857"/>
      <c r="Z589" s="857"/>
      <c r="AA589" s="857"/>
      <c r="AB589" s="857"/>
      <c r="AC589" s="857"/>
      <c r="AD589" s="857"/>
      <c r="AE589" s="857"/>
      <c r="AF589" s="857"/>
      <c r="AG589" s="857"/>
      <c r="AH589" s="857"/>
      <c r="AI589" s="857"/>
      <c r="AJ589" s="857"/>
      <c r="AK589" s="857"/>
      <c r="AL589" s="857"/>
      <c r="AM589" s="857"/>
      <c r="AN589" s="857"/>
      <c r="AO589" s="857"/>
      <c r="AP589" s="857"/>
      <c r="AQ589" s="857"/>
      <c r="AR589" s="857"/>
      <c r="AS589" s="857"/>
      <c r="AT589" s="855"/>
      <c r="AV589" s="857"/>
      <c r="AW589" s="857"/>
      <c r="AX589" s="857"/>
      <c r="AY589" s="857"/>
      <c r="AZ589" s="857"/>
      <c r="BA589" s="857"/>
      <c r="BB589" s="857"/>
      <c r="BC589" s="857"/>
      <c r="BD589" s="857"/>
      <c r="BE589" s="857"/>
      <c r="BF589" s="857"/>
      <c r="BG589" s="857"/>
    </row>
    <row r="590" spans="1:59" ht="15.75" customHeight="1">
      <c r="A590" s="857"/>
      <c r="B590" s="857"/>
      <c r="C590" s="857"/>
      <c r="D590" s="857"/>
      <c r="E590" s="857"/>
      <c r="F590" s="857"/>
      <c r="G590" s="857"/>
      <c r="H590" s="857"/>
      <c r="I590" s="857"/>
      <c r="J590" s="857"/>
      <c r="K590" s="857"/>
      <c r="L590" s="857"/>
      <c r="M590" s="857"/>
      <c r="N590" s="857"/>
      <c r="O590" s="857"/>
      <c r="P590" s="857"/>
      <c r="Q590" s="857"/>
      <c r="R590" s="857"/>
      <c r="S590" s="857"/>
      <c r="T590" s="857"/>
      <c r="U590" s="857"/>
      <c r="V590" s="857"/>
      <c r="W590" s="857"/>
      <c r="X590" s="857"/>
      <c r="Y590" s="857"/>
      <c r="Z590" s="857"/>
      <c r="AA590" s="857"/>
      <c r="AB590" s="857"/>
      <c r="AC590" s="857"/>
      <c r="AD590" s="857"/>
      <c r="AE590" s="857"/>
      <c r="AF590" s="857"/>
      <c r="AG590" s="857"/>
      <c r="AH590" s="857"/>
      <c r="AI590" s="857"/>
      <c r="AJ590" s="857"/>
      <c r="AK590" s="857"/>
      <c r="AL590" s="857"/>
      <c r="AM590" s="857"/>
      <c r="AN590" s="857"/>
      <c r="AO590" s="857"/>
      <c r="AP590" s="857"/>
      <c r="AQ590" s="857"/>
      <c r="AR590" s="857"/>
      <c r="AS590" s="857"/>
      <c r="AT590" s="855"/>
      <c r="AV590" s="857"/>
      <c r="AW590" s="857"/>
      <c r="AX590" s="857"/>
      <c r="AY590" s="857"/>
      <c r="AZ590" s="857"/>
      <c r="BA590" s="857"/>
      <c r="BB590" s="857"/>
      <c r="BC590" s="857"/>
      <c r="BD590" s="857"/>
      <c r="BE590" s="857"/>
      <c r="BF590" s="857"/>
      <c r="BG590" s="857"/>
    </row>
    <row r="591" spans="1:59" ht="15.75" customHeight="1">
      <c r="A591" s="857"/>
      <c r="B591" s="857"/>
      <c r="C591" s="857"/>
      <c r="D591" s="857"/>
      <c r="E591" s="857"/>
      <c r="F591" s="857"/>
      <c r="G591" s="857"/>
      <c r="H591" s="857"/>
      <c r="I591" s="857"/>
      <c r="J591" s="857"/>
      <c r="K591" s="857"/>
      <c r="L591" s="857"/>
      <c r="M591" s="857"/>
      <c r="N591" s="857"/>
      <c r="O591" s="857"/>
      <c r="P591" s="857"/>
      <c r="Q591" s="857"/>
      <c r="R591" s="857"/>
      <c r="S591" s="857"/>
      <c r="T591" s="857"/>
      <c r="U591" s="857"/>
      <c r="V591" s="857"/>
      <c r="W591" s="857"/>
      <c r="X591" s="857"/>
      <c r="Y591" s="857"/>
      <c r="Z591" s="857"/>
      <c r="AA591" s="857"/>
      <c r="AB591" s="857"/>
      <c r="AC591" s="857"/>
      <c r="AD591" s="857"/>
      <c r="AE591" s="857"/>
      <c r="AF591" s="857"/>
      <c r="AG591" s="857"/>
      <c r="AH591" s="857"/>
      <c r="AI591" s="857"/>
      <c r="AJ591" s="857"/>
      <c r="AK591" s="857"/>
      <c r="AL591" s="857"/>
      <c r="AM591" s="857"/>
      <c r="AN591" s="857"/>
      <c r="AO591" s="857"/>
      <c r="AP591" s="857"/>
      <c r="AQ591" s="857"/>
      <c r="AR591" s="857"/>
      <c r="AS591" s="857"/>
      <c r="AT591" s="855"/>
      <c r="AV591" s="857"/>
      <c r="AW591" s="857"/>
      <c r="AX591" s="857"/>
      <c r="AY591" s="857"/>
      <c r="AZ591" s="857"/>
      <c r="BA591" s="857"/>
      <c r="BB591" s="857"/>
      <c r="BC591" s="857"/>
      <c r="BD591" s="857"/>
      <c r="BE591" s="857"/>
      <c r="BF591" s="857"/>
      <c r="BG591" s="857"/>
    </row>
    <row r="592" spans="1:59" ht="15.75" customHeight="1">
      <c r="A592" s="857"/>
      <c r="B592" s="857"/>
      <c r="C592" s="857"/>
      <c r="D592" s="857"/>
      <c r="E592" s="857"/>
      <c r="F592" s="857"/>
      <c r="G592" s="857"/>
      <c r="H592" s="857"/>
      <c r="I592" s="857"/>
      <c r="J592" s="857"/>
      <c r="K592" s="857"/>
      <c r="L592" s="857"/>
      <c r="M592" s="857"/>
      <c r="N592" s="857"/>
      <c r="O592" s="857"/>
      <c r="P592" s="857"/>
      <c r="Q592" s="857"/>
      <c r="R592" s="857"/>
      <c r="S592" s="857"/>
      <c r="T592" s="857"/>
      <c r="U592" s="857"/>
      <c r="V592" s="857"/>
      <c r="W592" s="857"/>
      <c r="X592" s="857"/>
      <c r="Y592" s="857"/>
      <c r="Z592" s="857"/>
      <c r="AA592" s="857"/>
      <c r="AB592" s="857"/>
      <c r="AC592" s="857"/>
      <c r="AD592" s="857"/>
      <c r="AE592" s="857"/>
      <c r="AF592" s="857"/>
      <c r="AG592" s="857"/>
      <c r="AH592" s="857"/>
      <c r="AI592" s="857"/>
      <c r="AJ592" s="857"/>
      <c r="AK592" s="857"/>
      <c r="AL592" s="857"/>
      <c r="AM592" s="857"/>
      <c r="AN592" s="857"/>
      <c r="AO592" s="857"/>
      <c r="AP592" s="857"/>
      <c r="AQ592" s="857"/>
      <c r="AR592" s="857"/>
      <c r="AS592" s="857"/>
      <c r="AT592" s="855"/>
      <c r="AV592" s="857"/>
      <c r="AW592" s="857"/>
      <c r="AX592" s="857"/>
      <c r="AY592" s="857"/>
      <c r="AZ592" s="857"/>
      <c r="BA592" s="857"/>
      <c r="BB592" s="857"/>
      <c r="BC592" s="857"/>
      <c r="BD592" s="857"/>
      <c r="BE592" s="857"/>
      <c r="BF592" s="857"/>
      <c r="BG592" s="857"/>
    </row>
    <row r="593" spans="1:59" ht="15.75" customHeight="1">
      <c r="A593" s="857"/>
      <c r="B593" s="857"/>
      <c r="C593" s="857"/>
      <c r="D593" s="857"/>
      <c r="E593" s="857"/>
      <c r="F593" s="857"/>
      <c r="G593" s="857"/>
      <c r="H593" s="857"/>
      <c r="I593" s="857"/>
      <c r="J593" s="857"/>
      <c r="K593" s="857"/>
      <c r="L593" s="857"/>
      <c r="M593" s="857"/>
      <c r="N593" s="857"/>
      <c r="O593" s="857"/>
      <c r="P593" s="857"/>
      <c r="Q593" s="857"/>
      <c r="R593" s="857"/>
      <c r="S593" s="857"/>
      <c r="T593" s="857"/>
      <c r="U593" s="857"/>
      <c r="V593" s="857"/>
      <c r="W593" s="857"/>
      <c r="X593" s="857"/>
      <c r="Y593" s="857"/>
      <c r="Z593" s="857"/>
      <c r="AA593" s="857"/>
      <c r="AB593" s="857"/>
      <c r="AC593" s="857"/>
      <c r="AD593" s="857"/>
      <c r="AE593" s="857"/>
      <c r="AF593" s="857"/>
      <c r="AG593" s="857"/>
      <c r="AH593" s="857"/>
      <c r="AI593" s="857"/>
      <c r="AJ593" s="857"/>
      <c r="AK593" s="857"/>
      <c r="AL593" s="857"/>
      <c r="AM593" s="857"/>
      <c r="AN593" s="857"/>
      <c r="AO593" s="857"/>
      <c r="AP593" s="857"/>
      <c r="AQ593" s="857"/>
      <c r="AR593" s="857"/>
      <c r="AS593" s="857"/>
      <c r="AT593" s="855"/>
      <c r="AV593" s="857"/>
      <c r="AW593" s="857"/>
      <c r="AX593" s="857"/>
      <c r="AY593" s="857"/>
      <c r="AZ593" s="857"/>
      <c r="BA593" s="857"/>
      <c r="BB593" s="857"/>
      <c r="BC593" s="857"/>
      <c r="BD593" s="857"/>
      <c r="BE593" s="857"/>
      <c r="BF593" s="857"/>
      <c r="BG593" s="857"/>
    </row>
    <row r="594" spans="1:59" ht="15.75" customHeight="1">
      <c r="A594" s="857"/>
      <c r="B594" s="857"/>
      <c r="C594" s="857"/>
      <c r="D594" s="857"/>
      <c r="E594" s="857"/>
      <c r="F594" s="857"/>
      <c r="G594" s="857"/>
      <c r="H594" s="857"/>
      <c r="I594" s="857"/>
      <c r="J594" s="857"/>
      <c r="K594" s="857"/>
      <c r="L594" s="857"/>
      <c r="M594" s="857"/>
      <c r="N594" s="857"/>
      <c r="O594" s="857"/>
      <c r="P594" s="857"/>
      <c r="Q594" s="857"/>
      <c r="R594" s="857"/>
      <c r="S594" s="857"/>
      <c r="T594" s="857"/>
      <c r="U594" s="857"/>
      <c r="V594" s="857"/>
      <c r="W594" s="857"/>
      <c r="X594" s="857"/>
      <c r="Y594" s="857"/>
      <c r="Z594" s="857"/>
      <c r="AA594" s="857"/>
      <c r="AB594" s="857"/>
      <c r="AC594" s="857"/>
      <c r="AD594" s="857"/>
      <c r="AE594" s="857"/>
      <c r="AF594" s="857"/>
      <c r="AG594" s="857"/>
      <c r="AH594" s="857"/>
      <c r="AI594" s="857"/>
      <c r="AJ594" s="857"/>
      <c r="AK594" s="857"/>
      <c r="AL594" s="857"/>
      <c r="AM594" s="857"/>
      <c r="AN594" s="857"/>
      <c r="AO594" s="857"/>
      <c r="AP594" s="857"/>
      <c r="AQ594" s="857"/>
      <c r="AR594" s="857"/>
      <c r="AS594" s="857"/>
      <c r="AT594" s="855"/>
      <c r="AV594" s="857"/>
      <c r="AW594" s="857"/>
      <c r="AX594" s="857"/>
      <c r="AY594" s="857"/>
      <c r="AZ594" s="857"/>
      <c r="BA594" s="857"/>
      <c r="BB594" s="857"/>
      <c r="BC594" s="857"/>
      <c r="BD594" s="857"/>
      <c r="BE594" s="857"/>
      <c r="BF594" s="857"/>
      <c r="BG594" s="857"/>
    </row>
    <row r="595" spans="1:59" ht="15.75" customHeight="1">
      <c r="A595" s="857"/>
      <c r="B595" s="857"/>
      <c r="C595" s="857"/>
      <c r="D595" s="857"/>
      <c r="E595" s="857"/>
      <c r="F595" s="857"/>
      <c r="G595" s="857"/>
      <c r="H595" s="857"/>
      <c r="I595" s="857"/>
      <c r="J595" s="857"/>
      <c r="K595" s="857"/>
      <c r="L595" s="857"/>
      <c r="M595" s="857"/>
      <c r="N595" s="857"/>
      <c r="O595" s="857"/>
      <c r="P595" s="857"/>
      <c r="Q595" s="857"/>
      <c r="R595" s="857"/>
      <c r="S595" s="857"/>
      <c r="T595" s="857"/>
      <c r="U595" s="857"/>
      <c r="V595" s="857"/>
      <c r="W595" s="857"/>
      <c r="X595" s="857"/>
      <c r="Y595" s="857"/>
      <c r="Z595" s="857"/>
      <c r="AA595" s="857"/>
      <c r="AB595" s="857"/>
      <c r="AC595" s="857"/>
      <c r="AD595" s="857"/>
      <c r="AE595" s="857"/>
      <c r="AF595" s="857"/>
      <c r="AG595" s="857"/>
      <c r="AH595" s="857"/>
      <c r="AI595" s="857"/>
      <c r="AJ595" s="857"/>
      <c r="AK595" s="857"/>
      <c r="AL595" s="857"/>
      <c r="AM595" s="857"/>
      <c r="AN595" s="857"/>
      <c r="AO595" s="857"/>
      <c r="AP595" s="857"/>
      <c r="AQ595" s="857"/>
      <c r="AR595" s="857"/>
      <c r="AS595" s="857"/>
      <c r="AT595" s="855"/>
      <c r="AV595" s="857"/>
      <c r="AW595" s="857"/>
      <c r="AX595" s="857"/>
      <c r="AY595" s="857"/>
      <c r="AZ595" s="857"/>
      <c r="BA595" s="857"/>
      <c r="BB595" s="857"/>
      <c r="BC595" s="857"/>
      <c r="BD595" s="857"/>
      <c r="BE595" s="857"/>
      <c r="BF595" s="857"/>
      <c r="BG595" s="857"/>
    </row>
    <row r="596" spans="1:59" ht="15.75" customHeight="1">
      <c r="A596" s="857"/>
      <c r="B596" s="857"/>
      <c r="C596" s="857"/>
      <c r="D596" s="857"/>
      <c r="E596" s="857"/>
      <c r="F596" s="857"/>
      <c r="G596" s="857"/>
      <c r="H596" s="857"/>
      <c r="I596" s="857"/>
      <c r="J596" s="857"/>
      <c r="K596" s="857"/>
      <c r="L596" s="857"/>
      <c r="M596" s="857"/>
      <c r="N596" s="857"/>
      <c r="O596" s="857"/>
      <c r="P596" s="857"/>
      <c r="Q596" s="857"/>
      <c r="R596" s="857"/>
      <c r="S596" s="857"/>
      <c r="T596" s="857"/>
      <c r="U596" s="857"/>
      <c r="V596" s="857"/>
      <c r="W596" s="857"/>
      <c r="X596" s="857"/>
      <c r="Y596" s="857"/>
      <c r="Z596" s="857"/>
      <c r="AA596" s="857"/>
      <c r="AB596" s="857"/>
      <c r="AC596" s="857"/>
      <c r="AD596" s="857"/>
      <c r="AE596" s="857"/>
      <c r="AF596" s="857"/>
      <c r="AG596" s="857"/>
      <c r="AH596" s="857"/>
      <c r="AI596" s="857"/>
      <c r="AJ596" s="857"/>
      <c r="AK596" s="857"/>
      <c r="AL596" s="857"/>
      <c r="AM596" s="857"/>
      <c r="AN596" s="857"/>
      <c r="AO596" s="857"/>
      <c r="AP596" s="857"/>
      <c r="AQ596" s="857"/>
      <c r="AR596" s="857"/>
      <c r="AS596" s="857"/>
      <c r="AT596" s="855"/>
      <c r="AV596" s="857"/>
      <c r="AW596" s="857"/>
      <c r="AX596" s="857"/>
      <c r="AY596" s="857"/>
      <c r="AZ596" s="857"/>
      <c r="BA596" s="857"/>
      <c r="BB596" s="857"/>
      <c r="BC596" s="857"/>
      <c r="BD596" s="857"/>
      <c r="BE596" s="857"/>
      <c r="BF596" s="857"/>
      <c r="BG596" s="857"/>
    </row>
    <row r="597" spans="1:59" ht="15.75" customHeight="1">
      <c r="A597" s="857"/>
      <c r="B597" s="857"/>
      <c r="C597" s="857"/>
      <c r="D597" s="857"/>
      <c r="E597" s="857"/>
      <c r="F597" s="857"/>
      <c r="G597" s="857"/>
      <c r="H597" s="857"/>
      <c r="I597" s="857"/>
      <c r="J597" s="857"/>
      <c r="K597" s="857"/>
      <c r="L597" s="857"/>
      <c r="M597" s="857"/>
      <c r="N597" s="857"/>
      <c r="O597" s="857"/>
      <c r="P597" s="857"/>
      <c r="Q597" s="857"/>
      <c r="R597" s="857"/>
      <c r="S597" s="857"/>
      <c r="T597" s="857"/>
      <c r="U597" s="857"/>
      <c r="V597" s="857"/>
      <c r="W597" s="857"/>
      <c r="X597" s="857"/>
      <c r="Y597" s="857"/>
      <c r="Z597" s="857"/>
      <c r="AA597" s="857"/>
      <c r="AB597" s="857"/>
      <c r="AC597" s="857"/>
      <c r="AD597" s="857"/>
      <c r="AE597" s="857"/>
      <c r="AF597" s="857"/>
      <c r="AG597" s="857"/>
      <c r="AH597" s="857"/>
      <c r="AI597" s="857"/>
      <c r="AJ597" s="857"/>
      <c r="AK597" s="857"/>
      <c r="AL597" s="857"/>
      <c r="AM597" s="857"/>
      <c r="AN597" s="857"/>
      <c r="AO597" s="857"/>
      <c r="AP597" s="857"/>
      <c r="AQ597" s="857"/>
      <c r="AR597" s="857"/>
      <c r="AS597" s="857"/>
      <c r="AT597" s="855"/>
      <c r="AV597" s="857"/>
      <c r="AW597" s="857"/>
      <c r="AX597" s="857"/>
      <c r="AY597" s="857"/>
      <c r="AZ597" s="857"/>
      <c r="BA597" s="857"/>
      <c r="BB597" s="857"/>
      <c r="BC597" s="857"/>
      <c r="BD597" s="857"/>
      <c r="BE597" s="857"/>
      <c r="BF597" s="857"/>
      <c r="BG597" s="857"/>
    </row>
    <row r="598" spans="1:59" ht="15.75" customHeight="1">
      <c r="A598" s="857"/>
      <c r="B598" s="857"/>
      <c r="C598" s="857"/>
      <c r="D598" s="857"/>
      <c r="E598" s="857"/>
      <c r="F598" s="857"/>
      <c r="G598" s="857"/>
      <c r="H598" s="857"/>
      <c r="I598" s="857"/>
      <c r="J598" s="857"/>
      <c r="K598" s="857"/>
      <c r="L598" s="857"/>
      <c r="M598" s="857"/>
      <c r="N598" s="857"/>
      <c r="O598" s="857"/>
      <c r="P598" s="857"/>
      <c r="Q598" s="857"/>
      <c r="R598" s="857"/>
      <c r="S598" s="857"/>
      <c r="T598" s="857"/>
      <c r="U598" s="857"/>
      <c r="V598" s="857"/>
      <c r="W598" s="857"/>
      <c r="X598" s="857"/>
      <c r="Y598" s="857"/>
      <c r="Z598" s="857"/>
      <c r="AA598" s="857"/>
      <c r="AB598" s="857"/>
      <c r="AC598" s="857"/>
      <c r="AD598" s="857"/>
      <c r="AE598" s="857"/>
      <c r="AF598" s="857"/>
      <c r="AG598" s="857"/>
      <c r="AH598" s="857"/>
      <c r="AI598" s="857"/>
      <c r="AJ598" s="857"/>
      <c r="AK598" s="857"/>
      <c r="AL598" s="857"/>
      <c r="AM598" s="857"/>
      <c r="AN598" s="857"/>
      <c r="AO598" s="857"/>
      <c r="AP598" s="857"/>
      <c r="AQ598" s="857"/>
      <c r="AR598" s="857"/>
      <c r="AS598" s="857"/>
      <c r="AT598" s="855"/>
      <c r="AV598" s="857"/>
      <c r="AW598" s="857"/>
      <c r="AX598" s="857"/>
      <c r="AY598" s="857"/>
      <c r="AZ598" s="857"/>
      <c r="BA598" s="857"/>
      <c r="BB598" s="857"/>
      <c r="BC598" s="857"/>
      <c r="BD598" s="857"/>
      <c r="BE598" s="857"/>
      <c r="BF598" s="857"/>
      <c r="BG598" s="857"/>
    </row>
    <row r="599" spans="1:59" ht="15.75" customHeight="1">
      <c r="A599" s="857"/>
      <c r="B599" s="857"/>
      <c r="C599" s="857"/>
      <c r="D599" s="857"/>
      <c r="E599" s="857"/>
      <c r="F599" s="857"/>
      <c r="G599" s="857"/>
      <c r="H599" s="857"/>
      <c r="I599" s="857"/>
      <c r="J599" s="857"/>
      <c r="K599" s="857"/>
      <c r="L599" s="857"/>
      <c r="M599" s="857"/>
      <c r="N599" s="857"/>
      <c r="O599" s="857"/>
      <c r="P599" s="857"/>
      <c r="Q599" s="857"/>
      <c r="R599" s="857"/>
      <c r="S599" s="857"/>
      <c r="T599" s="857"/>
      <c r="U599" s="857"/>
      <c r="V599" s="857"/>
      <c r="W599" s="857"/>
      <c r="X599" s="857"/>
      <c r="Y599" s="857"/>
      <c r="Z599" s="857"/>
      <c r="AA599" s="857"/>
      <c r="AB599" s="857"/>
      <c r="AC599" s="857"/>
      <c r="AD599" s="857"/>
      <c r="AE599" s="857"/>
      <c r="AF599" s="857"/>
      <c r="AG599" s="857"/>
      <c r="AH599" s="857"/>
      <c r="AI599" s="857"/>
      <c r="AJ599" s="857"/>
      <c r="AK599" s="857"/>
      <c r="AL599" s="857"/>
      <c r="AM599" s="857"/>
      <c r="AN599" s="857"/>
      <c r="AO599" s="857"/>
      <c r="AP599" s="857"/>
      <c r="AQ599" s="857"/>
      <c r="AR599" s="857"/>
      <c r="AS599" s="857"/>
      <c r="AT599" s="855"/>
      <c r="AV599" s="857"/>
      <c r="AW599" s="857"/>
      <c r="AX599" s="857"/>
      <c r="AY599" s="857"/>
      <c r="AZ599" s="857"/>
      <c r="BA599" s="857"/>
      <c r="BB599" s="857"/>
      <c r="BC599" s="857"/>
      <c r="BD599" s="857"/>
      <c r="BE599" s="857"/>
      <c r="BF599" s="857"/>
      <c r="BG599" s="857"/>
    </row>
    <row r="600" spans="1:59" ht="15.75" customHeight="1">
      <c r="A600" s="857"/>
      <c r="B600" s="857"/>
      <c r="C600" s="857"/>
      <c r="D600" s="857"/>
      <c r="E600" s="857"/>
      <c r="F600" s="857"/>
      <c r="G600" s="857"/>
      <c r="H600" s="857"/>
      <c r="I600" s="857"/>
      <c r="J600" s="857"/>
      <c r="K600" s="857"/>
      <c r="L600" s="857"/>
      <c r="M600" s="857"/>
      <c r="N600" s="857"/>
      <c r="O600" s="857"/>
      <c r="P600" s="857"/>
      <c r="Q600" s="857"/>
      <c r="R600" s="857"/>
      <c r="S600" s="857"/>
      <c r="T600" s="857"/>
      <c r="U600" s="857"/>
      <c r="V600" s="857"/>
      <c r="W600" s="857"/>
      <c r="X600" s="857"/>
      <c r="Y600" s="857"/>
      <c r="Z600" s="857"/>
      <c r="AA600" s="857"/>
      <c r="AB600" s="857"/>
      <c r="AC600" s="857"/>
      <c r="AD600" s="857"/>
      <c r="AE600" s="857"/>
      <c r="AF600" s="857"/>
      <c r="AG600" s="857"/>
      <c r="AH600" s="857"/>
      <c r="AI600" s="857"/>
      <c r="AJ600" s="857"/>
      <c r="AK600" s="857"/>
      <c r="AL600" s="857"/>
      <c r="AM600" s="857"/>
      <c r="AN600" s="857"/>
      <c r="AO600" s="857"/>
      <c r="AP600" s="857"/>
      <c r="AQ600" s="857"/>
      <c r="AR600" s="857"/>
      <c r="AS600" s="857"/>
      <c r="AT600" s="855"/>
      <c r="AV600" s="857"/>
      <c r="AW600" s="857"/>
      <c r="AX600" s="857"/>
      <c r="AY600" s="857"/>
      <c r="AZ600" s="857"/>
      <c r="BA600" s="857"/>
      <c r="BB600" s="857"/>
      <c r="BC600" s="857"/>
      <c r="BD600" s="857"/>
      <c r="BE600" s="857"/>
      <c r="BF600" s="857"/>
      <c r="BG600" s="857"/>
    </row>
    <row r="601" spans="1:59" ht="15.75" customHeight="1">
      <c r="A601" s="857"/>
      <c r="B601" s="857"/>
      <c r="C601" s="857"/>
      <c r="D601" s="857"/>
      <c r="E601" s="857"/>
      <c r="F601" s="857"/>
      <c r="G601" s="857"/>
      <c r="H601" s="857"/>
      <c r="I601" s="857"/>
      <c r="J601" s="857"/>
      <c r="K601" s="857"/>
      <c r="L601" s="857"/>
      <c r="M601" s="857"/>
      <c r="N601" s="857"/>
      <c r="O601" s="857"/>
      <c r="P601" s="857"/>
      <c r="Q601" s="857"/>
      <c r="R601" s="857"/>
      <c r="S601" s="857"/>
      <c r="T601" s="857"/>
      <c r="U601" s="857"/>
      <c r="V601" s="857"/>
      <c r="W601" s="857"/>
      <c r="X601" s="857"/>
      <c r="Y601" s="857"/>
      <c r="Z601" s="857"/>
      <c r="AA601" s="857"/>
      <c r="AB601" s="857"/>
      <c r="AC601" s="857"/>
      <c r="AD601" s="857"/>
      <c r="AE601" s="857"/>
      <c r="AF601" s="857"/>
      <c r="AG601" s="857"/>
      <c r="AH601" s="857"/>
      <c r="AI601" s="857"/>
      <c r="AJ601" s="857"/>
      <c r="AK601" s="857"/>
      <c r="AL601" s="857"/>
      <c r="AM601" s="857"/>
      <c r="AN601" s="857"/>
      <c r="AO601" s="857"/>
      <c r="AP601" s="857"/>
      <c r="AQ601" s="857"/>
      <c r="AR601" s="857"/>
      <c r="AS601" s="857"/>
      <c r="AT601" s="855"/>
      <c r="AV601" s="857"/>
      <c r="AW601" s="857"/>
      <c r="AX601" s="857"/>
      <c r="AY601" s="857"/>
      <c r="AZ601" s="857"/>
      <c r="BA601" s="857"/>
      <c r="BB601" s="857"/>
      <c r="BC601" s="857"/>
      <c r="BD601" s="857"/>
      <c r="BE601" s="857"/>
      <c r="BF601" s="857"/>
      <c r="BG601" s="857"/>
    </row>
    <row r="602" spans="1:59" ht="15.75" customHeight="1">
      <c r="A602" s="857"/>
      <c r="B602" s="857"/>
      <c r="C602" s="857"/>
      <c r="D602" s="857"/>
      <c r="E602" s="857"/>
      <c r="F602" s="857"/>
      <c r="G602" s="857"/>
      <c r="H602" s="857"/>
      <c r="I602" s="857"/>
      <c r="J602" s="857"/>
      <c r="K602" s="857"/>
      <c r="L602" s="857"/>
      <c r="M602" s="857"/>
      <c r="N602" s="857"/>
      <c r="O602" s="857"/>
      <c r="P602" s="857"/>
      <c r="Q602" s="857"/>
      <c r="R602" s="857"/>
      <c r="S602" s="857"/>
      <c r="T602" s="857"/>
      <c r="U602" s="857"/>
      <c r="V602" s="857"/>
      <c r="W602" s="857"/>
      <c r="X602" s="857"/>
      <c r="Y602" s="857"/>
      <c r="Z602" s="857"/>
      <c r="AA602" s="857"/>
      <c r="AB602" s="857"/>
      <c r="AC602" s="857"/>
      <c r="AD602" s="857"/>
      <c r="AE602" s="857"/>
      <c r="AF602" s="857"/>
      <c r="AG602" s="857"/>
      <c r="AH602" s="857"/>
      <c r="AI602" s="857"/>
      <c r="AJ602" s="857"/>
      <c r="AK602" s="857"/>
      <c r="AL602" s="857"/>
      <c r="AM602" s="857"/>
      <c r="AN602" s="857"/>
      <c r="AO602" s="857"/>
      <c r="AP602" s="857"/>
      <c r="AQ602" s="857"/>
      <c r="AR602" s="857"/>
      <c r="AS602" s="857"/>
      <c r="AT602" s="855"/>
      <c r="AV602" s="857"/>
      <c r="AW602" s="857"/>
      <c r="AX602" s="857"/>
      <c r="AY602" s="857"/>
      <c r="AZ602" s="857"/>
      <c r="BA602" s="857"/>
      <c r="BB602" s="857"/>
      <c r="BC602" s="857"/>
      <c r="BD602" s="857"/>
      <c r="BE602" s="857"/>
      <c r="BF602" s="857"/>
      <c r="BG602" s="857"/>
    </row>
    <row r="603" spans="1:59" ht="15.75" customHeight="1">
      <c r="A603" s="857"/>
      <c r="B603" s="857"/>
      <c r="C603" s="857"/>
      <c r="D603" s="857"/>
      <c r="E603" s="857"/>
      <c r="F603" s="857"/>
      <c r="G603" s="857"/>
      <c r="H603" s="857"/>
      <c r="I603" s="857"/>
      <c r="J603" s="857"/>
      <c r="K603" s="857"/>
      <c r="L603" s="857"/>
      <c r="M603" s="857"/>
      <c r="N603" s="857"/>
      <c r="O603" s="857"/>
      <c r="P603" s="857"/>
      <c r="Q603" s="857"/>
      <c r="R603" s="857"/>
      <c r="S603" s="857"/>
      <c r="T603" s="857"/>
      <c r="U603" s="857"/>
      <c r="V603" s="857"/>
      <c r="W603" s="857"/>
      <c r="X603" s="857"/>
      <c r="Y603" s="857"/>
      <c r="Z603" s="857"/>
      <c r="AA603" s="857"/>
      <c r="AB603" s="857"/>
      <c r="AC603" s="857"/>
      <c r="AD603" s="857"/>
      <c r="AE603" s="857"/>
      <c r="AF603" s="857"/>
      <c r="AG603" s="857"/>
      <c r="AH603" s="857"/>
      <c r="AI603" s="857"/>
      <c r="AJ603" s="857"/>
      <c r="AK603" s="857"/>
      <c r="AL603" s="857"/>
      <c r="AM603" s="857"/>
      <c r="AN603" s="857"/>
      <c r="AO603" s="857"/>
      <c r="AP603" s="857"/>
      <c r="AQ603" s="857"/>
      <c r="AR603" s="857"/>
      <c r="AS603" s="857"/>
      <c r="AT603" s="855"/>
      <c r="AV603" s="857"/>
      <c r="AW603" s="857"/>
      <c r="AX603" s="857"/>
      <c r="AY603" s="857"/>
      <c r="AZ603" s="857"/>
      <c r="BA603" s="857"/>
      <c r="BB603" s="857"/>
      <c r="BC603" s="857"/>
      <c r="BD603" s="857"/>
      <c r="BE603" s="857"/>
      <c r="BF603" s="857"/>
      <c r="BG603" s="857"/>
    </row>
    <row r="604" spans="1:59" ht="15.75" customHeight="1">
      <c r="A604" s="857"/>
      <c r="B604" s="857"/>
      <c r="C604" s="857"/>
      <c r="D604" s="857"/>
      <c r="E604" s="857"/>
      <c r="F604" s="857"/>
      <c r="G604" s="857"/>
      <c r="H604" s="857"/>
      <c r="I604" s="857"/>
      <c r="J604" s="857"/>
      <c r="K604" s="857"/>
      <c r="L604" s="857"/>
      <c r="M604" s="857"/>
      <c r="N604" s="857"/>
      <c r="O604" s="857"/>
      <c r="P604" s="857"/>
      <c r="Q604" s="857"/>
      <c r="R604" s="857"/>
      <c r="S604" s="857"/>
      <c r="T604" s="857"/>
      <c r="U604" s="857"/>
      <c r="V604" s="857"/>
      <c r="W604" s="857"/>
      <c r="X604" s="857"/>
      <c r="Y604" s="857"/>
      <c r="Z604" s="857"/>
      <c r="AA604" s="857"/>
      <c r="AB604" s="857"/>
      <c r="AC604" s="857"/>
      <c r="AD604" s="857"/>
      <c r="AE604" s="857"/>
      <c r="AF604" s="857"/>
      <c r="AG604" s="857"/>
      <c r="AH604" s="857"/>
      <c r="AI604" s="857"/>
      <c r="AJ604" s="857"/>
      <c r="AK604" s="857"/>
      <c r="AL604" s="857"/>
      <c r="AM604" s="857"/>
      <c r="AN604" s="857"/>
      <c r="AO604" s="857"/>
      <c r="AP604" s="857"/>
      <c r="AQ604" s="857"/>
      <c r="AR604" s="857"/>
      <c r="AS604" s="857"/>
      <c r="AT604" s="855"/>
      <c r="AV604" s="857"/>
      <c r="AW604" s="857"/>
      <c r="AX604" s="857"/>
      <c r="AY604" s="857"/>
      <c r="AZ604" s="857"/>
      <c r="BA604" s="857"/>
      <c r="BB604" s="857"/>
      <c r="BC604" s="857"/>
      <c r="BD604" s="857"/>
      <c r="BE604" s="857"/>
      <c r="BF604" s="857"/>
      <c r="BG604" s="857"/>
    </row>
    <row r="605" spans="1:59" ht="15.75" customHeight="1">
      <c r="A605" s="857"/>
      <c r="B605" s="857"/>
      <c r="C605" s="857"/>
      <c r="D605" s="857"/>
      <c r="E605" s="857"/>
      <c r="F605" s="857"/>
      <c r="G605" s="857"/>
      <c r="H605" s="857"/>
      <c r="I605" s="857"/>
      <c r="J605" s="857"/>
      <c r="K605" s="857"/>
      <c r="L605" s="857"/>
      <c r="M605" s="857"/>
      <c r="N605" s="857"/>
      <c r="O605" s="857"/>
      <c r="P605" s="857"/>
      <c r="Q605" s="857"/>
      <c r="R605" s="857"/>
      <c r="S605" s="857"/>
      <c r="T605" s="857"/>
      <c r="U605" s="857"/>
      <c r="V605" s="857"/>
      <c r="W605" s="857"/>
      <c r="X605" s="857"/>
      <c r="Y605" s="857"/>
      <c r="Z605" s="857"/>
      <c r="AA605" s="857"/>
      <c r="AB605" s="857"/>
      <c r="AC605" s="857"/>
      <c r="AD605" s="857"/>
      <c r="AE605" s="857"/>
      <c r="AF605" s="857"/>
      <c r="AG605" s="857"/>
      <c r="AH605" s="857"/>
      <c r="AI605" s="857"/>
      <c r="AJ605" s="857"/>
      <c r="AK605" s="857"/>
      <c r="AL605" s="857"/>
      <c r="AM605" s="857"/>
      <c r="AN605" s="857"/>
      <c r="AO605" s="857"/>
      <c r="AP605" s="857"/>
      <c r="AQ605" s="857"/>
      <c r="AR605" s="857"/>
      <c r="AS605" s="857"/>
      <c r="AT605" s="855"/>
      <c r="AV605" s="857"/>
      <c r="AW605" s="857"/>
      <c r="AX605" s="857"/>
      <c r="AY605" s="857"/>
      <c r="AZ605" s="857"/>
      <c r="BA605" s="857"/>
      <c r="BB605" s="857"/>
      <c r="BC605" s="857"/>
      <c r="BD605" s="857"/>
      <c r="BE605" s="857"/>
      <c r="BF605" s="857"/>
      <c r="BG605" s="857"/>
    </row>
    <row r="606" spans="1:59" ht="15.75" customHeight="1">
      <c r="A606" s="857"/>
      <c r="B606" s="857"/>
      <c r="C606" s="857"/>
      <c r="D606" s="857"/>
      <c r="E606" s="857"/>
      <c r="F606" s="857"/>
      <c r="G606" s="857"/>
      <c r="H606" s="857"/>
      <c r="I606" s="857"/>
      <c r="J606" s="857"/>
      <c r="K606" s="857"/>
      <c r="L606" s="857"/>
      <c r="M606" s="857"/>
      <c r="N606" s="857"/>
      <c r="O606" s="857"/>
      <c r="P606" s="857"/>
      <c r="Q606" s="857"/>
      <c r="R606" s="857"/>
      <c r="S606" s="857"/>
      <c r="T606" s="857"/>
      <c r="U606" s="857"/>
      <c r="V606" s="857"/>
      <c r="W606" s="857"/>
      <c r="X606" s="857"/>
      <c r="Y606" s="857"/>
      <c r="Z606" s="857"/>
      <c r="AA606" s="857"/>
      <c r="AB606" s="857"/>
      <c r="AC606" s="857"/>
      <c r="AD606" s="857"/>
      <c r="AE606" s="857"/>
      <c r="AF606" s="857"/>
      <c r="AG606" s="857"/>
      <c r="AH606" s="857"/>
      <c r="AI606" s="857"/>
      <c r="AJ606" s="857"/>
      <c r="AK606" s="857"/>
      <c r="AL606" s="857"/>
      <c r="AM606" s="857"/>
      <c r="AN606" s="857"/>
      <c r="AO606" s="857"/>
      <c r="AP606" s="857"/>
      <c r="AQ606" s="857"/>
      <c r="AR606" s="857"/>
      <c r="AS606" s="857"/>
      <c r="AT606" s="855"/>
      <c r="AV606" s="857"/>
      <c r="AW606" s="857"/>
      <c r="AX606" s="857"/>
      <c r="AY606" s="857"/>
      <c r="AZ606" s="857"/>
      <c r="BA606" s="857"/>
      <c r="BB606" s="857"/>
      <c r="BC606" s="857"/>
      <c r="BD606" s="857"/>
      <c r="BE606" s="857"/>
      <c r="BF606" s="857"/>
      <c r="BG606" s="857"/>
    </row>
    <row r="607" spans="1:59" ht="15.75" customHeight="1">
      <c r="A607" s="857"/>
      <c r="B607" s="857"/>
      <c r="C607" s="857"/>
      <c r="D607" s="857"/>
      <c r="E607" s="857"/>
      <c r="F607" s="857"/>
      <c r="G607" s="857"/>
      <c r="H607" s="857"/>
      <c r="I607" s="857"/>
      <c r="J607" s="857"/>
      <c r="K607" s="857"/>
      <c r="L607" s="857"/>
      <c r="M607" s="857"/>
      <c r="N607" s="857"/>
      <c r="O607" s="857"/>
      <c r="P607" s="857"/>
      <c r="Q607" s="857"/>
      <c r="R607" s="857"/>
      <c r="S607" s="857"/>
      <c r="T607" s="857"/>
      <c r="U607" s="857"/>
      <c r="V607" s="857"/>
      <c r="W607" s="857"/>
      <c r="X607" s="857"/>
      <c r="Y607" s="857"/>
      <c r="Z607" s="857"/>
      <c r="AA607" s="857"/>
      <c r="AB607" s="857"/>
      <c r="AC607" s="857"/>
      <c r="AD607" s="857"/>
      <c r="AE607" s="857"/>
      <c r="AF607" s="857"/>
      <c r="AG607" s="857"/>
      <c r="AH607" s="857"/>
      <c r="AI607" s="857"/>
      <c r="AJ607" s="857"/>
      <c r="AK607" s="857"/>
      <c r="AL607" s="857"/>
      <c r="AM607" s="857"/>
      <c r="AN607" s="857"/>
      <c r="AO607" s="857"/>
      <c r="AP607" s="857"/>
      <c r="AQ607" s="857"/>
      <c r="AR607" s="857"/>
      <c r="AS607" s="857"/>
      <c r="AT607" s="855"/>
      <c r="AV607" s="857"/>
      <c r="AW607" s="857"/>
      <c r="AX607" s="857"/>
      <c r="AY607" s="857"/>
      <c r="AZ607" s="857"/>
      <c r="BA607" s="857"/>
      <c r="BB607" s="857"/>
      <c r="BC607" s="857"/>
      <c r="BD607" s="857"/>
      <c r="BE607" s="857"/>
      <c r="BF607" s="857"/>
      <c r="BG607" s="857"/>
    </row>
    <row r="608" spans="1:59" ht="15.75" customHeight="1">
      <c r="A608" s="857"/>
      <c r="B608" s="857"/>
      <c r="C608" s="857"/>
      <c r="D608" s="857"/>
      <c r="E608" s="857"/>
      <c r="F608" s="857"/>
      <c r="G608" s="857"/>
      <c r="H608" s="857"/>
      <c r="I608" s="857"/>
      <c r="J608" s="857"/>
      <c r="K608" s="857"/>
      <c r="L608" s="857"/>
      <c r="M608" s="857"/>
      <c r="N608" s="857"/>
      <c r="O608" s="857"/>
      <c r="P608" s="857"/>
      <c r="Q608" s="857"/>
      <c r="R608" s="857"/>
      <c r="S608" s="857"/>
      <c r="T608" s="857"/>
      <c r="U608" s="857"/>
      <c r="V608" s="857"/>
      <c r="W608" s="857"/>
      <c r="X608" s="857"/>
      <c r="Y608" s="857"/>
      <c r="Z608" s="857"/>
      <c r="AA608" s="857"/>
      <c r="AB608" s="857"/>
      <c r="AC608" s="857"/>
      <c r="AD608" s="857"/>
      <c r="AE608" s="857"/>
      <c r="AF608" s="857"/>
      <c r="AG608" s="857"/>
      <c r="AH608" s="857"/>
      <c r="AI608" s="857"/>
      <c r="AJ608" s="857"/>
      <c r="AK608" s="857"/>
      <c r="AL608" s="857"/>
      <c r="AM608" s="857"/>
      <c r="AN608" s="857"/>
      <c r="AO608" s="857"/>
      <c r="AP608" s="857"/>
      <c r="AQ608" s="857"/>
      <c r="AR608" s="857"/>
      <c r="AS608" s="857"/>
      <c r="AT608" s="855"/>
      <c r="AV608" s="857"/>
      <c r="AW608" s="857"/>
      <c r="AX608" s="857"/>
      <c r="AY608" s="857"/>
      <c r="AZ608" s="857"/>
      <c r="BA608" s="857"/>
      <c r="BB608" s="857"/>
      <c r="BC608" s="857"/>
      <c r="BD608" s="857"/>
      <c r="BE608" s="857"/>
      <c r="BF608" s="857"/>
      <c r="BG608" s="857"/>
    </row>
    <row r="609" spans="1:59" ht="15.75" customHeight="1">
      <c r="A609" s="857"/>
      <c r="B609" s="857"/>
      <c r="C609" s="857"/>
      <c r="D609" s="857"/>
      <c r="E609" s="857"/>
      <c r="F609" s="857"/>
      <c r="G609" s="857"/>
      <c r="H609" s="857"/>
      <c r="I609" s="857"/>
      <c r="J609" s="857"/>
      <c r="K609" s="857"/>
      <c r="L609" s="857"/>
      <c r="M609" s="857"/>
      <c r="N609" s="857"/>
      <c r="O609" s="857"/>
      <c r="P609" s="857"/>
      <c r="Q609" s="857"/>
      <c r="R609" s="857"/>
      <c r="S609" s="857"/>
      <c r="T609" s="857"/>
      <c r="U609" s="857"/>
      <c r="V609" s="857"/>
      <c r="W609" s="857"/>
      <c r="X609" s="857"/>
      <c r="Y609" s="857"/>
      <c r="Z609" s="857"/>
      <c r="AA609" s="857"/>
      <c r="AB609" s="857"/>
      <c r="AC609" s="857"/>
      <c r="AD609" s="857"/>
      <c r="AE609" s="857"/>
      <c r="AF609" s="857"/>
      <c r="AG609" s="857"/>
      <c r="AH609" s="857"/>
      <c r="AI609" s="857"/>
      <c r="AJ609" s="857"/>
      <c r="AK609" s="857"/>
      <c r="AL609" s="857"/>
      <c r="AM609" s="857"/>
      <c r="AN609" s="857"/>
      <c r="AO609" s="857"/>
      <c r="AP609" s="857"/>
      <c r="AQ609" s="857"/>
      <c r="AR609" s="857"/>
      <c r="AS609" s="857"/>
      <c r="AT609" s="855"/>
      <c r="AV609" s="857"/>
      <c r="AW609" s="857"/>
      <c r="AX609" s="857"/>
      <c r="AY609" s="857"/>
      <c r="AZ609" s="857"/>
      <c r="BA609" s="857"/>
      <c r="BB609" s="857"/>
      <c r="BC609" s="857"/>
      <c r="BD609" s="857"/>
      <c r="BE609" s="857"/>
      <c r="BF609" s="857"/>
      <c r="BG609" s="857"/>
    </row>
    <row r="610" spans="1:59" ht="15.75" customHeight="1">
      <c r="A610" s="857"/>
      <c r="B610" s="857"/>
      <c r="C610" s="857"/>
      <c r="D610" s="857"/>
      <c r="E610" s="857"/>
      <c r="F610" s="857"/>
      <c r="G610" s="857"/>
      <c r="H610" s="857"/>
      <c r="I610" s="857"/>
      <c r="J610" s="857"/>
      <c r="K610" s="857"/>
      <c r="L610" s="857"/>
      <c r="M610" s="857"/>
      <c r="N610" s="857"/>
      <c r="O610" s="857"/>
      <c r="P610" s="857"/>
      <c r="Q610" s="857"/>
      <c r="R610" s="857"/>
      <c r="S610" s="857"/>
      <c r="T610" s="857"/>
      <c r="U610" s="857"/>
      <c r="V610" s="857"/>
      <c r="W610" s="857"/>
      <c r="X610" s="857"/>
      <c r="Y610" s="857"/>
      <c r="Z610" s="857"/>
      <c r="AA610" s="857"/>
      <c r="AB610" s="857"/>
      <c r="AC610" s="857"/>
      <c r="AD610" s="857"/>
      <c r="AE610" s="857"/>
      <c r="AF610" s="857"/>
      <c r="AG610" s="857"/>
      <c r="AH610" s="857"/>
      <c r="AI610" s="857"/>
      <c r="AJ610" s="857"/>
      <c r="AK610" s="857"/>
      <c r="AL610" s="857"/>
      <c r="AM610" s="857"/>
      <c r="AN610" s="857"/>
      <c r="AO610" s="857"/>
      <c r="AP610" s="857"/>
      <c r="AQ610" s="857"/>
      <c r="AR610" s="857"/>
      <c r="AS610" s="857"/>
      <c r="AT610" s="855"/>
      <c r="AV610" s="857"/>
      <c r="AW610" s="857"/>
      <c r="AX610" s="857"/>
      <c r="AY610" s="857"/>
      <c r="AZ610" s="857"/>
      <c r="BA610" s="857"/>
      <c r="BB610" s="857"/>
      <c r="BC610" s="857"/>
      <c r="BD610" s="857"/>
      <c r="BE610" s="857"/>
      <c r="BF610" s="857"/>
      <c r="BG610" s="857"/>
    </row>
    <row r="611" spans="1:59" ht="15.75" customHeight="1">
      <c r="A611" s="857"/>
      <c r="B611" s="857"/>
      <c r="C611" s="857"/>
      <c r="D611" s="857"/>
      <c r="E611" s="857"/>
      <c r="F611" s="857"/>
      <c r="G611" s="857"/>
      <c r="H611" s="857"/>
      <c r="I611" s="857"/>
      <c r="J611" s="857"/>
      <c r="K611" s="857"/>
      <c r="L611" s="857"/>
      <c r="M611" s="857"/>
      <c r="N611" s="857"/>
      <c r="O611" s="857"/>
      <c r="P611" s="857"/>
      <c r="Q611" s="857"/>
      <c r="R611" s="857"/>
      <c r="S611" s="857"/>
      <c r="T611" s="857"/>
      <c r="U611" s="857"/>
      <c r="V611" s="857"/>
      <c r="W611" s="857"/>
      <c r="X611" s="857"/>
      <c r="Y611" s="857"/>
      <c r="Z611" s="857"/>
      <c r="AA611" s="857"/>
      <c r="AB611" s="857"/>
      <c r="AC611" s="857"/>
      <c r="AD611" s="857"/>
      <c r="AE611" s="857"/>
      <c r="AF611" s="857"/>
      <c r="AG611" s="857"/>
      <c r="AH611" s="857"/>
      <c r="AI611" s="857"/>
      <c r="AJ611" s="857"/>
      <c r="AK611" s="857"/>
      <c r="AL611" s="857"/>
      <c r="AM611" s="857"/>
      <c r="AN611" s="857"/>
      <c r="AO611" s="857"/>
      <c r="AP611" s="857"/>
      <c r="AQ611" s="857"/>
      <c r="AR611" s="857"/>
      <c r="AS611" s="857"/>
      <c r="AT611" s="855"/>
      <c r="AV611" s="857"/>
      <c r="AW611" s="857"/>
      <c r="AX611" s="857"/>
      <c r="AY611" s="857"/>
      <c r="AZ611" s="857"/>
      <c r="BA611" s="857"/>
      <c r="BB611" s="857"/>
      <c r="BC611" s="857"/>
      <c r="BD611" s="857"/>
      <c r="BE611" s="857"/>
      <c r="BF611" s="857"/>
      <c r="BG611" s="857"/>
    </row>
    <row r="612" spans="1:59" ht="15.75" customHeight="1">
      <c r="A612" s="857"/>
      <c r="B612" s="857"/>
      <c r="C612" s="857"/>
      <c r="D612" s="857"/>
      <c r="E612" s="857"/>
      <c r="F612" s="857"/>
      <c r="G612" s="857"/>
      <c r="H612" s="857"/>
      <c r="I612" s="857"/>
      <c r="J612" s="857"/>
      <c r="K612" s="857"/>
      <c r="L612" s="857"/>
      <c r="M612" s="857"/>
      <c r="N612" s="857"/>
      <c r="O612" s="857"/>
      <c r="P612" s="857"/>
      <c r="Q612" s="857"/>
      <c r="R612" s="857"/>
      <c r="S612" s="857"/>
      <c r="T612" s="857"/>
      <c r="U612" s="857"/>
      <c r="V612" s="857"/>
      <c r="W612" s="857"/>
      <c r="X612" s="857"/>
      <c r="Y612" s="857"/>
      <c r="Z612" s="857"/>
      <c r="AA612" s="857"/>
      <c r="AB612" s="857"/>
      <c r="AC612" s="857"/>
      <c r="AD612" s="857"/>
      <c r="AE612" s="857"/>
      <c r="AF612" s="857"/>
      <c r="AG612" s="857"/>
      <c r="AH612" s="857"/>
      <c r="AI612" s="857"/>
      <c r="AJ612" s="857"/>
      <c r="AK612" s="857"/>
      <c r="AL612" s="857"/>
      <c r="AM612" s="857"/>
      <c r="AN612" s="857"/>
      <c r="AO612" s="857"/>
      <c r="AP612" s="857"/>
      <c r="AQ612" s="857"/>
      <c r="AR612" s="857"/>
      <c r="AS612" s="857"/>
      <c r="AT612" s="855"/>
      <c r="AV612" s="857"/>
      <c r="AW612" s="857"/>
      <c r="AX612" s="857"/>
      <c r="AY612" s="857"/>
      <c r="AZ612" s="857"/>
      <c r="BA612" s="857"/>
      <c r="BB612" s="857"/>
      <c r="BC612" s="857"/>
      <c r="BD612" s="857"/>
      <c r="BE612" s="857"/>
      <c r="BF612" s="857"/>
      <c r="BG612" s="857"/>
    </row>
    <row r="613" spans="1:59" ht="15.75" customHeight="1">
      <c r="A613" s="857"/>
      <c r="B613" s="857"/>
      <c r="C613" s="857"/>
      <c r="D613" s="857"/>
      <c r="E613" s="857"/>
      <c r="F613" s="857"/>
      <c r="G613" s="857"/>
      <c r="H613" s="857"/>
      <c r="I613" s="857"/>
      <c r="J613" s="857"/>
      <c r="K613" s="857"/>
      <c r="L613" s="857"/>
      <c r="M613" s="857"/>
      <c r="N613" s="857"/>
      <c r="O613" s="857"/>
      <c r="P613" s="857"/>
      <c r="Q613" s="857"/>
      <c r="R613" s="857"/>
      <c r="S613" s="857"/>
      <c r="T613" s="857"/>
      <c r="U613" s="857"/>
      <c r="V613" s="857"/>
      <c r="W613" s="857"/>
      <c r="X613" s="857"/>
      <c r="Y613" s="857"/>
      <c r="Z613" s="857"/>
      <c r="AA613" s="857"/>
      <c r="AB613" s="857"/>
      <c r="AC613" s="857"/>
      <c r="AD613" s="857"/>
      <c r="AE613" s="857"/>
      <c r="AF613" s="857"/>
      <c r="AG613" s="857"/>
      <c r="AH613" s="857"/>
      <c r="AI613" s="857"/>
      <c r="AJ613" s="857"/>
      <c r="AK613" s="857"/>
      <c r="AL613" s="857"/>
      <c r="AM613" s="857"/>
      <c r="AN613" s="857"/>
      <c r="AO613" s="857"/>
      <c r="AP613" s="857"/>
      <c r="AQ613" s="857"/>
      <c r="AR613" s="857"/>
      <c r="AS613" s="857"/>
      <c r="AT613" s="855"/>
      <c r="AV613" s="857"/>
      <c r="AW613" s="857"/>
      <c r="AX613" s="857"/>
      <c r="AY613" s="857"/>
      <c r="AZ613" s="857"/>
      <c r="BA613" s="857"/>
      <c r="BB613" s="857"/>
      <c r="BC613" s="857"/>
      <c r="BD613" s="857"/>
      <c r="BE613" s="857"/>
      <c r="BF613" s="857"/>
      <c r="BG613" s="857"/>
    </row>
    <row r="614" spans="1:59" ht="15.75" customHeight="1">
      <c r="A614" s="857"/>
      <c r="B614" s="857"/>
      <c r="C614" s="857"/>
      <c r="D614" s="857"/>
      <c r="E614" s="857"/>
      <c r="F614" s="857"/>
      <c r="G614" s="857"/>
      <c r="H614" s="857"/>
      <c r="I614" s="857"/>
      <c r="J614" s="857"/>
      <c r="K614" s="857"/>
      <c r="L614" s="857"/>
      <c r="M614" s="857"/>
      <c r="N614" s="857"/>
      <c r="O614" s="857"/>
      <c r="P614" s="857"/>
      <c r="Q614" s="857"/>
      <c r="R614" s="857"/>
      <c r="S614" s="857"/>
      <c r="T614" s="857"/>
      <c r="U614" s="857"/>
      <c r="V614" s="857"/>
      <c r="W614" s="857"/>
      <c r="X614" s="857"/>
      <c r="Y614" s="857"/>
      <c r="Z614" s="857"/>
      <c r="AA614" s="857"/>
      <c r="AB614" s="857"/>
      <c r="AC614" s="857"/>
      <c r="AD614" s="857"/>
      <c r="AE614" s="857"/>
      <c r="AF614" s="857"/>
      <c r="AG614" s="857"/>
      <c r="AH614" s="857"/>
      <c r="AI614" s="857"/>
      <c r="AJ614" s="857"/>
      <c r="AK614" s="857"/>
      <c r="AL614" s="857"/>
      <c r="AM614" s="857"/>
      <c r="AN614" s="857"/>
      <c r="AO614" s="857"/>
      <c r="AP614" s="857"/>
      <c r="AQ614" s="857"/>
      <c r="AR614" s="857"/>
      <c r="AS614" s="857"/>
      <c r="AT614" s="855"/>
      <c r="AV614" s="857"/>
      <c r="AW614" s="857"/>
      <c r="AX614" s="857"/>
      <c r="AY614" s="857"/>
      <c r="AZ614" s="857"/>
      <c r="BA614" s="857"/>
      <c r="BB614" s="857"/>
      <c r="BC614" s="857"/>
      <c r="BD614" s="857"/>
      <c r="BE614" s="857"/>
      <c r="BF614" s="857"/>
      <c r="BG614" s="857"/>
    </row>
    <row r="615" spans="1:59" ht="15.75" customHeight="1">
      <c r="A615" s="857"/>
      <c r="B615" s="857"/>
      <c r="C615" s="857"/>
      <c r="D615" s="857"/>
      <c r="E615" s="857"/>
      <c r="F615" s="857"/>
      <c r="G615" s="857"/>
      <c r="H615" s="857"/>
      <c r="I615" s="857"/>
      <c r="J615" s="857"/>
      <c r="K615" s="857"/>
      <c r="L615" s="857"/>
      <c r="M615" s="857"/>
      <c r="N615" s="857"/>
      <c r="O615" s="857"/>
      <c r="P615" s="857"/>
      <c r="Q615" s="857"/>
      <c r="R615" s="857"/>
      <c r="S615" s="857"/>
      <c r="T615" s="857"/>
      <c r="U615" s="857"/>
      <c r="V615" s="857"/>
      <c r="W615" s="857"/>
      <c r="X615" s="857"/>
      <c r="Y615" s="857"/>
      <c r="Z615" s="857"/>
      <c r="AA615" s="857"/>
      <c r="AB615" s="857"/>
      <c r="AC615" s="857"/>
      <c r="AD615" s="857"/>
      <c r="AE615" s="857"/>
      <c r="AF615" s="857"/>
      <c r="AG615" s="857"/>
      <c r="AH615" s="857"/>
      <c r="AI615" s="857"/>
      <c r="AJ615" s="857"/>
      <c r="AK615" s="857"/>
      <c r="AL615" s="857"/>
      <c r="AM615" s="857"/>
      <c r="AN615" s="857"/>
      <c r="AO615" s="857"/>
      <c r="AP615" s="857"/>
      <c r="AQ615" s="857"/>
      <c r="AR615" s="857"/>
      <c r="AS615" s="857"/>
      <c r="AT615" s="855"/>
      <c r="AV615" s="857"/>
      <c r="AW615" s="857"/>
      <c r="AX615" s="857"/>
      <c r="AY615" s="857"/>
      <c r="AZ615" s="857"/>
      <c r="BA615" s="857"/>
      <c r="BB615" s="857"/>
      <c r="BC615" s="857"/>
      <c r="BD615" s="857"/>
      <c r="BE615" s="857"/>
      <c r="BF615" s="857"/>
      <c r="BG615" s="857"/>
    </row>
    <row r="616" spans="1:59" ht="15.75" customHeight="1">
      <c r="A616" s="857"/>
      <c r="B616" s="857"/>
      <c r="C616" s="857"/>
      <c r="D616" s="857"/>
      <c r="E616" s="857"/>
      <c r="F616" s="857"/>
      <c r="G616" s="857"/>
      <c r="H616" s="857"/>
      <c r="I616" s="857"/>
      <c r="J616" s="857"/>
      <c r="K616" s="857"/>
      <c r="L616" s="857"/>
      <c r="M616" s="857"/>
      <c r="N616" s="857"/>
      <c r="O616" s="857"/>
      <c r="P616" s="857"/>
      <c r="Q616" s="857"/>
      <c r="R616" s="857"/>
      <c r="S616" s="857"/>
      <c r="T616" s="857"/>
      <c r="U616" s="857"/>
      <c r="V616" s="857"/>
      <c r="W616" s="857"/>
      <c r="X616" s="857"/>
      <c r="Y616" s="857"/>
      <c r="Z616" s="857"/>
      <c r="AA616" s="857"/>
      <c r="AB616" s="857"/>
      <c r="AC616" s="857"/>
      <c r="AD616" s="857"/>
      <c r="AE616" s="857"/>
      <c r="AF616" s="857"/>
      <c r="AG616" s="857"/>
      <c r="AH616" s="857"/>
      <c r="AI616" s="857"/>
      <c r="AJ616" s="857"/>
      <c r="AK616" s="857"/>
      <c r="AL616" s="857"/>
      <c r="AM616" s="857"/>
      <c r="AN616" s="857"/>
      <c r="AO616" s="857"/>
      <c r="AP616" s="857"/>
      <c r="AQ616" s="857"/>
      <c r="AR616" s="857"/>
      <c r="AS616" s="857"/>
      <c r="AT616" s="855"/>
      <c r="AV616" s="857"/>
      <c r="AW616" s="857"/>
      <c r="AX616" s="857"/>
      <c r="AY616" s="857"/>
      <c r="AZ616" s="857"/>
      <c r="BA616" s="857"/>
      <c r="BB616" s="857"/>
      <c r="BC616" s="857"/>
      <c r="BD616" s="857"/>
      <c r="BE616" s="857"/>
      <c r="BF616" s="857"/>
      <c r="BG616" s="857"/>
    </row>
    <row r="617" spans="1:59" ht="15.75" customHeight="1">
      <c r="A617" s="857"/>
      <c r="B617" s="857"/>
      <c r="C617" s="857"/>
      <c r="D617" s="857"/>
      <c r="E617" s="857"/>
      <c r="F617" s="857"/>
      <c r="G617" s="857"/>
      <c r="H617" s="857"/>
      <c r="I617" s="857"/>
      <c r="J617" s="857"/>
      <c r="K617" s="857"/>
      <c r="L617" s="857"/>
      <c r="M617" s="857"/>
      <c r="N617" s="857"/>
      <c r="O617" s="857"/>
      <c r="P617" s="857"/>
      <c r="Q617" s="857"/>
      <c r="R617" s="857"/>
      <c r="S617" s="857"/>
      <c r="T617" s="857"/>
      <c r="U617" s="857"/>
      <c r="V617" s="857"/>
      <c r="W617" s="857"/>
      <c r="X617" s="857"/>
      <c r="Y617" s="857"/>
      <c r="Z617" s="857"/>
      <c r="AA617" s="857"/>
      <c r="AB617" s="857"/>
      <c r="AC617" s="857"/>
      <c r="AD617" s="857"/>
      <c r="AE617" s="857"/>
      <c r="AF617" s="857"/>
      <c r="AG617" s="857"/>
      <c r="AH617" s="857"/>
      <c r="AI617" s="857"/>
      <c r="AJ617" s="857"/>
      <c r="AK617" s="857"/>
      <c r="AL617" s="857"/>
      <c r="AM617" s="857"/>
      <c r="AN617" s="857"/>
      <c r="AO617" s="857"/>
      <c r="AP617" s="857"/>
      <c r="AQ617" s="857"/>
      <c r="AR617" s="857"/>
      <c r="AS617" s="857"/>
      <c r="AT617" s="855"/>
      <c r="AV617" s="857"/>
      <c r="AW617" s="857"/>
      <c r="AX617" s="857"/>
      <c r="AY617" s="857"/>
      <c r="AZ617" s="857"/>
      <c r="BA617" s="857"/>
      <c r="BB617" s="857"/>
      <c r="BC617" s="857"/>
      <c r="BD617" s="857"/>
      <c r="BE617" s="857"/>
      <c r="BF617" s="857"/>
      <c r="BG617" s="857"/>
    </row>
    <row r="618" spans="1:59" ht="15.75" customHeight="1">
      <c r="A618" s="857"/>
      <c r="B618" s="857"/>
      <c r="C618" s="857"/>
      <c r="D618" s="857"/>
      <c r="E618" s="857"/>
      <c r="F618" s="857"/>
      <c r="G618" s="857"/>
      <c r="H618" s="857"/>
      <c r="I618" s="857"/>
      <c r="J618" s="857"/>
      <c r="K618" s="857"/>
      <c r="L618" s="857"/>
      <c r="M618" s="857"/>
      <c r="N618" s="857"/>
      <c r="O618" s="857"/>
      <c r="P618" s="857"/>
      <c r="Q618" s="857"/>
      <c r="R618" s="857"/>
      <c r="S618" s="857"/>
      <c r="T618" s="857"/>
      <c r="U618" s="857"/>
      <c r="V618" s="857"/>
      <c r="W618" s="857"/>
      <c r="X618" s="857"/>
      <c r="Y618" s="857"/>
      <c r="Z618" s="857"/>
      <c r="AA618" s="857"/>
      <c r="AB618" s="857"/>
      <c r="AC618" s="857"/>
      <c r="AD618" s="857"/>
      <c r="AE618" s="857"/>
      <c r="AF618" s="857"/>
      <c r="AG618" s="857"/>
      <c r="AH618" s="857"/>
      <c r="AI618" s="857"/>
      <c r="AJ618" s="857"/>
      <c r="AK618" s="857"/>
      <c r="AL618" s="857"/>
      <c r="AM618" s="857"/>
      <c r="AN618" s="857"/>
      <c r="AO618" s="857"/>
      <c r="AP618" s="857"/>
      <c r="AQ618" s="857"/>
      <c r="AR618" s="857"/>
      <c r="AS618" s="857"/>
      <c r="AT618" s="855"/>
      <c r="AV618" s="857"/>
      <c r="AW618" s="857"/>
      <c r="AX618" s="857"/>
      <c r="AY618" s="857"/>
      <c r="AZ618" s="857"/>
      <c r="BA618" s="857"/>
      <c r="BB618" s="857"/>
      <c r="BC618" s="857"/>
      <c r="BD618" s="857"/>
      <c r="BE618" s="857"/>
      <c r="BF618" s="857"/>
      <c r="BG618" s="857"/>
    </row>
    <row r="619" spans="1:59" ht="15.75" customHeight="1">
      <c r="A619" s="857"/>
      <c r="B619" s="857"/>
      <c r="C619" s="857"/>
      <c r="D619" s="857"/>
      <c r="E619" s="857"/>
      <c r="F619" s="857"/>
      <c r="G619" s="857"/>
      <c r="H619" s="857"/>
      <c r="I619" s="857"/>
      <c r="J619" s="857"/>
      <c r="K619" s="857"/>
      <c r="L619" s="857"/>
      <c r="M619" s="857"/>
      <c r="N619" s="857"/>
      <c r="O619" s="857"/>
      <c r="P619" s="857"/>
      <c r="Q619" s="857"/>
      <c r="R619" s="857"/>
      <c r="S619" s="857"/>
      <c r="T619" s="857"/>
      <c r="U619" s="857"/>
      <c r="V619" s="857"/>
      <c r="W619" s="857"/>
      <c r="X619" s="857"/>
      <c r="Y619" s="857"/>
      <c r="Z619" s="857"/>
      <c r="AA619" s="857"/>
      <c r="AB619" s="857"/>
      <c r="AC619" s="857"/>
      <c r="AD619" s="857"/>
      <c r="AE619" s="857"/>
      <c r="AF619" s="857"/>
      <c r="AG619" s="857"/>
      <c r="AH619" s="857"/>
      <c r="AI619" s="857"/>
      <c r="AJ619" s="857"/>
      <c r="AK619" s="857"/>
      <c r="AL619" s="857"/>
      <c r="AM619" s="857"/>
      <c r="AN619" s="857"/>
      <c r="AO619" s="857"/>
      <c r="AP619" s="857"/>
      <c r="AQ619" s="857"/>
      <c r="AR619" s="857"/>
      <c r="AS619" s="857"/>
      <c r="AT619" s="855"/>
      <c r="AV619" s="857"/>
      <c r="AW619" s="857"/>
      <c r="AX619" s="857"/>
      <c r="AY619" s="857"/>
      <c r="AZ619" s="857"/>
      <c r="BA619" s="857"/>
      <c r="BB619" s="857"/>
      <c r="BC619" s="857"/>
      <c r="BD619" s="857"/>
      <c r="BE619" s="857"/>
      <c r="BF619" s="857"/>
      <c r="BG619" s="857"/>
    </row>
    <row r="620" spans="1:59" ht="15.75" customHeight="1">
      <c r="A620" s="857"/>
      <c r="B620" s="857"/>
      <c r="C620" s="857"/>
      <c r="D620" s="857"/>
      <c r="E620" s="857"/>
      <c r="F620" s="857"/>
      <c r="G620" s="857"/>
      <c r="H620" s="857"/>
      <c r="I620" s="857"/>
      <c r="J620" s="857"/>
      <c r="K620" s="857"/>
      <c r="L620" s="857"/>
      <c r="M620" s="857"/>
      <c r="N620" s="857"/>
      <c r="O620" s="857"/>
      <c r="P620" s="857"/>
      <c r="Q620" s="857"/>
      <c r="R620" s="857"/>
      <c r="S620" s="857"/>
      <c r="T620" s="857"/>
      <c r="U620" s="857"/>
      <c r="V620" s="857"/>
      <c r="W620" s="857"/>
      <c r="X620" s="857"/>
      <c r="Y620" s="857"/>
      <c r="Z620" s="857"/>
      <c r="AA620" s="857"/>
      <c r="AB620" s="857"/>
      <c r="AC620" s="857"/>
      <c r="AD620" s="857"/>
      <c r="AE620" s="857"/>
      <c r="AF620" s="857"/>
      <c r="AG620" s="857"/>
      <c r="AH620" s="857"/>
      <c r="AI620" s="857"/>
      <c r="AJ620" s="857"/>
      <c r="AK620" s="857"/>
      <c r="AL620" s="857"/>
      <c r="AM620" s="857"/>
      <c r="AN620" s="857"/>
      <c r="AO620" s="857"/>
      <c r="AP620" s="857"/>
      <c r="AQ620" s="857"/>
      <c r="AR620" s="857"/>
      <c r="AS620" s="857"/>
      <c r="AT620" s="855"/>
      <c r="AV620" s="857"/>
      <c r="AW620" s="857"/>
      <c r="AX620" s="857"/>
      <c r="AY620" s="857"/>
      <c r="AZ620" s="857"/>
      <c r="BA620" s="857"/>
      <c r="BB620" s="857"/>
      <c r="BC620" s="857"/>
      <c r="BD620" s="857"/>
      <c r="BE620" s="857"/>
      <c r="BF620" s="857"/>
      <c r="BG620" s="857"/>
    </row>
    <row r="621" spans="1:59" ht="15.75" customHeight="1">
      <c r="A621" s="857"/>
      <c r="B621" s="857"/>
      <c r="C621" s="857"/>
      <c r="D621" s="857"/>
      <c r="E621" s="857"/>
      <c r="F621" s="857"/>
      <c r="G621" s="857"/>
      <c r="H621" s="857"/>
      <c r="I621" s="857"/>
      <c r="J621" s="857"/>
      <c r="K621" s="857"/>
      <c r="L621" s="857"/>
      <c r="M621" s="857"/>
      <c r="N621" s="857"/>
      <c r="O621" s="857"/>
      <c r="P621" s="857"/>
      <c r="Q621" s="857"/>
      <c r="R621" s="857"/>
      <c r="S621" s="857"/>
      <c r="T621" s="857"/>
      <c r="U621" s="857"/>
      <c r="V621" s="857"/>
      <c r="W621" s="857"/>
      <c r="X621" s="857"/>
      <c r="Y621" s="857"/>
      <c r="Z621" s="857"/>
      <c r="AA621" s="857"/>
      <c r="AB621" s="857"/>
      <c r="AC621" s="857"/>
      <c r="AD621" s="857"/>
      <c r="AE621" s="857"/>
      <c r="AF621" s="857"/>
      <c r="AG621" s="857"/>
      <c r="AH621" s="857"/>
      <c r="AI621" s="857"/>
      <c r="AJ621" s="857"/>
      <c r="AK621" s="857"/>
      <c r="AL621" s="857"/>
      <c r="AM621" s="857"/>
      <c r="AN621" s="857"/>
      <c r="AO621" s="857"/>
      <c r="AP621" s="857"/>
      <c r="AQ621" s="857"/>
      <c r="AR621" s="857"/>
      <c r="AS621" s="857"/>
      <c r="AT621" s="855"/>
      <c r="AV621" s="857"/>
      <c r="AW621" s="857"/>
      <c r="AX621" s="857"/>
      <c r="AY621" s="857"/>
      <c r="AZ621" s="857"/>
      <c r="BA621" s="857"/>
      <c r="BB621" s="857"/>
      <c r="BC621" s="857"/>
      <c r="BD621" s="857"/>
      <c r="BE621" s="857"/>
      <c r="BF621" s="857"/>
      <c r="BG621" s="857"/>
    </row>
    <row r="622" spans="1:59" ht="15.75" customHeight="1">
      <c r="A622" s="857"/>
      <c r="B622" s="857"/>
      <c r="C622" s="857"/>
      <c r="D622" s="857"/>
      <c r="E622" s="857"/>
      <c r="F622" s="857"/>
      <c r="G622" s="857"/>
      <c r="H622" s="857"/>
      <c r="I622" s="857"/>
      <c r="J622" s="857"/>
      <c r="K622" s="857"/>
      <c r="L622" s="857"/>
      <c r="M622" s="857"/>
      <c r="N622" s="857"/>
      <c r="O622" s="857"/>
      <c r="P622" s="857"/>
      <c r="Q622" s="857"/>
      <c r="R622" s="857"/>
      <c r="S622" s="857"/>
      <c r="T622" s="857"/>
      <c r="U622" s="857"/>
      <c r="V622" s="857"/>
      <c r="W622" s="857"/>
      <c r="X622" s="857"/>
      <c r="Y622" s="857"/>
      <c r="Z622" s="857"/>
      <c r="AA622" s="857"/>
      <c r="AB622" s="857"/>
      <c r="AC622" s="857"/>
      <c r="AD622" s="857"/>
      <c r="AE622" s="857"/>
      <c r="AF622" s="857"/>
      <c r="AG622" s="857"/>
      <c r="AH622" s="857"/>
      <c r="AI622" s="857"/>
      <c r="AJ622" s="857"/>
      <c r="AK622" s="857"/>
      <c r="AL622" s="857"/>
      <c r="AM622" s="857"/>
      <c r="AN622" s="857"/>
      <c r="AO622" s="857"/>
      <c r="AP622" s="857"/>
      <c r="AQ622" s="857"/>
      <c r="AR622" s="857"/>
      <c r="AS622" s="857"/>
      <c r="AT622" s="855"/>
      <c r="AV622" s="857"/>
      <c r="AW622" s="857"/>
      <c r="AX622" s="857"/>
      <c r="AY622" s="857"/>
      <c r="AZ622" s="857"/>
      <c r="BA622" s="857"/>
      <c r="BB622" s="857"/>
      <c r="BC622" s="857"/>
      <c r="BD622" s="857"/>
      <c r="BE622" s="857"/>
      <c r="BF622" s="857"/>
      <c r="BG622" s="857"/>
    </row>
    <row r="623" spans="1:59" ht="15.75" customHeight="1">
      <c r="A623" s="857"/>
      <c r="B623" s="857"/>
      <c r="C623" s="857"/>
      <c r="D623" s="857"/>
      <c r="E623" s="857"/>
      <c r="F623" s="857"/>
      <c r="G623" s="857"/>
      <c r="H623" s="857"/>
      <c r="I623" s="857"/>
      <c r="J623" s="857"/>
      <c r="K623" s="857"/>
      <c r="L623" s="857"/>
      <c r="M623" s="857"/>
      <c r="N623" s="857"/>
      <c r="O623" s="857"/>
      <c r="P623" s="857"/>
      <c r="Q623" s="857"/>
      <c r="R623" s="857"/>
      <c r="S623" s="857"/>
      <c r="T623" s="857"/>
      <c r="U623" s="857"/>
      <c r="V623" s="857"/>
      <c r="W623" s="857"/>
      <c r="X623" s="857"/>
      <c r="Y623" s="857"/>
      <c r="Z623" s="857"/>
      <c r="AA623" s="857"/>
      <c r="AB623" s="857"/>
      <c r="AC623" s="857"/>
      <c r="AD623" s="857"/>
      <c r="AE623" s="857"/>
      <c r="AF623" s="857"/>
      <c r="AG623" s="857"/>
      <c r="AH623" s="857"/>
      <c r="AI623" s="857"/>
      <c r="AJ623" s="857"/>
      <c r="AK623" s="857"/>
      <c r="AL623" s="857"/>
      <c r="AM623" s="857"/>
      <c r="AN623" s="857"/>
      <c r="AO623" s="857"/>
      <c r="AP623" s="857"/>
      <c r="AQ623" s="857"/>
      <c r="AR623" s="857"/>
      <c r="AS623" s="857"/>
      <c r="AT623" s="855"/>
      <c r="AV623" s="857"/>
      <c r="AW623" s="857"/>
      <c r="AX623" s="857"/>
      <c r="AY623" s="857"/>
      <c r="AZ623" s="857"/>
      <c r="BA623" s="857"/>
      <c r="BB623" s="857"/>
      <c r="BC623" s="857"/>
      <c r="BD623" s="857"/>
      <c r="BE623" s="857"/>
      <c r="BF623" s="857"/>
      <c r="BG623" s="857"/>
    </row>
    <row r="624" spans="1:59" ht="15.75" customHeight="1">
      <c r="A624" s="857"/>
      <c r="B624" s="857"/>
      <c r="C624" s="857"/>
      <c r="D624" s="857"/>
      <c r="E624" s="857"/>
      <c r="F624" s="857"/>
      <c r="G624" s="857"/>
      <c r="H624" s="857"/>
      <c r="I624" s="857"/>
      <c r="J624" s="857"/>
      <c r="K624" s="857"/>
      <c r="L624" s="857"/>
      <c r="M624" s="857"/>
      <c r="N624" s="857"/>
      <c r="O624" s="857"/>
      <c r="P624" s="857"/>
      <c r="Q624" s="857"/>
      <c r="R624" s="857"/>
      <c r="S624" s="857"/>
      <c r="T624" s="857"/>
      <c r="U624" s="857"/>
      <c r="V624" s="857"/>
      <c r="W624" s="857"/>
      <c r="X624" s="857"/>
      <c r="Y624" s="857"/>
      <c r="Z624" s="857"/>
      <c r="AA624" s="857"/>
      <c r="AB624" s="857"/>
      <c r="AC624" s="857"/>
      <c r="AD624" s="857"/>
      <c r="AE624" s="857"/>
      <c r="AF624" s="857"/>
      <c r="AG624" s="857"/>
      <c r="AH624" s="857"/>
      <c r="AI624" s="857"/>
      <c r="AJ624" s="857"/>
      <c r="AK624" s="857"/>
      <c r="AL624" s="857"/>
      <c r="AM624" s="857"/>
      <c r="AN624" s="857"/>
      <c r="AO624" s="857"/>
      <c r="AP624" s="857"/>
      <c r="AQ624" s="857"/>
      <c r="AR624" s="857"/>
      <c r="AS624" s="857"/>
      <c r="AT624" s="855"/>
      <c r="AV624" s="857"/>
      <c r="AW624" s="857"/>
      <c r="AX624" s="857"/>
      <c r="AY624" s="857"/>
      <c r="AZ624" s="857"/>
      <c r="BA624" s="857"/>
      <c r="BB624" s="857"/>
      <c r="BC624" s="857"/>
      <c r="BD624" s="857"/>
      <c r="BE624" s="857"/>
      <c r="BF624" s="857"/>
      <c r="BG624" s="857"/>
    </row>
    <row r="625" spans="1:59" ht="15.75" customHeight="1">
      <c r="A625" s="857"/>
      <c r="B625" s="857"/>
      <c r="C625" s="857"/>
      <c r="D625" s="857"/>
      <c r="E625" s="857"/>
      <c r="F625" s="857"/>
      <c r="G625" s="857"/>
      <c r="H625" s="857"/>
      <c r="I625" s="857"/>
      <c r="J625" s="857"/>
      <c r="K625" s="857"/>
      <c r="L625" s="857"/>
      <c r="M625" s="857"/>
      <c r="N625" s="857"/>
      <c r="O625" s="857"/>
      <c r="P625" s="857"/>
      <c r="Q625" s="857"/>
      <c r="R625" s="857"/>
      <c r="S625" s="857"/>
      <c r="T625" s="857"/>
      <c r="U625" s="857"/>
      <c r="V625" s="857"/>
      <c r="W625" s="857"/>
      <c r="X625" s="857"/>
      <c r="Y625" s="857"/>
      <c r="Z625" s="857"/>
      <c r="AA625" s="857"/>
      <c r="AB625" s="857"/>
      <c r="AC625" s="857"/>
      <c r="AD625" s="857"/>
      <c r="AE625" s="857"/>
      <c r="AF625" s="857"/>
      <c r="AG625" s="857"/>
      <c r="AH625" s="857"/>
      <c r="AI625" s="857"/>
      <c r="AJ625" s="857"/>
      <c r="AK625" s="857"/>
      <c r="AL625" s="857"/>
      <c r="AM625" s="857"/>
      <c r="AN625" s="857"/>
      <c r="AO625" s="857"/>
      <c r="AP625" s="857"/>
      <c r="AQ625" s="857"/>
      <c r="AR625" s="857"/>
      <c r="AS625" s="857"/>
      <c r="AT625" s="855"/>
      <c r="AV625" s="857"/>
      <c r="AW625" s="857"/>
      <c r="AX625" s="857"/>
      <c r="AY625" s="857"/>
      <c r="AZ625" s="857"/>
      <c r="BA625" s="857"/>
      <c r="BB625" s="857"/>
      <c r="BC625" s="857"/>
      <c r="BD625" s="857"/>
      <c r="BE625" s="857"/>
      <c r="BF625" s="857"/>
      <c r="BG625" s="857"/>
    </row>
    <row r="626" spans="1:59" ht="15.75" customHeight="1">
      <c r="A626" s="857"/>
      <c r="B626" s="857"/>
      <c r="C626" s="857"/>
      <c r="D626" s="857"/>
      <c r="E626" s="857"/>
      <c r="F626" s="857"/>
      <c r="G626" s="857"/>
      <c r="H626" s="857"/>
      <c r="I626" s="857"/>
      <c r="J626" s="857"/>
      <c r="K626" s="857"/>
      <c r="L626" s="857"/>
      <c r="M626" s="857"/>
      <c r="N626" s="857"/>
      <c r="O626" s="857"/>
      <c r="P626" s="857"/>
      <c r="Q626" s="857"/>
      <c r="R626" s="857"/>
      <c r="S626" s="857"/>
      <c r="T626" s="857"/>
      <c r="U626" s="857"/>
      <c r="V626" s="857"/>
      <c r="W626" s="857"/>
      <c r="X626" s="857"/>
      <c r="Y626" s="857"/>
      <c r="Z626" s="857"/>
      <c r="AA626" s="857"/>
      <c r="AB626" s="857"/>
      <c r="AC626" s="857"/>
      <c r="AD626" s="857"/>
      <c r="AE626" s="857"/>
      <c r="AF626" s="857"/>
      <c r="AG626" s="857"/>
      <c r="AH626" s="857"/>
      <c r="AI626" s="857"/>
      <c r="AJ626" s="857"/>
      <c r="AK626" s="857"/>
      <c r="AL626" s="857"/>
      <c r="AM626" s="857"/>
      <c r="AN626" s="857"/>
      <c r="AO626" s="857"/>
      <c r="AP626" s="857"/>
      <c r="AQ626" s="857"/>
      <c r="AR626" s="857"/>
      <c r="AS626" s="857"/>
      <c r="AT626" s="855"/>
      <c r="AV626" s="857"/>
      <c r="AW626" s="857"/>
      <c r="AX626" s="857"/>
      <c r="AY626" s="857"/>
      <c r="AZ626" s="857"/>
      <c r="BA626" s="857"/>
      <c r="BB626" s="857"/>
      <c r="BC626" s="857"/>
      <c r="BD626" s="857"/>
      <c r="BE626" s="857"/>
      <c r="BF626" s="857"/>
      <c r="BG626" s="857"/>
    </row>
    <row r="627" spans="1:59" ht="15.75" customHeight="1">
      <c r="A627" s="857"/>
      <c r="B627" s="857"/>
      <c r="C627" s="857"/>
      <c r="D627" s="857"/>
      <c r="E627" s="857"/>
      <c r="F627" s="857"/>
      <c r="G627" s="857"/>
      <c r="H627" s="857"/>
      <c r="I627" s="857"/>
      <c r="J627" s="857"/>
      <c r="K627" s="857"/>
      <c r="L627" s="857"/>
      <c r="M627" s="857"/>
      <c r="N627" s="857"/>
      <c r="O627" s="857"/>
      <c r="P627" s="857"/>
      <c r="Q627" s="857"/>
      <c r="R627" s="857"/>
      <c r="S627" s="857"/>
      <c r="T627" s="857"/>
      <c r="U627" s="857"/>
      <c r="V627" s="857"/>
      <c r="W627" s="857"/>
      <c r="X627" s="857"/>
      <c r="Y627" s="857"/>
      <c r="Z627" s="857"/>
      <c r="AA627" s="857"/>
      <c r="AB627" s="857"/>
      <c r="AC627" s="857"/>
      <c r="AD627" s="857"/>
      <c r="AE627" s="857"/>
      <c r="AF627" s="857"/>
      <c r="AG627" s="857"/>
      <c r="AH627" s="857"/>
      <c r="AI627" s="857"/>
      <c r="AJ627" s="857"/>
      <c r="AK627" s="857"/>
      <c r="AL627" s="857"/>
      <c r="AM627" s="857"/>
      <c r="AN627" s="857"/>
      <c r="AO627" s="857"/>
      <c r="AP627" s="857"/>
      <c r="AQ627" s="857"/>
      <c r="AR627" s="857"/>
      <c r="AS627" s="857"/>
      <c r="AT627" s="855"/>
      <c r="AV627" s="857"/>
      <c r="AW627" s="857"/>
      <c r="AX627" s="857"/>
      <c r="AY627" s="857"/>
      <c r="AZ627" s="857"/>
      <c r="BA627" s="857"/>
      <c r="BB627" s="857"/>
      <c r="BC627" s="857"/>
      <c r="BD627" s="857"/>
      <c r="BE627" s="857"/>
      <c r="BF627" s="857"/>
      <c r="BG627" s="857"/>
    </row>
    <row r="628" spans="1:59" ht="15.75" customHeight="1">
      <c r="A628" s="857"/>
      <c r="B628" s="857"/>
      <c r="C628" s="857"/>
      <c r="D628" s="857"/>
      <c r="E628" s="857"/>
      <c r="F628" s="857"/>
      <c r="G628" s="857"/>
      <c r="H628" s="857"/>
      <c r="I628" s="857"/>
      <c r="J628" s="857"/>
      <c r="K628" s="857"/>
      <c r="L628" s="857"/>
      <c r="M628" s="857"/>
      <c r="N628" s="857"/>
      <c r="O628" s="857"/>
      <c r="P628" s="857"/>
      <c r="Q628" s="857"/>
      <c r="R628" s="857"/>
      <c r="S628" s="857"/>
      <c r="T628" s="857"/>
      <c r="U628" s="857"/>
      <c r="V628" s="857"/>
      <c r="W628" s="857"/>
      <c r="X628" s="857"/>
      <c r="Y628" s="857"/>
      <c r="Z628" s="857"/>
      <c r="AA628" s="857"/>
      <c r="AB628" s="857"/>
      <c r="AC628" s="857"/>
      <c r="AD628" s="857"/>
      <c r="AE628" s="857"/>
      <c r="AF628" s="857"/>
      <c r="AG628" s="857"/>
      <c r="AH628" s="857"/>
      <c r="AI628" s="857"/>
      <c r="AJ628" s="857"/>
      <c r="AK628" s="857"/>
      <c r="AL628" s="857"/>
      <c r="AM628" s="857"/>
      <c r="AN628" s="857"/>
      <c r="AO628" s="857"/>
      <c r="AP628" s="857"/>
      <c r="AQ628" s="857"/>
      <c r="AR628" s="857"/>
      <c r="AS628" s="857"/>
      <c r="AT628" s="855"/>
      <c r="AV628" s="857"/>
      <c r="AW628" s="857"/>
      <c r="AX628" s="857"/>
      <c r="AY628" s="857"/>
      <c r="AZ628" s="857"/>
      <c r="BA628" s="857"/>
      <c r="BB628" s="857"/>
      <c r="BC628" s="857"/>
      <c r="BD628" s="857"/>
      <c r="BE628" s="857"/>
      <c r="BF628" s="857"/>
      <c r="BG628" s="857"/>
    </row>
    <row r="629" spans="1:59" ht="15.75" customHeight="1">
      <c r="A629" s="857"/>
      <c r="B629" s="857"/>
      <c r="C629" s="857"/>
      <c r="D629" s="857"/>
      <c r="E629" s="857"/>
      <c r="F629" s="857"/>
      <c r="G629" s="857"/>
      <c r="H629" s="857"/>
      <c r="I629" s="857"/>
      <c r="J629" s="857"/>
      <c r="K629" s="857"/>
      <c r="L629" s="857"/>
      <c r="M629" s="857"/>
      <c r="N629" s="857"/>
      <c r="O629" s="857"/>
      <c r="P629" s="857"/>
      <c r="Q629" s="857"/>
      <c r="R629" s="857"/>
      <c r="S629" s="857"/>
      <c r="T629" s="857"/>
      <c r="U629" s="857"/>
      <c r="V629" s="857"/>
      <c r="W629" s="857"/>
      <c r="X629" s="857"/>
      <c r="Y629" s="857"/>
      <c r="Z629" s="857"/>
      <c r="AA629" s="857"/>
      <c r="AB629" s="857"/>
      <c r="AC629" s="857"/>
      <c r="AD629" s="857"/>
      <c r="AE629" s="857"/>
      <c r="AF629" s="857"/>
      <c r="AG629" s="857"/>
      <c r="AH629" s="857"/>
      <c r="AI629" s="857"/>
      <c r="AJ629" s="857"/>
      <c r="AK629" s="857"/>
      <c r="AL629" s="857"/>
      <c r="AM629" s="857"/>
      <c r="AN629" s="857"/>
      <c r="AO629" s="857"/>
      <c r="AP629" s="857"/>
      <c r="AQ629" s="857"/>
      <c r="AR629" s="857"/>
      <c r="AS629" s="857"/>
      <c r="AT629" s="855"/>
      <c r="AV629" s="857"/>
      <c r="AW629" s="857"/>
      <c r="AX629" s="857"/>
      <c r="AY629" s="857"/>
      <c r="AZ629" s="857"/>
      <c r="BA629" s="857"/>
      <c r="BB629" s="857"/>
      <c r="BC629" s="857"/>
      <c r="BD629" s="857"/>
      <c r="BE629" s="857"/>
      <c r="BF629" s="857"/>
      <c r="BG629" s="857"/>
    </row>
    <row r="630" spans="1:59" ht="15.75" customHeight="1">
      <c r="A630" s="857"/>
      <c r="B630" s="857"/>
      <c r="C630" s="857"/>
      <c r="D630" s="857"/>
      <c r="E630" s="857"/>
      <c r="F630" s="857"/>
      <c r="G630" s="857"/>
      <c r="H630" s="857"/>
      <c r="I630" s="857"/>
      <c r="J630" s="857"/>
      <c r="K630" s="857"/>
      <c r="L630" s="857"/>
      <c r="M630" s="857"/>
      <c r="N630" s="857"/>
      <c r="O630" s="857"/>
      <c r="P630" s="857"/>
      <c r="Q630" s="857"/>
      <c r="R630" s="857"/>
      <c r="S630" s="857"/>
      <c r="T630" s="857"/>
      <c r="U630" s="857"/>
      <c r="V630" s="857"/>
      <c r="W630" s="857"/>
      <c r="X630" s="857"/>
      <c r="Y630" s="857"/>
      <c r="Z630" s="857"/>
      <c r="AA630" s="857"/>
      <c r="AB630" s="857"/>
      <c r="AC630" s="857"/>
      <c r="AD630" s="857"/>
      <c r="AE630" s="857"/>
      <c r="AF630" s="857"/>
      <c r="AG630" s="857"/>
      <c r="AH630" s="857"/>
      <c r="AI630" s="857"/>
      <c r="AJ630" s="857"/>
      <c r="AK630" s="857"/>
      <c r="AL630" s="857"/>
      <c r="AM630" s="857"/>
      <c r="AN630" s="857"/>
      <c r="AO630" s="857"/>
      <c r="AP630" s="857"/>
      <c r="AQ630" s="857"/>
      <c r="AR630" s="857"/>
      <c r="AS630" s="857"/>
      <c r="AT630" s="855"/>
      <c r="AV630" s="857"/>
      <c r="AW630" s="857"/>
      <c r="AX630" s="857"/>
      <c r="AY630" s="857"/>
      <c r="AZ630" s="857"/>
      <c r="BA630" s="857"/>
      <c r="BB630" s="857"/>
      <c r="BC630" s="857"/>
      <c r="BD630" s="857"/>
      <c r="BE630" s="857"/>
      <c r="BF630" s="857"/>
      <c r="BG630" s="857"/>
    </row>
    <row r="631" spans="1:59" ht="15.75" customHeight="1">
      <c r="A631" s="857"/>
      <c r="B631" s="857"/>
      <c r="C631" s="857"/>
      <c r="D631" s="857"/>
      <c r="E631" s="857"/>
      <c r="F631" s="857"/>
      <c r="G631" s="857"/>
      <c r="H631" s="857"/>
      <c r="I631" s="857"/>
      <c r="J631" s="857"/>
      <c r="K631" s="857"/>
      <c r="L631" s="857"/>
      <c r="M631" s="857"/>
      <c r="N631" s="857"/>
      <c r="O631" s="857"/>
      <c r="P631" s="857"/>
      <c r="Q631" s="857"/>
      <c r="R631" s="857"/>
      <c r="S631" s="857"/>
      <c r="T631" s="857"/>
      <c r="U631" s="857"/>
      <c r="V631" s="857"/>
      <c r="W631" s="857"/>
      <c r="X631" s="857"/>
      <c r="Y631" s="857"/>
      <c r="Z631" s="857"/>
      <c r="AA631" s="857"/>
      <c r="AB631" s="857"/>
      <c r="AC631" s="857"/>
      <c r="AD631" s="857"/>
      <c r="AE631" s="857"/>
      <c r="AF631" s="857"/>
      <c r="AG631" s="857"/>
      <c r="AH631" s="857"/>
      <c r="AI631" s="857"/>
      <c r="AJ631" s="857"/>
      <c r="AK631" s="857"/>
      <c r="AL631" s="857"/>
      <c r="AM631" s="857"/>
      <c r="AN631" s="857"/>
      <c r="AO631" s="857"/>
      <c r="AP631" s="857"/>
      <c r="AQ631" s="857"/>
      <c r="AR631" s="857"/>
      <c r="AS631" s="857"/>
      <c r="AT631" s="855"/>
      <c r="AV631" s="857"/>
      <c r="AW631" s="857"/>
      <c r="AX631" s="857"/>
      <c r="AY631" s="857"/>
      <c r="AZ631" s="857"/>
      <c r="BA631" s="857"/>
      <c r="BB631" s="857"/>
      <c r="BC631" s="857"/>
      <c r="BD631" s="857"/>
      <c r="BE631" s="857"/>
      <c r="BF631" s="857"/>
      <c r="BG631" s="857"/>
    </row>
    <row r="632" spans="1:59" ht="15.75" customHeight="1">
      <c r="A632" s="857"/>
      <c r="B632" s="857"/>
      <c r="C632" s="857"/>
      <c r="D632" s="857"/>
      <c r="E632" s="857"/>
      <c r="F632" s="857"/>
      <c r="G632" s="857"/>
      <c r="H632" s="857"/>
      <c r="I632" s="857"/>
      <c r="J632" s="857"/>
      <c r="K632" s="857"/>
      <c r="L632" s="857"/>
      <c r="M632" s="857"/>
      <c r="N632" s="857"/>
      <c r="O632" s="857"/>
      <c r="P632" s="857"/>
      <c r="Q632" s="857"/>
      <c r="R632" s="857"/>
      <c r="S632" s="857"/>
      <c r="T632" s="857"/>
      <c r="U632" s="857"/>
      <c r="V632" s="857"/>
      <c r="W632" s="857"/>
      <c r="X632" s="857"/>
      <c r="Y632" s="857"/>
      <c r="Z632" s="857"/>
      <c r="AA632" s="857"/>
      <c r="AB632" s="857"/>
      <c r="AC632" s="857"/>
      <c r="AD632" s="857"/>
      <c r="AE632" s="857"/>
      <c r="AF632" s="857"/>
      <c r="AG632" s="857"/>
      <c r="AH632" s="857"/>
      <c r="AI632" s="857"/>
      <c r="AJ632" s="857"/>
      <c r="AK632" s="857"/>
      <c r="AL632" s="857"/>
      <c r="AM632" s="857"/>
      <c r="AN632" s="857"/>
      <c r="AO632" s="857"/>
      <c r="AP632" s="857"/>
      <c r="AQ632" s="857"/>
      <c r="AR632" s="857"/>
      <c r="AS632" s="857"/>
      <c r="AT632" s="855"/>
      <c r="AV632" s="857"/>
      <c r="AW632" s="857"/>
      <c r="AX632" s="857"/>
      <c r="AY632" s="857"/>
      <c r="AZ632" s="857"/>
      <c r="BA632" s="857"/>
      <c r="BB632" s="857"/>
      <c r="BC632" s="857"/>
      <c r="BD632" s="857"/>
      <c r="BE632" s="857"/>
      <c r="BF632" s="857"/>
      <c r="BG632" s="857"/>
    </row>
    <row r="633" spans="1:59" ht="15.75" customHeight="1">
      <c r="A633" s="857"/>
      <c r="B633" s="857"/>
      <c r="C633" s="857"/>
      <c r="D633" s="857"/>
      <c r="E633" s="857"/>
      <c r="F633" s="857"/>
      <c r="G633" s="857"/>
      <c r="H633" s="857"/>
      <c r="I633" s="857"/>
      <c r="J633" s="857"/>
      <c r="K633" s="857"/>
      <c r="L633" s="857"/>
      <c r="M633" s="857"/>
      <c r="N633" s="857"/>
      <c r="O633" s="857"/>
      <c r="P633" s="857"/>
      <c r="Q633" s="857"/>
      <c r="R633" s="857"/>
      <c r="S633" s="857"/>
      <c r="T633" s="857"/>
      <c r="U633" s="857"/>
      <c r="V633" s="857"/>
      <c r="W633" s="857"/>
      <c r="X633" s="857"/>
      <c r="Y633" s="857"/>
      <c r="Z633" s="857"/>
      <c r="AA633" s="857"/>
      <c r="AB633" s="857"/>
      <c r="AC633" s="857"/>
      <c r="AD633" s="857"/>
      <c r="AE633" s="857"/>
      <c r="AF633" s="857"/>
      <c r="AG633" s="857"/>
      <c r="AH633" s="857"/>
      <c r="AI633" s="857"/>
      <c r="AJ633" s="857"/>
      <c r="AK633" s="857"/>
      <c r="AL633" s="857"/>
      <c r="AM633" s="857"/>
      <c r="AN633" s="857"/>
      <c r="AO633" s="857"/>
      <c r="AP633" s="857"/>
      <c r="AQ633" s="857"/>
      <c r="AR633" s="857"/>
      <c r="AS633" s="857"/>
      <c r="AT633" s="855"/>
      <c r="AV633" s="857"/>
      <c r="AW633" s="857"/>
      <c r="AX633" s="857"/>
      <c r="AY633" s="857"/>
      <c r="AZ633" s="857"/>
      <c r="BA633" s="857"/>
      <c r="BB633" s="857"/>
      <c r="BC633" s="857"/>
      <c r="BD633" s="857"/>
      <c r="BE633" s="857"/>
      <c r="BF633" s="857"/>
      <c r="BG633" s="857"/>
    </row>
    <row r="634" spans="1:59" ht="15.75" customHeight="1">
      <c r="A634" s="857"/>
      <c r="B634" s="857"/>
      <c r="C634" s="857"/>
      <c r="D634" s="857"/>
      <c r="E634" s="857"/>
      <c r="F634" s="857"/>
      <c r="G634" s="857"/>
      <c r="H634" s="857"/>
      <c r="I634" s="857"/>
      <c r="J634" s="857"/>
      <c r="K634" s="857"/>
      <c r="L634" s="857"/>
      <c r="M634" s="857"/>
      <c r="N634" s="857"/>
      <c r="O634" s="857"/>
      <c r="P634" s="857"/>
      <c r="Q634" s="857"/>
      <c r="R634" s="857"/>
      <c r="S634" s="857"/>
      <c r="T634" s="857"/>
      <c r="U634" s="857"/>
      <c r="V634" s="857"/>
      <c r="W634" s="857"/>
      <c r="X634" s="857"/>
      <c r="Y634" s="857"/>
      <c r="Z634" s="857"/>
      <c r="AA634" s="857"/>
      <c r="AB634" s="857"/>
      <c r="AC634" s="857"/>
      <c r="AD634" s="857"/>
      <c r="AE634" s="857"/>
      <c r="AF634" s="857"/>
      <c r="AG634" s="857"/>
      <c r="AH634" s="857"/>
      <c r="AI634" s="857"/>
      <c r="AJ634" s="857"/>
      <c r="AK634" s="857"/>
      <c r="AL634" s="857"/>
      <c r="AM634" s="857"/>
      <c r="AN634" s="857"/>
      <c r="AO634" s="857"/>
      <c r="AP634" s="857"/>
      <c r="AQ634" s="857"/>
      <c r="AR634" s="857"/>
      <c r="AS634" s="857"/>
      <c r="AT634" s="855"/>
      <c r="AV634" s="857"/>
      <c r="AW634" s="857"/>
      <c r="AX634" s="857"/>
      <c r="AY634" s="857"/>
      <c r="AZ634" s="857"/>
      <c r="BA634" s="857"/>
      <c r="BB634" s="857"/>
      <c r="BC634" s="857"/>
      <c r="BD634" s="857"/>
      <c r="BE634" s="857"/>
      <c r="BF634" s="857"/>
      <c r="BG634" s="857"/>
    </row>
    <row r="635" spans="1:59" ht="15.75" customHeight="1">
      <c r="A635" s="857"/>
      <c r="B635" s="857"/>
      <c r="C635" s="857"/>
      <c r="D635" s="857"/>
      <c r="E635" s="857"/>
      <c r="F635" s="857"/>
      <c r="G635" s="857"/>
      <c r="H635" s="857"/>
      <c r="I635" s="857"/>
      <c r="J635" s="857"/>
      <c r="K635" s="857"/>
      <c r="L635" s="857"/>
      <c r="M635" s="857"/>
      <c r="N635" s="857"/>
      <c r="O635" s="857"/>
      <c r="P635" s="857"/>
      <c r="Q635" s="857"/>
      <c r="R635" s="857"/>
      <c r="S635" s="857"/>
      <c r="T635" s="857"/>
      <c r="U635" s="857"/>
      <c r="V635" s="857"/>
      <c r="W635" s="857"/>
      <c r="X635" s="857"/>
      <c r="Y635" s="857"/>
      <c r="Z635" s="857"/>
      <c r="AA635" s="857"/>
      <c r="AB635" s="857"/>
      <c r="AC635" s="857"/>
      <c r="AD635" s="857"/>
      <c r="AE635" s="857"/>
      <c r="AF635" s="857"/>
      <c r="AG635" s="857"/>
      <c r="AH635" s="857"/>
      <c r="AI635" s="857"/>
      <c r="AJ635" s="857"/>
      <c r="AK635" s="857"/>
      <c r="AL635" s="857"/>
      <c r="AM635" s="857"/>
      <c r="AN635" s="857"/>
      <c r="AO635" s="857"/>
      <c r="AP635" s="857"/>
      <c r="AQ635" s="857"/>
      <c r="AR635" s="857"/>
      <c r="AS635" s="857"/>
      <c r="AT635" s="855"/>
      <c r="AV635" s="857"/>
      <c r="AW635" s="857"/>
      <c r="AX635" s="857"/>
      <c r="AY635" s="857"/>
      <c r="AZ635" s="857"/>
      <c r="BA635" s="857"/>
      <c r="BB635" s="857"/>
      <c r="BC635" s="857"/>
      <c r="BD635" s="857"/>
      <c r="BE635" s="857"/>
      <c r="BF635" s="857"/>
      <c r="BG635" s="857"/>
    </row>
    <row r="636" spans="1:59" ht="15.75" customHeight="1">
      <c r="A636" s="857"/>
      <c r="B636" s="857"/>
      <c r="C636" s="857"/>
      <c r="D636" s="857"/>
      <c r="E636" s="857"/>
      <c r="F636" s="857"/>
      <c r="G636" s="857"/>
      <c r="H636" s="857"/>
      <c r="I636" s="857"/>
      <c r="J636" s="857"/>
      <c r="K636" s="857"/>
      <c r="L636" s="857"/>
      <c r="M636" s="857"/>
      <c r="N636" s="857"/>
      <c r="O636" s="857"/>
      <c r="P636" s="857"/>
      <c r="Q636" s="857"/>
      <c r="R636" s="857"/>
      <c r="S636" s="857"/>
      <c r="T636" s="857"/>
      <c r="U636" s="857"/>
      <c r="V636" s="857"/>
      <c r="W636" s="857"/>
      <c r="X636" s="857"/>
      <c r="Y636" s="857"/>
      <c r="Z636" s="857"/>
      <c r="AA636" s="857"/>
      <c r="AB636" s="857"/>
      <c r="AC636" s="857"/>
      <c r="AD636" s="857"/>
      <c r="AE636" s="857"/>
      <c r="AF636" s="857"/>
      <c r="AG636" s="857"/>
      <c r="AH636" s="857"/>
      <c r="AI636" s="857"/>
      <c r="AJ636" s="857"/>
      <c r="AK636" s="857"/>
      <c r="AL636" s="857"/>
      <c r="AM636" s="857"/>
      <c r="AN636" s="857"/>
      <c r="AO636" s="857"/>
      <c r="AP636" s="857"/>
      <c r="AQ636" s="857"/>
      <c r="AR636" s="857"/>
      <c r="AS636" s="857"/>
      <c r="AT636" s="855"/>
      <c r="AV636" s="857"/>
      <c r="AW636" s="857"/>
      <c r="AX636" s="857"/>
      <c r="AY636" s="857"/>
      <c r="AZ636" s="857"/>
      <c r="BA636" s="857"/>
      <c r="BB636" s="857"/>
      <c r="BC636" s="857"/>
      <c r="BD636" s="857"/>
      <c r="BE636" s="857"/>
      <c r="BF636" s="857"/>
      <c r="BG636" s="857"/>
    </row>
    <row r="637" spans="1:59" ht="15.75" customHeight="1">
      <c r="A637" s="857"/>
      <c r="B637" s="857"/>
      <c r="C637" s="857"/>
      <c r="D637" s="857"/>
      <c r="E637" s="857"/>
      <c r="F637" s="857"/>
      <c r="G637" s="857"/>
      <c r="H637" s="857"/>
      <c r="I637" s="857"/>
      <c r="J637" s="857"/>
      <c r="K637" s="857"/>
      <c r="L637" s="857"/>
      <c r="M637" s="857"/>
      <c r="N637" s="857"/>
      <c r="O637" s="857"/>
      <c r="P637" s="857"/>
      <c r="Q637" s="857"/>
      <c r="R637" s="857"/>
      <c r="S637" s="857"/>
      <c r="T637" s="857"/>
      <c r="U637" s="857"/>
      <c r="V637" s="857"/>
      <c r="W637" s="857"/>
      <c r="X637" s="857"/>
      <c r="Y637" s="857"/>
      <c r="Z637" s="857"/>
      <c r="AA637" s="857"/>
      <c r="AB637" s="857"/>
      <c r="AC637" s="857"/>
      <c r="AD637" s="857"/>
      <c r="AE637" s="857"/>
      <c r="AF637" s="857"/>
      <c r="AG637" s="857"/>
      <c r="AH637" s="857"/>
      <c r="AI637" s="857"/>
      <c r="AJ637" s="857"/>
      <c r="AK637" s="857"/>
      <c r="AL637" s="857"/>
      <c r="AM637" s="857"/>
      <c r="AN637" s="857"/>
      <c r="AO637" s="857"/>
      <c r="AP637" s="857"/>
      <c r="AQ637" s="857"/>
      <c r="AR637" s="857"/>
      <c r="AS637" s="857"/>
      <c r="AT637" s="855"/>
      <c r="AV637" s="857"/>
      <c r="AW637" s="857"/>
      <c r="AX637" s="857"/>
      <c r="AY637" s="857"/>
      <c r="AZ637" s="857"/>
      <c r="BA637" s="857"/>
      <c r="BB637" s="857"/>
      <c r="BC637" s="857"/>
      <c r="BD637" s="857"/>
      <c r="BE637" s="857"/>
      <c r="BF637" s="857"/>
      <c r="BG637" s="857"/>
    </row>
    <row r="638" spans="1:59" ht="15.75" customHeight="1">
      <c r="A638" s="857"/>
      <c r="B638" s="857"/>
      <c r="C638" s="857"/>
      <c r="D638" s="857"/>
      <c r="E638" s="857"/>
      <c r="F638" s="857"/>
      <c r="G638" s="857"/>
      <c r="H638" s="857"/>
      <c r="I638" s="857"/>
      <c r="J638" s="857"/>
      <c r="K638" s="857"/>
      <c r="L638" s="857"/>
      <c r="M638" s="857"/>
      <c r="N638" s="857"/>
      <c r="O638" s="857"/>
      <c r="P638" s="857"/>
      <c r="Q638" s="857"/>
      <c r="R638" s="857"/>
      <c r="S638" s="857"/>
      <c r="T638" s="857"/>
      <c r="U638" s="857"/>
      <c r="V638" s="857"/>
      <c r="W638" s="857"/>
      <c r="X638" s="857"/>
      <c r="Y638" s="857"/>
      <c r="Z638" s="857"/>
      <c r="AA638" s="857"/>
      <c r="AB638" s="857"/>
      <c r="AC638" s="857"/>
      <c r="AD638" s="857"/>
      <c r="AE638" s="857"/>
      <c r="AF638" s="857"/>
      <c r="AG638" s="857"/>
      <c r="AH638" s="857"/>
      <c r="AI638" s="857"/>
      <c r="AJ638" s="857"/>
      <c r="AK638" s="857"/>
      <c r="AL638" s="857"/>
      <c r="AM638" s="857"/>
      <c r="AN638" s="857"/>
      <c r="AO638" s="857"/>
      <c r="AP638" s="857"/>
      <c r="AQ638" s="857"/>
      <c r="AR638" s="857"/>
      <c r="AS638" s="857"/>
      <c r="AT638" s="855"/>
      <c r="AV638" s="857"/>
      <c r="AW638" s="857"/>
      <c r="AX638" s="857"/>
      <c r="AY638" s="857"/>
      <c r="AZ638" s="857"/>
      <c r="BA638" s="857"/>
      <c r="BB638" s="857"/>
      <c r="BC638" s="857"/>
      <c r="BD638" s="857"/>
      <c r="BE638" s="857"/>
      <c r="BF638" s="857"/>
      <c r="BG638" s="857"/>
    </row>
    <row r="639" spans="1:59" ht="15.75" customHeight="1">
      <c r="A639" s="857"/>
      <c r="B639" s="857"/>
      <c r="C639" s="857"/>
      <c r="D639" s="857"/>
      <c r="E639" s="857"/>
      <c r="F639" s="857"/>
      <c r="G639" s="857"/>
      <c r="H639" s="857"/>
      <c r="I639" s="857"/>
      <c r="J639" s="857"/>
      <c r="K639" s="857"/>
      <c r="L639" s="857"/>
      <c r="M639" s="857"/>
      <c r="N639" s="857"/>
      <c r="O639" s="857"/>
      <c r="P639" s="857"/>
      <c r="Q639" s="857"/>
      <c r="R639" s="857"/>
      <c r="S639" s="857"/>
      <c r="T639" s="857"/>
      <c r="U639" s="857"/>
      <c r="V639" s="857"/>
      <c r="W639" s="857"/>
      <c r="X639" s="857"/>
      <c r="Y639" s="857"/>
      <c r="Z639" s="857"/>
      <c r="AA639" s="857"/>
      <c r="AB639" s="857"/>
      <c r="AC639" s="857"/>
      <c r="AD639" s="857"/>
      <c r="AE639" s="857"/>
      <c r="AF639" s="857"/>
      <c r="AG639" s="857"/>
      <c r="AH639" s="857"/>
      <c r="AI639" s="857"/>
      <c r="AJ639" s="857"/>
      <c r="AK639" s="857"/>
      <c r="AL639" s="857"/>
      <c r="AM639" s="857"/>
      <c r="AN639" s="857"/>
      <c r="AO639" s="857"/>
      <c r="AP639" s="857"/>
      <c r="AQ639" s="857"/>
      <c r="AR639" s="857"/>
      <c r="AS639" s="857"/>
      <c r="AT639" s="855"/>
      <c r="AV639" s="857"/>
      <c r="AW639" s="857"/>
      <c r="AX639" s="857"/>
      <c r="AY639" s="857"/>
      <c r="AZ639" s="857"/>
      <c r="BA639" s="857"/>
      <c r="BB639" s="857"/>
      <c r="BC639" s="857"/>
      <c r="BD639" s="857"/>
      <c r="BE639" s="857"/>
      <c r="BF639" s="857"/>
      <c r="BG639" s="857"/>
    </row>
    <row r="640" spans="1:59" ht="15.75" customHeight="1">
      <c r="A640" s="857"/>
      <c r="B640" s="857"/>
      <c r="C640" s="857"/>
      <c r="D640" s="857"/>
      <c r="E640" s="857"/>
      <c r="F640" s="857"/>
      <c r="G640" s="857"/>
      <c r="H640" s="857"/>
      <c r="I640" s="857"/>
      <c r="J640" s="857"/>
      <c r="K640" s="857"/>
      <c r="L640" s="857"/>
      <c r="M640" s="857"/>
      <c r="N640" s="857"/>
      <c r="O640" s="857"/>
      <c r="P640" s="857"/>
      <c r="Q640" s="857"/>
      <c r="R640" s="857"/>
      <c r="S640" s="857"/>
      <c r="T640" s="857"/>
      <c r="U640" s="857"/>
      <c r="V640" s="857"/>
      <c r="W640" s="857"/>
      <c r="X640" s="857"/>
      <c r="Y640" s="857"/>
      <c r="Z640" s="857"/>
      <c r="AA640" s="857"/>
      <c r="AB640" s="857"/>
      <c r="AC640" s="857"/>
      <c r="AD640" s="857"/>
      <c r="AE640" s="857"/>
      <c r="AF640" s="857"/>
      <c r="AG640" s="857"/>
      <c r="AH640" s="857"/>
      <c r="AI640" s="857"/>
      <c r="AJ640" s="857"/>
      <c r="AK640" s="857"/>
      <c r="AL640" s="857"/>
      <c r="AM640" s="857"/>
      <c r="AN640" s="857"/>
      <c r="AO640" s="857"/>
      <c r="AP640" s="857"/>
      <c r="AQ640" s="857"/>
      <c r="AR640" s="857"/>
      <c r="AS640" s="857"/>
      <c r="AT640" s="855"/>
      <c r="AV640" s="857"/>
      <c r="AW640" s="857"/>
      <c r="AX640" s="857"/>
      <c r="AY640" s="857"/>
      <c r="AZ640" s="857"/>
      <c r="BA640" s="857"/>
      <c r="BB640" s="857"/>
      <c r="BC640" s="857"/>
      <c r="BD640" s="857"/>
      <c r="BE640" s="857"/>
      <c r="BF640" s="857"/>
      <c r="BG640" s="857"/>
    </row>
    <row r="641" spans="1:59" ht="15.75" customHeight="1">
      <c r="A641" s="857"/>
      <c r="B641" s="857"/>
      <c r="C641" s="857"/>
      <c r="D641" s="857"/>
      <c r="E641" s="857"/>
      <c r="F641" s="857"/>
      <c r="G641" s="857"/>
      <c r="H641" s="857"/>
      <c r="I641" s="857"/>
      <c r="J641" s="857"/>
      <c r="K641" s="857"/>
      <c r="L641" s="857"/>
      <c r="M641" s="857"/>
      <c r="N641" s="857"/>
      <c r="O641" s="857"/>
      <c r="P641" s="857"/>
      <c r="Q641" s="857"/>
      <c r="R641" s="857"/>
      <c r="S641" s="857"/>
      <c r="T641" s="857"/>
      <c r="U641" s="857"/>
      <c r="V641" s="857"/>
      <c r="W641" s="857"/>
      <c r="X641" s="857"/>
      <c r="Y641" s="857"/>
      <c r="Z641" s="857"/>
      <c r="AA641" s="857"/>
      <c r="AB641" s="857"/>
      <c r="AC641" s="857"/>
      <c r="AD641" s="857"/>
      <c r="AE641" s="857"/>
      <c r="AF641" s="857"/>
      <c r="AG641" s="857"/>
      <c r="AH641" s="857"/>
      <c r="AI641" s="857"/>
      <c r="AJ641" s="857"/>
      <c r="AK641" s="857"/>
      <c r="AL641" s="857"/>
      <c r="AM641" s="857"/>
      <c r="AN641" s="857"/>
      <c r="AO641" s="857"/>
      <c r="AP641" s="857"/>
      <c r="AQ641" s="857"/>
      <c r="AR641" s="857"/>
      <c r="AS641" s="857"/>
      <c r="AT641" s="855"/>
      <c r="AV641" s="857"/>
      <c r="AW641" s="857"/>
      <c r="AX641" s="857"/>
      <c r="AY641" s="857"/>
      <c r="AZ641" s="857"/>
      <c r="BA641" s="857"/>
      <c r="BB641" s="857"/>
      <c r="BC641" s="857"/>
      <c r="BD641" s="857"/>
      <c r="BE641" s="857"/>
      <c r="BF641" s="857"/>
      <c r="BG641" s="857"/>
    </row>
    <row r="642" spans="1:59" ht="15.75" customHeight="1">
      <c r="A642" s="857"/>
      <c r="B642" s="857"/>
      <c r="C642" s="857"/>
      <c r="D642" s="857"/>
      <c r="E642" s="857"/>
      <c r="F642" s="857"/>
      <c r="G642" s="857"/>
      <c r="H642" s="857"/>
      <c r="I642" s="857"/>
      <c r="J642" s="857"/>
      <c r="K642" s="857"/>
      <c r="L642" s="857"/>
      <c r="M642" s="857"/>
      <c r="N642" s="857"/>
      <c r="O642" s="857"/>
      <c r="P642" s="857"/>
      <c r="Q642" s="857"/>
      <c r="R642" s="857"/>
      <c r="S642" s="857"/>
      <c r="T642" s="857"/>
      <c r="U642" s="857"/>
      <c r="V642" s="857"/>
      <c r="W642" s="857"/>
      <c r="X642" s="857"/>
      <c r="Y642" s="857"/>
      <c r="Z642" s="857"/>
      <c r="AA642" s="857"/>
      <c r="AB642" s="857"/>
      <c r="AC642" s="857"/>
      <c r="AD642" s="857"/>
      <c r="AE642" s="857"/>
      <c r="AF642" s="857"/>
      <c r="AG642" s="857"/>
      <c r="AH642" s="857"/>
      <c r="AI642" s="857"/>
      <c r="AJ642" s="857"/>
      <c r="AK642" s="857"/>
      <c r="AL642" s="857"/>
      <c r="AM642" s="857"/>
      <c r="AN642" s="857"/>
      <c r="AO642" s="857"/>
      <c r="AP642" s="857"/>
      <c r="AQ642" s="857"/>
      <c r="AR642" s="857"/>
      <c r="AS642" s="857"/>
      <c r="AT642" s="855"/>
      <c r="AV642" s="857"/>
      <c r="AW642" s="857"/>
      <c r="AX642" s="857"/>
      <c r="AY642" s="857"/>
      <c r="AZ642" s="857"/>
      <c r="BA642" s="857"/>
      <c r="BB642" s="857"/>
      <c r="BC642" s="857"/>
      <c r="BD642" s="857"/>
      <c r="BE642" s="857"/>
      <c r="BF642" s="857"/>
      <c r="BG642" s="857"/>
    </row>
    <row r="643" spans="1:59" ht="15.75" customHeight="1">
      <c r="A643" s="857"/>
      <c r="B643" s="857"/>
      <c r="C643" s="857"/>
      <c r="D643" s="857"/>
      <c r="E643" s="857"/>
      <c r="F643" s="857"/>
      <c r="G643" s="857"/>
      <c r="H643" s="857"/>
      <c r="I643" s="857"/>
      <c r="J643" s="857"/>
      <c r="K643" s="857"/>
      <c r="L643" s="857"/>
      <c r="M643" s="857"/>
      <c r="N643" s="857"/>
      <c r="O643" s="857"/>
      <c r="P643" s="857"/>
      <c r="Q643" s="857"/>
      <c r="R643" s="857"/>
      <c r="S643" s="857"/>
      <c r="T643" s="857"/>
      <c r="U643" s="857"/>
      <c r="V643" s="857"/>
      <c r="W643" s="857"/>
      <c r="X643" s="857"/>
      <c r="Y643" s="857"/>
      <c r="Z643" s="857"/>
      <c r="AA643" s="857"/>
      <c r="AB643" s="857"/>
      <c r="AC643" s="857"/>
      <c r="AD643" s="857"/>
      <c r="AE643" s="857"/>
      <c r="AF643" s="857"/>
      <c r="AG643" s="857"/>
      <c r="AH643" s="857"/>
      <c r="AI643" s="857"/>
      <c r="AJ643" s="857"/>
      <c r="AK643" s="857"/>
      <c r="AL643" s="857"/>
      <c r="AM643" s="857"/>
      <c r="AN643" s="857"/>
      <c r="AO643" s="857"/>
      <c r="AP643" s="857"/>
      <c r="AQ643" s="857"/>
      <c r="AR643" s="857"/>
      <c r="AS643" s="857"/>
      <c r="AT643" s="855"/>
      <c r="AV643" s="857"/>
      <c r="AW643" s="857"/>
      <c r="AX643" s="857"/>
      <c r="AY643" s="857"/>
      <c r="AZ643" s="857"/>
      <c r="BA643" s="857"/>
      <c r="BB643" s="857"/>
      <c r="BC643" s="857"/>
      <c r="BD643" s="857"/>
      <c r="BE643" s="857"/>
      <c r="BF643" s="857"/>
      <c r="BG643" s="857"/>
    </row>
    <row r="644" spans="1:59" ht="15.75" customHeight="1">
      <c r="A644" s="857"/>
      <c r="B644" s="857"/>
      <c r="C644" s="857"/>
      <c r="D644" s="857"/>
      <c r="E644" s="857"/>
      <c r="F644" s="857"/>
      <c r="G644" s="857"/>
      <c r="H644" s="857"/>
      <c r="I644" s="857"/>
      <c r="J644" s="857"/>
      <c r="K644" s="857"/>
      <c r="L644" s="857"/>
      <c r="M644" s="857"/>
      <c r="N644" s="857"/>
      <c r="O644" s="857"/>
      <c r="P644" s="857"/>
      <c r="Q644" s="857"/>
      <c r="R644" s="857"/>
      <c r="S644" s="857"/>
      <c r="T644" s="857"/>
      <c r="U644" s="857"/>
      <c r="V644" s="857"/>
      <c r="W644" s="857"/>
      <c r="X644" s="857"/>
      <c r="Y644" s="857"/>
      <c r="Z644" s="857"/>
      <c r="AA644" s="857"/>
      <c r="AB644" s="857"/>
      <c r="AC644" s="857"/>
      <c r="AD644" s="857"/>
      <c r="AE644" s="857"/>
      <c r="AF644" s="857"/>
      <c r="AG644" s="857"/>
      <c r="AH644" s="857"/>
      <c r="AI644" s="857"/>
      <c r="AJ644" s="857"/>
      <c r="AK644" s="857"/>
      <c r="AL644" s="857"/>
      <c r="AM644" s="857"/>
      <c r="AN644" s="857"/>
      <c r="AO644" s="857"/>
      <c r="AP644" s="857"/>
      <c r="AQ644" s="857"/>
      <c r="AR644" s="857"/>
      <c r="AS644" s="857"/>
      <c r="AT644" s="855"/>
      <c r="AV644" s="857"/>
      <c r="AW644" s="857"/>
      <c r="AX644" s="857"/>
      <c r="AY644" s="857"/>
      <c r="AZ644" s="857"/>
      <c r="BA644" s="857"/>
      <c r="BB644" s="857"/>
      <c r="BC644" s="857"/>
      <c r="BD644" s="857"/>
      <c r="BE644" s="857"/>
      <c r="BF644" s="857"/>
      <c r="BG644" s="857"/>
    </row>
    <row r="645" spans="1:59" ht="15.75" customHeight="1">
      <c r="A645" s="857"/>
      <c r="B645" s="857"/>
      <c r="C645" s="857"/>
      <c r="D645" s="857"/>
      <c r="E645" s="857"/>
      <c r="F645" s="857"/>
      <c r="G645" s="857"/>
      <c r="H645" s="857"/>
      <c r="I645" s="857"/>
      <c r="J645" s="857"/>
      <c r="K645" s="857"/>
      <c r="L645" s="857"/>
      <c r="M645" s="857"/>
      <c r="N645" s="857"/>
      <c r="O645" s="857"/>
      <c r="P645" s="857"/>
      <c r="Q645" s="857"/>
      <c r="R645" s="857"/>
      <c r="S645" s="857"/>
      <c r="T645" s="857"/>
      <c r="U645" s="857"/>
      <c r="V645" s="857"/>
      <c r="W645" s="857"/>
      <c r="X645" s="857"/>
      <c r="Y645" s="857"/>
      <c r="Z645" s="857"/>
      <c r="AA645" s="857"/>
      <c r="AB645" s="857"/>
      <c r="AC645" s="857"/>
      <c r="AD645" s="857"/>
      <c r="AE645" s="857"/>
      <c r="AF645" s="857"/>
      <c r="AG645" s="857"/>
      <c r="AH645" s="857"/>
      <c r="AI645" s="857"/>
      <c r="AJ645" s="857"/>
      <c r="AK645" s="857"/>
      <c r="AL645" s="857"/>
      <c r="AM645" s="857"/>
      <c r="AN645" s="857"/>
      <c r="AO645" s="857"/>
      <c r="AP645" s="857"/>
      <c r="AQ645" s="857"/>
      <c r="AR645" s="857"/>
      <c r="AS645" s="857"/>
      <c r="AT645" s="855"/>
      <c r="AV645" s="857"/>
      <c r="AW645" s="857"/>
      <c r="AX645" s="857"/>
      <c r="AY645" s="857"/>
      <c r="AZ645" s="857"/>
      <c r="BA645" s="857"/>
      <c r="BB645" s="857"/>
      <c r="BC645" s="857"/>
      <c r="BD645" s="857"/>
      <c r="BE645" s="857"/>
      <c r="BF645" s="857"/>
      <c r="BG645" s="857"/>
    </row>
    <row r="646" spans="1:59" ht="15.75" customHeight="1">
      <c r="A646" s="857"/>
      <c r="B646" s="857"/>
      <c r="C646" s="857"/>
      <c r="D646" s="857"/>
      <c r="E646" s="857"/>
      <c r="F646" s="857"/>
      <c r="G646" s="857"/>
      <c r="H646" s="857"/>
      <c r="I646" s="857"/>
      <c r="J646" s="857"/>
      <c r="K646" s="857"/>
      <c r="L646" s="857"/>
      <c r="M646" s="857"/>
      <c r="N646" s="857"/>
      <c r="O646" s="857"/>
      <c r="P646" s="857"/>
      <c r="Q646" s="857"/>
      <c r="R646" s="857"/>
      <c r="S646" s="857"/>
      <c r="T646" s="857"/>
      <c r="U646" s="857"/>
      <c r="V646" s="857"/>
      <c r="W646" s="857"/>
      <c r="X646" s="857"/>
      <c r="Y646" s="857"/>
      <c r="Z646" s="857"/>
      <c r="AA646" s="857"/>
      <c r="AB646" s="857"/>
      <c r="AC646" s="857"/>
      <c r="AD646" s="857"/>
      <c r="AE646" s="857"/>
      <c r="AF646" s="857"/>
      <c r="AG646" s="857"/>
      <c r="AH646" s="857"/>
      <c r="AI646" s="857"/>
      <c r="AJ646" s="857"/>
      <c r="AK646" s="857"/>
      <c r="AL646" s="857"/>
      <c r="AM646" s="857"/>
      <c r="AN646" s="857"/>
      <c r="AO646" s="857"/>
      <c r="AP646" s="857"/>
      <c r="AQ646" s="857"/>
      <c r="AR646" s="857"/>
      <c r="AS646" s="857"/>
      <c r="AT646" s="855"/>
      <c r="AV646" s="857"/>
      <c r="AW646" s="857"/>
      <c r="AX646" s="857"/>
      <c r="AY646" s="857"/>
      <c r="AZ646" s="857"/>
      <c r="BA646" s="857"/>
      <c r="BB646" s="857"/>
      <c r="BC646" s="857"/>
      <c r="BD646" s="857"/>
      <c r="BE646" s="857"/>
      <c r="BF646" s="857"/>
      <c r="BG646" s="857"/>
    </row>
    <row r="647" spans="1:59" ht="15.75" customHeight="1">
      <c r="A647" s="857"/>
      <c r="B647" s="857"/>
      <c r="C647" s="857"/>
      <c r="D647" s="857"/>
      <c r="E647" s="857"/>
      <c r="F647" s="857"/>
      <c r="G647" s="857"/>
      <c r="H647" s="857"/>
      <c r="I647" s="857"/>
      <c r="J647" s="857"/>
      <c r="K647" s="857"/>
      <c r="L647" s="857"/>
      <c r="M647" s="857"/>
      <c r="N647" s="857"/>
      <c r="O647" s="857"/>
      <c r="P647" s="857"/>
      <c r="Q647" s="857"/>
      <c r="R647" s="857"/>
      <c r="S647" s="857"/>
      <c r="T647" s="857"/>
      <c r="U647" s="857"/>
      <c r="V647" s="857"/>
      <c r="W647" s="857"/>
      <c r="X647" s="857"/>
      <c r="Y647" s="857"/>
      <c r="Z647" s="857"/>
      <c r="AA647" s="857"/>
      <c r="AB647" s="857"/>
      <c r="AC647" s="857"/>
      <c r="AD647" s="857"/>
      <c r="AE647" s="857"/>
      <c r="AF647" s="857"/>
      <c r="AG647" s="857"/>
      <c r="AH647" s="857"/>
      <c r="AI647" s="857"/>
      <c r="AJ647" s="857"/>
      <c r="AK647" s="857"/>
      <c r="AL647" s="857"/>
      <c r="AM647" s="857"/>
      <c r="AN647" s="857"/>
      <c r="AO647" s="857"/>
      <c r="AP647" s="857"/>
      <c r="AQ647" s="857"/>
      <c r="AR647" s="857"/>
      <c r="AS647" s="857"/>
      <c r="AT647" s="855"/>
      <c r="AV647" s="857"/>
      <c r="AW647" s="857"/>
      <c r="AX647" s="857"/>
      <c r="AY647" s="857"/>
      <c r="AZ647" s="857"/>
      <c r="BA647" s="857"/>
      <c r="BB647" s="857"/>
      <c r="BC647" s="857"/>
      <c r="BD647" s="857"/>
      <c r="BE647" s="857"/>
      <c r="BF647" s="857"/>
      <c r="BG647" s="857"/>
    </row>
    <row r="648" spans="1:59" ht="15.75" customHeight="1">
      <c r="A648" s="857"/>
      <c r="B648" s="857"/>
      <c r="C648" s="857"/>
      <c r="D648" s="857"/>
      <c r="E648" s="857"/>
      <c r="F648" s="857"/>
      <c r="G648" s="857"/>
      <c r="H648" s="857"/>
      <c r="I648" s="857"/>
      <c r="J648" s="857"/>
      <c r="K648" s="857"/>
      <c r="L648" s="857"/>
      <c r="M648" s="857"/>
      <c r="N648" s="857"/>
      <c r="O648" s="857"/>
      <c r="P648" s="857"/>
      <c r="Q648" s="857"/>
      <c r="R648" s="857"/>
      <c r="S648" s="857"/>
      <c r="T648" s="857"/>
      <c r="U648" s="857"/>
      <c r="V648" s="857"/>
      <c r="W648" s="857"/>
      <c r="X648" s="857"/>
      <c r="Y648" s="857"/>
      <c r="Z648" s="857"/>
      <c r="AA648" s="857"/>
      <c r="AB648" s="857"/>
      <c r="AC648" s="857"/>
      <c r="AD648" s="857"/>
      <c r="AE648" s="857"/>
      <c r="AF648" s="857"/>
      <c r="AG648" s="857"/>
      <c r="AH648" s="857"/>
      <c r="AI648" s="857"/>
      <c r="AJ648" s="857"/>
      <c r="AK648" s="857"/>
      <c r="AL648" s="857"/>
      <c r="AM648" s="857"/>
      <c r="AN648" s="857"/>
      <c r="AO648" s="857"/>
      <c r="AP648" s="857"/>
      <c r="AQ648" s="857"/>
      <c r="AR648" s="857"/>
      <c r="AS648" s="857"/>
      <c r="AT648" s="855"/>
      <c r="AV648" s="857"/>
      <c r="AW648" s="857"/>
      <c r="AX648" s="857"/>
      <c r="AY648" s="857"/>
      <c r="AZ648" s="857"/>
      <c r="BA648" s="857"/>
      <c r="BB648" s="857"/>
      <c r="BC648" s="857"/>
      <c r="BD648" s="857"/>
      <c r="BE648" s="857"/>
      <c r="BF648" s="857"/>
      <c r="BG648" s="857"/>
    </row>
    <row r="649" spans="1:59" ht="15.75" customHeight="1">
      <c r="A649" s="857"/>
      <c r="B649" s="857"/>
      <c r="C649" s="857"/>
      <c r="D649" s="857"/>
      <c r="E649" s="857"/>
      <c r="F649" s="857"/>
      <c r="G649" s="857"/>
      <c r="H649" s="857"/>
      <c r="I649" s="857"/>
      <c r="J649" s="857"/>
      <c r="K649" s="857"/>
      <c r="L649" s="857"/>
      <c r="M649" s="857"/>
      <c r="N649" s="857"/>
      <c r="O649" s="857"/>
      <c r="P649" s="857"/>
      <c r="Q649" s="857"/>
      <c r="R649" s="857"/>
      <c r="S649" s="857"/>
      <c r="T649" s="857"/>
      <c r="U649" s="857"/>
      <c r="V649" s="857"/>
      <c r="W649" s="857"/>
      <c r="X649" s="857"/>
      <c r="Y649" s="857"/>
      <c r="Z649" s="857"/>
      <c r="AA649" s="857"/>
      <c r="AB649" s="857"/>
      <c r="AC649" s="857"/>
      <c r="AD649" s="857"/>
      <c r="AE649" s="857"/>
      <c r="AF649" s="857"/>
      <c r="AG649" s="857"/>
      <c r="AH649" s="857"/>
      <c r="AI649" s="857"/>
      <c r="AJ649" s="857"/>
      <c r="AK649" s="857"/>
      <c r="AL649" s="857"/>
      <c r="AM649" s="857"/>
      <c r="AN649" s="857"/>
      <c r="AO649" s="857"/>
      <c r="AP649" s="857"/>
      <c r="AQ649" s="857"/>
      <c r="AR649" s="857"/>
      <c r="AS649" s="857"/>
      <c r="AT649" s="855"/>
      <c r="AV649" s="857"/>
      <c r="AW649" s="857"/>
      <c r="AX649" s="857"/>
      <c r="AY649" s="857"/>
      <c r="AZ649" s="857"/>
      <c r="BA649" s="857"/>
      <c r="BB649" s="857"/>
      <c r="BC649" s="857"/>
      <c r="BD649" s="857"/>
      <c r="BE649" s="857"/>
      <c r="BF649" s="857"/>
      <c r="BG649" s="857"/>
    </row>
    <row r="650" spans="1:59" ht="15.75" customHeight="1">
      <c r="A650" s="857"/>
      <c r="B650" s="857"/>
      <c r="C650" s="857"/>
      <c r="D650" s="857"/>
      <c r="E650" s="857"/>
      <c r="F650" s="857"/>
      <c r="G650" s="857"/>
      <c r="H650" s="857"/>
      <c r="I650" s="857"/>
      <c r="J650" s="857"/>
      <c r="K650" s="857"/>
      <c r="L650" s="857"/>
      <c r="M650" s="857"/>
      <c r="N650" s="857"/>
      <c r="O650" s="857"/>
      <c r="P650" s="857"/>
      <c r="Q650" s="857"/>
      <c r="R650" s="857"/>
      <c r="S650" s="857"/>
      <c r="T650" s="857"/>
      <c r="U650" s="857"/>
      <c r="V650" s="857"/>
      <c r="W650" s="857"/>
      <c r="X650" s="857"/>
      <c r="Y650" s="857"/>
      <c r="Z650" s="857"/>
      <c r="AA650" s="857"/>
      <c r="AB650" s="857"/>
      <c r="AC650" s="857"/>
      <c r="AD650" s="857"/>
      <c r="AE650" s="857"/>
      <c r="AF650" s="857"/>
      <c r="AG650" s="857"/>
      <c r="AH650" s="857"/>
      <c r="AI650" s="857"/>
      <c r="AJ650" s="857"/>
      <c r="AK650" s="857"/>
      <c r="AL650" s="857"/>
      <c r="AM650" s="857"/>
      <c r="AN650" s="857"/>
      <c r="AO650" s="857"/>
      <c r="AP650" s="857"/>
      <c r="AQ650" s="857"/>
      <c r="AR650" s="857"/>
      <c r="AS650" s="857"/>
      <c r="AT650" s="855"/>
      <c r="AV650" s="857"/>
      <c r="AW650" s="857"/>
      <c r="AX650" s="857"/>
      <c r="AY650" s="857"/>
      <c r="AZ650" s="857"/>
      <c r="BA650" s="857"/>
      <c r="BB650" s="857"/>
      <c r="BC650" s="857"/>
      <c r="BD650" s="857"/>
      <c r="BE650" s="857"/>
      <c r="BF650" s="857"/>
      <c r="BG650" s="857"/>
    </row>
    <row r="651" spans="1:59" ht="15.75" customHeight="1">
      <c r="A651" s="857"/>
      <c r="B651" s="857"/>
      <c r="C651" s="857"/>
      <c r="D651" s="857"/>
      <c r="E651" s="857"/>
      <c r="F651" s="857"/>
      <c r="G651" s="857"/>
      <c r="H651" s="857"/>
      <c r="I651" s="857"/>
      <c r="J651" s="857"/>
      <c r="K651" s="857"/>
      <c r="L651" s="857"/>
      <c r="M651" s="857"/>
      <c r="N651" s="857"/>
      <c r="O651" s="857"/>
      <c r="P651" s="857"/>
      <c r="Q651" s="857"/>
      <c r="R651" s="857"/>
      <c r="S651" s="857"/>
      <c r="T651" s="857"/>
      <c r="U651" s="857"/>
      <c r="V651" s="857"/>
      <c r="W651" s="857"/>
      <c r="X651" s="857"/>
      <c r="Y651" s="857"/>
      <c r="Z651" s="857"/>
      <c r="AA651" s="857"/>
      <c r="AB651" s="857"/>
      <c r="AC651" s="857"/>
      <c r="AD651" s="857"/>
      <c r="AE651" s="857"/>
      <c r="AF651" s="857"/>
      <c r="AG651" s="857"/>
      <c r="AH651" s="857"/>
      <c r="AI651" s="857"/>
      <c r="AJ651" s="857"/>
      <c r="AK651" s="857"/>
      <c r="AL651" s="857"/>
      <c r="AM651" s="857"/>
      <c r="AN651" s="857"/>
      <c r="AO651" s="857"/>
      <c r="AP651" s="857"/>
      <c r="AQ651" s="857"/>
      <c r="AR651" s="857"/>
      <c r="AS651" s="857"/>
      <c r="AT651" s="855"/>
      <c r="AV651" s="857"/>
      <c r="AW651" s="857"/>
      <c r="AX651" s="857"/>
      <c r="AY651" s="857"/>
      <c r="AZ651" s="857"/>
      <c r="BA651" s="857"/>
      <c r="BB651" s="857"/>
      <c r="BC651" s="857"/>
      <c r="BD651" s="857"/>
      <c r="BE651" s="857"/>
      <c r="BF651" s="857"/>
      <c r="BG651" s="857"/>
    </row>
    <row r="652" spans="1:59" ht="15.75" customHeight="1">
      <c r="A652" s="857"/>
      <c r="B652" s="857"/>
      <c r="C652" s="857"/>
      <c r="D652" s="857"/>
      <c r="E652" s="857"/>
      <c r="F652" s="857"/>
      <c r="G652" s="857"/>
      <c r="H652" s="857"/>
      <c r="I652" s="857"/>
      <c r="J652" s="857"/>
      <c r="K652" s="857"/>
      <c r="L652" s="857"/>
      <c r="M652" s="857"/>
      <c r="N652" s="857"/>
      <c r="O652" s="857"/>
      <c r="P652" s="857"/>
      <c r="Q652" s="857"/>
      <c r="R652" s="857"/>
      <c r="S652" s="857"/>
      <c r="T652" s="857"/>
      <c r="U652" s="857"/>
      <c r="V652" s="857"/>
      <c r="W652" s="857"/>
      <c r="X652" s="857"/>
      <c r="Y652" s="857"/>
      <c r="Z652" s="857"/>
      <c r="AA652" s="857"/>
      <c r="AB652" s="857"/>
      <c r="AC652" s="857"/>
      <c r="AD652" s="857"/>
      <c r="AE652" s="857"/>
      <c r="AF652" s="857"/>
      <c r="AG652" s="857"/>
      <c r="AH652" s="857"/>
      <c r="AI652" s="857"/>
      <c r="AJ652" s="857"/>
      <c r="AK652" s="857"/>
      <c r="AL652" s="857"/>
      <c r="AM652" s="857"/>
      <c r="AN652" s="857"/>
      <c r="AO652" s="857"/>
      <c r="AP652" s="857"/>
      <c r="AQ652" s="857"/>
      <c r="AR652" s="857"/>
      <c r="AS652" s="857"/>
      <c r="AT652" s="855"/>
      <c r="AV652" s="857"/>
      <c r="AW652" s="857"/>
      <c r="AX652" s="857"/>
      <c r="AY652" s="857"/>
      <c r="AZ652" s="857"/>
      <c r="BA652" s="857"/>
      <c r="BB652" s="857"/>
      <c r="BC652" s="857"/>
      <c r="BD652" s="857"/>
      <c r="BE652" s="857"/>
      <c r="BF652" s="857"/>
      <c r="BG652" s="857"/>
    </row>
    <row r="653" spans="1:59" ht="15.75" customHeight="1">
      <c r="A653" s="857"/>
      <c r="B653" s="857"/>
      <c r="C653" s="857"/>
      <c r="D653" s="857"/>
      <c r="E653" s="857"/>
      <c r="F653" s="857"/>
      <c r="G653" s="857"/>
      <c r="H653" s="857"/>
      <c r="I653" s="857"/>
      <c r="J653" s="857"/>
      <c r="K653" s="857"/>
      <c r="L653" s="857"/>
      <c r="M653" s="857"/>
      <c r="N653" s="857"/>
      <c r="O653" s="857"/>
      <c r="P653" s="857"/>
      <c r="Q653" s="857"/>
      <c r="R653" s="857"/>
      <c r="S653" s="857"/>
      <c r="T653" s="857"/>
      <c r="U653" s="857"/>
      <c r="V653" s="857"/>
      <c r="W653" s="857"/>
      <c r="X653" s="857"/>
      <c r="Y653" s="857"/>
      <c r="Z653" s="857"/>
      <c r="AA653" s="857"/>
      <c r="AB653" s="857"/>
      <c r="AC653" s="857"/>
      <c r="AD653" s="857"/>
      <c r="AE653" s="857"/>
      <c r="AF653" s="857"/>
      <c r="AG653" s="857"/>
      <c r="AH653" s="857"/>
      <c r="AI653" s="857"/>
      <c r="AJ653" s="857"/>
      <c r="AK653" s="857"/>
      <c r="AL653" s="857"/>
      <c r="AM653" s="857"/>
      <c r="AN653" s="857"/>
      <c r="AO653" s="857"/>
      <c r="AP653" s="857"/>
      <c r="AQ653" s="857"/>
      <c r="AR653" s="857"/>
      <c r="AS653" s="857"/>
      <c r="AT653" s="855"/>
      <c r="AV653" s="857"/>
      <c r="AW653" s="857"/>
      <c r="AX653" s="857"/>
      <c r="AY653" s="857"/>
      <c r="AZ653" s="857"/>
      <c r="BA653" s="857"/>
      <c r="BB653" s="857"/>
      <c r="BC653" s="857"/>
      <c r="BD653" s="857"/>
      <c r="BE653" s="857"/>
      <c r="BF653" s="857"/>
      <c r="BG653" s="857"/>
    </row>
    <row r="654" spans="1:59" ht="15.75" customHeight="1">
      <c r="A654" s="857"/>
      <c r="B654" s="857"/>
      <c r="C654" s="857"/>
      <c r="D654" s="857"/>
      <c r="E654" s="857"/>
      <c r="F654" s="857"/>
      <c r="G654" s="857"/>
      <c r="H654" s="857"/>
      <c r="I654" s="857"/>
      <c r="J654" s="857"/>
      <c r="K654" s="857"/>
      <c r="L654" s="857"/>
      <c r="M654" s="857"/>
      <c r="N654" s="857"/>
      <c r="O654" s="857"/>
      <c r="P654" s="857"/>
      <c r="Q654" s="857"/>
      <c r="R654" s="857"/>
      <c r="S654" s="857"/>
      <c r="T654" s="857"/>
      <c r="U654" s="857"/>
      <c r="V654" s="857"/>
      <c r="W654" s="857"/>
      <c r="X654" s="857"/>
      <c r="Y654" s="857"/>
      <c r="Z654" s="857"/>
      <c r="AA654" s="857"/>
      <c r="AB654" s="857"/>
      <c r="AC654" s="857"/>
      <c r="AD654" s="857"/>
      <c r="AE654" s="857"/>
      <c r="AF654" s="857"/>
      <c r="AG654" s="857"/>
      <c r="AH654" s="857"/>
      <c r="AI654" s="857"/>
      <c r="AJ654" s="857"/>
      <c r="AK654" s="857"/>
      <c r="AL654" s="857"/>
      <c r="AM654" s="857"/>
      <c r="AN654" s="857"/>
      <c r="AO654" s="857"/>
      <c r="AP654" s="857"/>
      <c r="AQ654" s="857"/>
      <c r="AR654" s="857"/>
      <c r="AS654" s="857"/>
      <c r="AT654" s="855"/>
      <c r="AV654" s="857"/>
      <c r="AW654" s="857"/>
      <c r="AX654" s="857"/>
      <c r="AY654" s="857"/>
      <c r="AZ654" s="857"/>
      <c r="BA654" s="857"/>
      <c r="BB654" s="857"/>
      <c r="BC654" s="857"/>
      <c r="BD654" s="857"/>
      <c r="BE654" s="857"/>
      <c r="BF654" s="857"/>
      <c r="BG654" s="857"/>
    </row>
    <row r="655" spans="1:59" ht="15.75" customHeight="1">
      <c r="A655" s="857"/>
      <c r="B655" s="857"/>
      <c r="C655" s="857"/>
      <c r="D655" s="857"/>
      <c r="E655" s="857"/>
      <c r="F655" s="857"/>
      <c r="G655" s="857"/>
      <c r="H655" s="857"/>
      <c r="I655" s="857"/>
      <c r="J655" s="857"/>
      <c r="K655" s="857"/>
      <c r="L655" s="857"/>
      <c r="M655" s="857"/>
      <c r="N655" s="857"/>
      <c r="O655" s="857"/>
      <c r="P655" s="857"/>
      <c r="Q655" s="857"/>
      <c r="R655" s="857"/>
      <c r="S655" s="857"/>
      <c r="T655" s="857"/>
      <c r="U655" s="857"/>
      <c r="V655" s="857"/>
      <c r="W655" s="857"/>
      <c r="X655" s="857"/>
      <c r="Y655" s="857"/>
      <c r="Z655" s="857"/>
      <c r="AA655" s="857"/>
      <c r="AB655" s="857"/>
      <c r="AC655" s="857"/>
      <c r="AD655" s="857"/>
      <c r="AE655" s="857"/>
      <c r="AF655" s="857"/>
      <c r="AG655" s="857"/>
      <c r="AH655" s="857"/>
      <c r="AI655" s="857"/>
      <c r="AJ655" s="857"/>
      <c r="AK655" s="857"/>
      <c r="AL655" s="857"/>
      <c r="AM655" s="857"/>
      <c r="AN655" s="857"/>
      <c r="AO655" s="857"/>
      <c r="AP655" s="857"/>
      <c r="AQ655" s="857"/>
      <c r="AR655" s="857"/>
      <c r="AS655" s="857"/>
      <c r="AT655" s="855"/>
      <c r="AV655" s="857"/>
      <c r="AW655" s="857"/>
      <c r="AX655" s="857"/>
      <c r="AY655" s="857"/>
      <c r="AZ655" s="857"/>
      <c r="BA655" s="857"/>
      <c r="BB655" s="857"/>
      <c r="BC655" s="857"/>
      <c r="BD655" s="857"/>
      <c r="BE655" s="857"/>
      <c r="BF655" s="857"/>
      <c r="BG655" s="857"/>
    </row>
    <row r="656" spans="1:59" ht="15.75" customHeight="1">
      <c r="A656" s="857"/>
      <c r="B656" s="857"/>
      <c r="C656" s="857"/>
      <c r="D656" s="857"/>
      <c r="E656" s="857"/>
      <c r="F656" s="857"/>
      <c r="G656" s="857"/>
      <c r="H656" s="857"/>
      <c r="I656" s="857"/>
      <c r="J656" s="857"/>
      <c r="K656" s="857"/>
      <c r="L656" s="857"/>
      <c r="M656" s="857"/>
      <c r="N656" s="857"/>
      <c r="O656" s="857"/>
      <c r="P656" s="857"/>
      <c r="Q656" s="857"/>
      <c r="R656" s="857"/>
      <c r="S656" s="857"/>
      <c r="T656" s="857"/>
      <c r="U656" s="857"/>
      <c r="V656" s="857"/>
      <c r="W656" s="857"/>
      <c r="X656" s="857"/>
      <c r="Y656" s="857"/>
      <c r="Z656" s="857"/>
      <c r="AA656" s="857"/>
      <c r="AB656" s="857"/>
      <c r="AC656" s="857"/>
      <c r="AD656" s="857"/>
      <c r="AE656" s="857"/>
      <c r="AF656" s="857"/>
      <c r="AG656" s="857"/>
      <c r="AH656" s="857"/>
      <c r="AI656" s="857"/>
      <c r="AJ656" s="857"/>
      <c r="AK656" s="857"/>
      <c r="AL656" s="857"/>
      <c r="AM656" s="857"/>
      <c r="AN656" s="857"/>
      <c r="AO656" s="857"/>
      <c r="AP656" s="857"/>
      <c r="AQ656" s="857"/>
      <c r="AR656" s="857"/>
      <c r="AS656" s="857"/>
      <c r="AT656" s="855"/>
      <c r="AV656" s="857"/>
      <c r="AW656" s="857"/>
      <c r="AX656" s="857"/>
      <c r="AY656" s="857"/>
      <c r="AZ656" s="857"/>
      <c r="BA656" s="857"/>
      <c r="BB656" s="857"/>
      <c r="BC656" s="857"/>
      <c r="BD656" s="857"/>
      <c r="BE656" s="857"/>
      <c r="BF656" s="857"/>
      <c r="BG656" s="857"/>
    </row>
    <row r="657" spans="1:59" ht="15.75" customHeight="1">
      <c r="A657" s="857"/>
      <c r="B657" s="857"/>
      <c r="C657" s="857"/>
      <c r="D657" s="857"/>
      <c r="E657" s="857"/>
      <c r="F657" s="857"/>
      <c r="G657" s="857"/>
      <c r="H657" s="857"/>
      <c r="I657" s="857"/>
      <c r="J657" s="857"/>
      <c r="K657" s="857"/>
      <c r="L657" s="857"/>
      <c r="M657" s="857"/>
      <c r="N657" s="857"/>
      <c r="O657" s="857"/>
      <c r="P657" s="857"/>
      <c r="Q657" s="857"/>
      <c r="R657" s="857"/>
      <c r="S657" s="857"/>
      <c r="T657" s="857"/>
      <c r="U657" s="857"/>
      <c r="V657" s="857"/>
      <c r="W657" s="857"/>
      <c r="X657" s="857"/>
      <c r="Y657" s="857"/>
      <c r="Z657" s="857"/>
      <c r="AA657" s="857"/>
      <c r="AB657" s="857"/>
      <c r="AC657" s="857"/>
      <c r="AD657" s="857"/>
      <c r="AE657" s="857"/>
      <c r="AF657" s="857"/>
      <c r="AG657" s="857"/>
      <c r="AH657" s="857"/>
      <c r="AI657" s="857"/>
      <c r="AJ657" s="857"/>
      <c r="AK657" s="857"/>
      <c r="AL657" s="857"/>
      <c r="AM657" s="857"/>
      <c r="AN657" s="857"/>
      <c r="AO657" s="857"/>
      <c r="AP657" s="857"/>
      <c r="AQ657" s="857"/>
      <c r="AR657" s="857"/>
      <c r="AS657" s="857"/>
      <c r="AT657" s="855"/>
      <c r="AV657" s="857"/>
      <c r="AW657" s="857"/>
      <c r="AX657" s="857"/>
      <c r="AY657" s="857"/>
      <c r="AZ657" s="857"/>
      <c r="BA657" s="857"/>
      <c r="BB657" s="857"/>
      <c r="BC657" s="857"/>
      <c r="BD657" s="857"/>
      <c r="BE657" s="857"/>
      <c r="BF657" s="857"/>
      <c r="BG657" s="857"/>
    </row>
    <row r="658" spans="1:59" ht="15.75" customHeight="1">
      <c r="A658" s="857"/>
      <c r="B658" s="857"/>
      <c r="C658" s="857"/>
      <c r="D658" s="857"/>
      <c r="E658" s="857"/>
      <c r="F658" s="857"/>
      <c r="G658" s="857"/>
      <c r="H658" s="857"/>
      <c r="I658" s="857"/>
      <c r="J658" s="857"/>
      <c r="K658" s="857"/>
      <c r="L658" s="857"/>
      <c r="M658" s="857"/>
      <c r="N658" s="857"/>
      <c r="O658" s="857"/>
      <c r="P658" s="857"/>
      <c r="Q658" s="857"/>
      <c r="R658" s="857"/>
      <c r="S658" s="857"/>
      <c r="T658" s="857"/>
      <c r="U658" s="857"/>
      <c r="V658" s="857"/>
      <c r="W658" s="857"/>
      <c r="X658" s="857"/>
      <c r="Y658" s="857"/>
      <c r="Z658" s="857"/>
      <c r="AA658" s="857"/>
      <c r="AB658" s="857"/>
      <c r="AC658" s="857"/>
      <c r="AD658" s="857"/>
      <c r="AE658" s="857"/>
      <c r="AF658" s="857"/>
      <c r="AG658" s="857"/>
      <c r="AH658" s="857"/>
      <c r="AI658" s="857"/>
      <c r="AJ658" s="857"/>
      <c r="AK658" s="857"/>
      <c r="AL658" s="857"/>
      <c r="AM658" s="857"/>
      <c r="AN658" s="857"/>
      <c r="AO658" s="857"/>
      <c r="AP658" s="857"/>
      <c r="AQ658" s="857"/>
      <c r="AR658" s="857"/>
      <c r="AS658" s="857"/>
      <c r="AT658" s="855"/>
      <c r="AV658" s="857"/>
      <c r="AW658" s="857"/>
      <c r="AX658" s="857"/>
      <c r="AY658" s="857"/>
      <c r="AZ658" s="857"/>
      <c r="BA658" s="857"/>
      <c r="BB658" s="857"/>
      <c r="BC658" s="857"/>
      <c r="BD658" s="857"/>
      <c r="BE658" s="857"/>
      <c r="BF658" s="857"/>
      <c r="BG658" s="857"/>
    </row>
    <row r="659" spans="1:59" ht="15.75" customHeight="1">
      <c r="A659" s="857"/>
      <c r="B659" s="857"/>
      <c r="C659" s="857"/>
      <c r="D659" s="857"/>
      <c r="E659" s="857"/>
      <c r="F659" s="857"/>
      <c r="G659" s="857"/>
      <c r="H659" s="857"/>
      <c r="I659" s="857"/>
      <c r="J659" s="857"/>
      <c r="K659" s="857"/>
      <c r="L659" s="857"/>
      <c r="M659" s="857"/>
      <c r="N659" s="857"/>
      <c r="O659" s="857"/>
      <c r="P659" s="857"/>
      <c r="Q659" s="857"/>
      <c r="R659" s="857"/>
      <c r="S659" s="857"/>
      <c r="T659" s="857"/>
      <c r="U659" s="857"/>
      <c r="V659" s="857"/>
      <c r="W659" s="857"/>
      <c r="X659" s="857"/>
      <c r="Y659" s="857"/>
      <c r="Z659" s="857"/>
      <c r="AA659" s="857"/>
      <c r="AB659" s="857"/>
      <c r="AC659" s="857"/>
      <c r="AD659" s="857"/>
      <c r="AE659" s="857"/>
      <c r="AF659" s="857"/>
      <c r="AG659" s="857"/>
      <c r="AH659" s="857"/>
      <c r="AI659" s="857"/>
      <c r="AJ659" s="857"/>
      <c r="AK659" s="857"/>
      <c r="AL659" s="857"/>
      <c r="AM659" s="857"/>
      <c r="AN659" s="857"/>
      <c r="AO659" s="857"/>
      <c r="AP659" s="857"/>
      <c r="AQ659" s="857"/>
      <c r="AR659" s="857"/>
      <c r="AS659" s="857"/>
      <c r="AT659" s="855"/>
      <c r="AV659" s="857"/>
      <c r="AW659" s="857"/>
      <c r="AX659" s="857"/>
      <c r="AY659" s="857"/>
      <c r="AZ659" s="857"/>
      <c r="BA659" s="857"/>
      <c r="BB659" s="857"/>
      <c r="BC659" s="857"/>
      <c r="BD659" s="857"/>
      <c r="BE659" s="857"/>
      <c r="BF659" s="857"/>
      <c r="BG659" s="857"/>
    </row>
    <row r="660" spans="1:59" ht="15.75" customHeight="1">
      <c r="A660" s="857"/>
      <c r="B660" s="857"/>
      <c r="C660" s="857"/>
      <c r="D660" s="857"/>
      <c r="E660" s="857"/>
      <c r="F660" s="857"/>
      <c r="G660" s="857"/>
      <c r="H660" s="857"/>
      <c r="I660" s="857"/>
      <c r="J660" s="857"/>
      <c r="K660" s="857"/>
      <c r="L660" s="857"/>
      <c r="M660" s="857"/>
      <c r="N660" s="857"/>
      <c r="O660" s="857"/>
      <c r="P660" s="857"/>
      <c r="Q660" s="857"/>
      <c r="R660" s="857"/>
      <c r="S660" s="857"/>
      <c r="T660" s="857"/>
      <c r="U660" s="857"/>
      <c r="V660" s="857"/>
      <c r="W660" s="857"/>
      <c r="X660" s="857"/>
      <c r="Y660" s="857"/>
      <c r="Z660" s="857"/>
      <c r="AA660" s="857"/>
      <c r="AB660" s="857"/>
      <c r="AC660" s="857"/>
      <c r="AD660" s="857"/>
      <c r="AE660" s="857"/>
      <c r="AF660" s="857"/>
      <c r="AG660" s="857"/>
      <c r="AH660" s="857"/>
      <c r="AI660" s="857"/>
      <c r="AJ660" s="857"/>
      <c r="AK660" s="857"/>
      <c r="AL660" s="857"/>
      <c r="AM660" s="857"/>
      <c r="AN660" s="857"/>
      <c r="AO660" s="857"/>
      <c r="AP660" s="857"/>
      <c r="AQ660" s="857"/>
      <c r="AR660" s="857"/>
      <c r="AS660" s="857"/>
      <c r="AT660" s="855"/>
      <c r="AV660" s="857"/>
      <c r="AW660" s="857"/>
      <c r="AX660" s="857"/>
      <c r="AY660" s="857"/>
      <c r="AZ660" s="857"/>
      <c r="BA660" s="857"/>
      <c r="BB660" s="857"/>
      <c r="BC660" s="857"/>
      <c r="BD660" s="857"/>
      <c r="BE660" s="857"/>
      <c r="BF660" s="857"/>
      <c r="BG660" s="857"/>
    </row>
    <row r="661" spans="1:59" ht="15.75" customHeight="1">
      <c r="A661" s="857"/>
      <c r="B661" s="857"/>
      <c r="C661" s="857"/>
      <c r="D661" s="857"/>
      <c r="E661" s="857"/>
      <c r="F661" s="857"/>
      <c r="G661" s="857"/>
      <c r="H661" s="857"/>
      <c r="I661" s="857"/>
      <c r="J661" s="857"/>
      <c r="K661" s="857"/>
      <c r="L661" s="857"/>
      <c r="M661" s="857"/>
      <c r="N661" s="857"/>
      <c r="O661" s="857"/>
      <c r="P661" s="857"/>
      <c r="Q661" s="857"/>
      <c r="R661" s="857"/>
      <c r="S661" s="857"/>
      <c r="T661" s="857"/>
      <c r="U661" s="857"/>
      <c r="V661" s="857"/>
      <c r="W661" s="857"/>
      <c r="X661" s="857"/>
      <c r="Y661" s="857"/>
      <c r="Z661" s="857"/>
      <c r="AA661" s="857"/>
      <c r="AB661" s="857"/>
      <c r="AC661" s="857"/>
      <c r="AD661" s="857"/>
      <c r="AE661" s="857"/>
      <c r="AF661" s="857"/>
      <c r="AG661" s="857"/>
      <c r="AH661" s="857"/>
      <c r="AI661" s="857"/>
      <c r="AJ661" s="857"/>
      <c r="AK661" s="857"/>
      <c r="AL661" s="857"/>
      <c r="AM661" s="857"/>
      <c r="AN661" s="857"/>
      <c r="AO661" s="857"/>
      <c r="AP661" s="857"/>
      <c r="AQ661" s="857"/>
      <c r="AR661" s="857"/>
      <c r="AS661" s="857"/>
      <c r="AT661" s="855"/>
      <c r="AV661" s="857"/>
      <c r="AW661" s="857"/>
      <c r="AX661" s="857"/>
      <c r="AY661" s="857"/>
      <c r="AZ661" s="857"/>
      <c r="BA661" s="857"/>
      <c r="BB661" s="857"/>
      <c r="BC661" s="857"/>
      <c r="BD661" s="857"/>
      <c r="BE661" s="857"/>
      <c r="BF661" s="857"/>
      <c r="BG661" s="857"/>
    </row>
    <row r="662" spans="1:59" ht="15.75" customHeight="1">
      <c r="A662" s="857"/>
      <c r="B662" s="857"/>
      <c r="C662" s="857"/>
      <c r="D662" s="857"/>
      <c r="E662" s="857"/>
      <c r="F662" s="857"/>
      <c r="G662" s="857"/>
      <c r="H662" s="857"/>
      <c r="I662" s="857"/>
      <c r="J662" s="857"/>
      <c r="K662" s="857"/>
      <c r="L662" s="857"/>
      <c r="M662" s="857"/>
      <c r="N662" s="857"/>
      <c r="O662" s="857"/>
      <c r="P662" s="857"/>
      <c r="Q662" s="857"/>
      <c r="R662" s="857"/>
      <c r="S662" s="857"/>
      <c r="T662" s="857"/>
      <c r="U662" s="857"/>
      <c r="V662" s="857"/>
      <c r="W662" s="857"/>
      <c r="X662" s="857"/>
      <c r="Y662" s="857"/>
      <c r="Z662" s="857"/>
      <c r="AA662" s="857"/>
      <c r="AB662" s="857"/>
      <c r="AC662" s="857"/>
      <c r="AD662" s="857"/>
      <c r="AE662" s="857"/>
      <c r="AF662" s="857"/>
      <c r="AG662" s="857"/>
      <c r="AH662" s="857"/>
      <c r="AI662" s="857"/>
      <c r="AJ662" s="857"/>
      <c r="AK662" s="857"/>
      <c r="AL662" s="857"/>
      <c r="AM662" s="857"/>
      <c r="AN662" s="857"/>
      <c r="AO662" s="857"/>
      <c r="AP662" s="857"/>
      <c r="AQ662" s="857"/>
      <c r="AR662" s="857"/>
      <c r="AS662" s="857"/>
      <c r="AT662" s="855"/>
      <c r="AV662" s="857"/>
      <c r="AW662" s="857"/>
      <c r="AX662" s="857"/>
      <c r="AY662" s="857"/>
      <c r="AZ662" s="857"/>
      <c r="BA662" s="857"/>
      <c r="BB662" s="857"/>
      <c r="BC662" s="857"/>
      <c r="BD662" s="857"/>
      <c r="BE662" s="857"/>
      <c r="BF662" s="857"/>
      <c r="BG662" s="857"/>
    </row>
    <row r="663" spans="1:59" ht="15.75" customHeight="1">
      <c r="A663" s="857"/>
      <c r="B663" s="857"/>
      <c r="C663" s="857"/>
      <c r="D663" s="857"/>
      <c r="E663" s="857"/>
      <c r="F663" s="857"/>
      <c r="G663" s="857"/>
      <c r="H663" s="857"/>
      <c r="I663" s="857"/>
      <c r="J663" s="857"/>
      <c r="K663" s="857"/>
      <c r="L663" s="857"/>
      <c r="M663" s="857"/>
      <c r="N663" s="857"/>
      <c r="O663" s="857"/>
      <c r="P663" s="857"/>
      <c r="Q663" s="857"/>
      <c r="R663" s="857"/>
      <c r="S663" s="857"/>
      <c r="T663" s="857"/>
      <c r="U663" s="857"/>
      <c r="V663" s="857"/>
      <c r="W663" s="857"/>
      <c r="X663" s="857"/>
      <c r="Y663" s="857"/>
      <c r="Z663" s="857"/>
      <c r="AA663" s="857"/>
      <c r="AB663" s="857"/>
      <c r="AC663" s="857"/>
      <c r="AD663" s="857"/>
      <c r="AE663" s="857"/>
      <c r="AF663" s="857"/>
      <c r="AG663" s="857"/>
      <c r="AH663" s="857"/>
      <c r="AI663" s="857"/>
      <c r="AJ663" s="857"/>
      <c r="AK663" s="857"/>
      <c r="AL663" s="857"/>
      <c r="AM663" s="857"/>
      <c r="AN663" s="857"/>
      <c r="AO663" s="857"/>
      <c r="AP663" s="857"/>
      <c r="AQ663" s="857"/>
      <c r="AR663" s="857"/>
      <c r="AS663" s="857"/>
      <c r="AT663" s="855"/>
      <c r="AV663" s="857"/>
      <c r="AW663" s="857"/>
      <c r="AX663" s="857"/>
      <c r="AY663" s="857"/>
      <c r="AZ663" s="857"/>
      <c r="BA663" s="857"/>
      <c r="BB663" s="857"/>
      <c r="BC663" s="857"/>
      <c r="BD663" s="857"/>
      <c r="BE663" s="857"/>
      <c r="BF663" s="857"/>
      <c r="BG663" s="857"/>
    </row>
    <row r="664" spans="1:59" ht="15.75" customHeight="1">
      <c r="A664" s="857"/>
      <c r="B664" s="857"/>
      <c r="C664" s="857"/>
      <c r="D664" s="857"/>
      <c r="E664" s="857"/>
      <c r="F664" s="857"/>
      <c r="G664" s="857"/>
      <c r="H664" s="857"/>
      <c r="I664" s="857"/>
      <c r="J664" s="857"/>
      <c r="K664" s="857"/>
      <c r="L664" s="857"/>
      <c r="M664" s="857"/>
      <c r="N664" s="857"/>
      <c r="O664" s="857"/>
      <c r="P664" s="857"/>
      <c r="Q664" s="857"/>
      <c r="R664" s="857"/>
      <c r="S664" s="857"/>
      <c r="T664" s="857"/>
      <c r="U664" s="857"/>
      <c r="V664" s="857"/>
      <c r="W664" s="857"/>
      <c r="X664" s="857"/>
      <c r="Y664" s="857"/>
      <c r="Z664" s="857"/>
      <c r="AA664" s="857"/>
      <c r="AB664" s="857"/>
      <c r="AC664" s="857"/>
      <c r="AD664" s="857"/>
      <c r="AE664" s="857"/>
      <c r="AF664" s="857"/>
      <c r="AG664" s="857"/>
      <c r="AH664" s="857"/>
      <c r="AI664" s="857"/>
      <c r="AJ664" s="857"/>
      <c r="AK664" s="857"/>
      <c r="AL664" s="857"/>
      <c r="AM664" s="857"/>
      <c r="AN664" s="857"/>
      <c r="AO664" s="857"/>
      <c r="AP664" s="857"/>
      <c r="AQ664" s="857"/>
      <c r="AR664" s="857"/>
      <c r="AS664" s="857"/>
      <c r="AT664" s="855"/>
      <c r="AV664" s="857"/>
      <c r="AW664" s="857"/>
      <c r="AX664" s="857"/>
      <c r="AY664" s="857"/>
      <c r="AZ664" s="857"/>
      <c r="BA664" s="857"/>
      <c r="BB664" s="857"/>
      <c r="BC664" s="857"/>
      <c r="BD664" s="857"/>
      <c r="BE664" s="857"/>
      <c r="BF664" s="857"/>
      <c r="BG664" s="857"/>
    </row>
    <row r="665" spans="1:59" ht="15.75" customHeight="1">
      <c r="A665" s="857"/>
      <c r="B665" s="857"/>
      <c r="C665" s="857"/>
      <c r="D665" s="857"/>
      <c r="E665" s="857"/>
      <c r="F665" s="857"/>
      <c r="G665" s="857"/>
      <c r="H665" s="857"/>
      <c r="I665" s="857"/>
      <c r="J665" s="857"/>
      <c r="K665" s="857"/>
      <c r="L665" s="857"/>
      <c r="M665" s="857"/>
      <c r="N665" s="857"/>
      <c r="O665" s="857"/>
      <c r="P665" s="857"/>
      <c r="Q665" s="857"/>
      <c r="R665" s="857"/>
      <c r="S665" s="857"/>
      <c r="T665" s="857"/>
      <c r="U665" s="857"/>
      <c r="V665" s="857"/>
      <c r="W665" s="857"/>
      <c r="X665" s="857"/>
      <c r="Y665" s="857"/>
      <c r="Z665" s="857"/>
      <c r="AA665" s="857"/>
      <c r="AB665" s="857"/>
      <c r="AC665" s="857"/>
      <c r="AD665" s="857"/>
      <c r="AE665" s="857"/>
      <c r="AF665" s="857"/>
      <c r="AG665" s="857"/>
      <c r="AH665" s="857"/>
      <c r="AI665" s="857"/>
      <c r="AJ665" s="857"/>
      <c r="AK665" s="857"/>
      <c r="AL665" s="857"/>
      <c r="AM665" s="857"/>
      <c r="AN665" s="857"/>
      <c r="AO665" s="857"/>
      <c r="AP665" s="857"/>
      <c r="AQ665" s="857"/>
      <c r="AR665" s="857"/>
      <c r="AS665" s="857"/>
      <c r="AT665" s="855"/>
      <c r="AV665" s="857"/>
      <c r="AW665" s="857"/>
      <c r="AX665" s="857"/>
      <c r="AY665" s="857"/>
      <c r="AZ665" s="857"/>
      <c r="BA665" s="857"/>
      <c r="BB665" s="857"/>
      <c r="BC665" s="857"/>
      <c r="BD665" s="857"/>
      <c r="BE665" s="857"/>
      <c r="BF665" s="857"/>
      <c r="BG665" s="857"/>
    </row>
    <row r="666" spans="1:59" ht="15.75" customHeight="1">
      <c r="A666" s="857"/>
      <c r="B666" s="857"/>
      <c r="C666" s="857"/>
      <c r="D666" s="857"/>
      <c r="E666" s="857"/>
      <c r="F666" s="857"/>
      <c r="G666" s="857"/>
      <c r="H666" s="857"/>
      <c r="I666" s="857"/>
      <c r="J666" s="857"/>
      <c r="K666" s="857"/>
      <c r="L666" s="857"/>
      <c r="M666" s="857"/>
      <c r="N666" s="857"/>
      <c r="O666" s="857"/>
      <c r="P666" s="857"/>
      <c r="Q666" s="857"/>
      <c r="R666" s="857"/>
      <c r="S666" s="857"/>
      <c r="T666" s="857"/>
      <c r="U666" s="857"/>
      <c r="V666" s="857"/>
      <c r="W666" s="857"/>
      <c r="X666" s="857"/>
      <c r="Y666" s="857"/>
      <c r="Z666" s="857"/>
      <c r="AA666" s="857"/>
      <c r="AB666" s="857"/>
      <c r="AC666" s="857"/>
      <c r="AD666" s="857"/>
      <c r="AE666" s="857"/>
      <c r="AF666" s="857"/>
      <c r="AG666" s="857"/>
      <c r="AH666" s="857"/>
      <c r="AI666" s="857"/>
      <c r="AJ666" s="857"/>
      <c r="AK666" s="857"/>
      <c r="AL666" s="857"/>
      <c r="AM666" s="857"/>
      <c r="AN666" s="857"/>
      <c r="AO666" s="857"/>
      <c r="AP666" s="857"/>
      <c r="AQ666" s="857"/>
      <c r="AR666" s="857"/>
      <c r="AS666" s="857"/>
      <c r="AT666" s="855"/>
      <c r="AV666" s="857"/>
      <c r="AW666" s="857"/>
      <c r="AX666" s="857"/>
      <c r="AY666" s="857"/>
      <c r="AZ666" s="857"/>
      <c r="BA666" s="857"/>
      <c r="BB666" s="857"/>
      <c r="BC666" s="857"/>
      <c r="BD666" s="857"/>
      <c r="BE666" s="857"/>
      <c r="BF666" s="857"/>
      <c r="BG666" s="857"/>
    </row>
    <row r="667" spans="1:59" ht="15.75" customHeight="1">
      <c r="A667" s="857"/>
      <c r="B667" s="857"/>
      <c r="C667" s="857"/>
      <c r="D667" s="857"/>
      <c r="E667" s="857"/>
      <c r="F667" s="857"/>
      <c r="G667" s="857"/>
      <c r="H667" s="857"/>
      <c r="I667" s="857"/>
      <c r="J667" s="857"/>
      <c r="K667" s="857"/>
      <c r="L667" s="857"/>
      <c r="M667" s="857"/>
      <c r="N667" s="857"/>
      <c r="O667" s="857"/>
      <c r="P667" s="857"/>
      <c r="Q667" s="857"/>
      <c r="R667" s="857"/>
      <c r="S667" s="857"/>
      <c r="T667" s="857"/>
      <c r="U667" s="857"/>
      <c r="V667" s="857"/>
      <c r="W667" s="857"/>
      <c r="X667" s="857"/>
      <c r="Y667" s="857"/>
      <c r="Z667" s="857"/>
      <c r="AA667" s="857"/>
      <c r="AB667" s="857"/>
      <c r="AC667" s="857"/>
      <c r="AD667" s="857"/>
      <c r="AE667" s="857"/>
      <c r="AF667" s="857"/>
      <c r="AG667" s="857"/>
      <c r="AH667" s="857"/>
      <c r="AI667" s="857"/>
      <c r="AJ667" s="857"/>
      <c r="AK667" s="857"/>
      <c r="AL667" s="857"/>
      <c r="AM667" s="857"/>
      <c r="AN667" s="857"/>
      <c r="AO667" s="857"/>
      <c r="AP667" s="857"/>
      <c r="AQ667" s="857"/>
      <c r="AR667" s="857"/>
      <c r="AS667" s="857"/>
      <c r="AT667" s="855"/>
      <c r="AV667" s="857"/>
      <c r="AW667" s="857"/>
      <c r="AX667" s="857"/>
      <c r="AY667" s="857"/>
      <c r="AZ667" s="857"/>
      <c r="BA667" s="857"/>
      <c r="BB667" s="857"/>
      <c r="BC667" s="857"/>
      <c r="BD667" s="857"/>
      <c r="BE667" s="857"/>
      <c r="BF667" s="857"/>
      <c r="BG667" s="857"/>
    </row>
    <row r="668" spans="1:59" ht="15.75" customHeight="1">
      <c r="A668" s="857"/>
      <c r="B668" s="857"/>
      <c r="C668" s="857"/>
      <c r="D668" s="857"/>
      <c r="E668" s="857"/>
      <c r="F668" s="857"/>
      <c r="G668" s="857"/>
      <c r="H668" s="857"/>
      <c r="I668" s="857"/>
      <c r="J668" s="857"/>
      <c r="K668" s="857"/>
      <c r="L668" s="857"/>
      <c r="M668" s="857"/>
      <c r="N668" s="857"/>
      <c r="O668" s="857"/>
      <c r="P668" s="857"/>
      <c r="Q668" s="857"/>
      <c r="R668" s="857"/>
      <c r="S668" s="857"/>
      <c r="T668" s="857"/>
      <c r="U668" s="857"/>
      <c r="V668" s="857"/>
      <c r="W668" s="857"/>
      <c r="X668" s="857"/>
      <c r="Y668" s="857"/>
      <c r="Z668" s="857"/>
      <c r="AA668" s="857"/>
      <c r="AB668" s="857"/>
      <c r="AC668" s="857"/>
      <c r="AD668" s="857"/>
      <c r="AE668" s="857"/>
      <c r="AF668" s="857"/>
      <c r="AG668" s="857"/>
      <c r="AH668" s="857"/>
      <c r="AI668" s="857"/>
      <c r="AJ668" s="857"/>
      <c r="AK668" s="857"/>
      <c r="AL668" s="857"/>
      <c r="AM668" s="857"/>
      <c r="AN668" s="857"/>
      <c r="AO668" s="857"/>
      <c r="AP668" s="857"/>
      <c r="AQ668" s="857"/>
      <c r="AR668" s="857"/>
      <c r="AS668" s="857"/>
      <c r="AT668" s="855"/>
      <c r="AV668" s="857"/>
      <c r="AW668" s="857"/>
      <c r="AX668" s="857"/>
      <c r="AY668" s="857"/>
      <c r="AZ668" s="857"/>
      <c r="BA668" s="857"/>
      <c r="BB668" s="857"/>
      <c r="BC668" s="857"/>
      <c r="BD668" s="857"/>
      <c r="BE668" s="857"/>
      <c r="BF668" s="857"/>
      <c r="BG668" s="857"/>
    </row>
    <row r="669" spans="1:59" ht="15.75" customHeight="1">
      <c r="A669" s="857"/>
      <c r="B669" s="857"/>
      <c r="C669" s="857"/>
      <c r="D669" s="857"/>
      <c r="E669" s="857"/>
      <c r="F669" s="857"/>
      <c r="G669" s="857"/>
      <c r="H669" s="857"/>
      <c r="I669" s="857"/>
      <c r="J669" s="857"/>
      <c r="K669" s="857"/>
      <c r="L669" s="857"/>
      <c r="M669" s="857"/>
      <c r="N669" s="857"/>
      <c r="O669" s="857"/>
      <c r="P669" s="857"/>
      <c r="Q669" s="857"/>
      <c r="R669" s="857"/>
      <c r="S669" s="857"/>
      <c r="T669" s="857"/>
      <c r="U669" s="857"/>
      <c r="V669" s="857"/>
      <c r="W669" s="857"/>
      <c r="X669" s="857"/>
      <c r="Y669" s="857"/>
      <c r="Z669" s="857"/>
      <c r="AA669" s="857"/>
      <c r="AB669" s="857"/>
      <c r="AC669" s="857"/>
      <c r="AD669" s="857"/>
      <c r="AE669" s="857"/>
      <c r="AF669" s="857"/>
      <c r="AG669" s="857"/>
      <c r="AH669" s="857"/>
      <c r="AI669" s="857"/>
      <c r="AJ669" s="857"/>
      <c r="AK669" s="857"/>
      <c r="AL669" s="857"/>
      <c r="AM669" s="857"/>
      <c r="AN669" s="857"/>
      <c r="AO669" s="857"/>
      <c r="AP669" s="857"/>
      <c r="AQ669" s="857"/>
      <c r="AR669" s="857"/>
      <c r="AS669" s="857"/>
      <c r="AT669" s="855"/>
      <c r="AV669" s="857"/>
      <c r="AW669" s="857"/>
      <c r="AX669" s="857"/>
      <c r="AY669" s="857"/>
      <c r="AZ669" s="857"/>
      <c r="BA669" s="857"/>
      <c r="BB669" s="857"/>
      <c r="BC669" s="857"/>
      <c r="BD669" s="857"/>
      <c r="BE669" s="857"/>
      <c r="BF669" s="857"/>
      <c r="BG669" s="857"/>
    </row>
    <row r="670" spans="1:59" ht="15.75" customHeight="1">
      <c r="A670" s="857"/>
      <c r="B670" s="857"/>
      <c r="C670" s="857"/>
      <c r="D670" s="857"/>
      <c r="E670" s="857"/>
      <c r="F670" s="857"/>
      <c r="G670" s="857"/>
      <c r="H670" s="857"/>
      <c r="I670" s="857"/>
      <c r="J670" s="857"/>
      <c r="K670" s="857"/>
      <c r="L670" s="857"/>
      <c r="M670" s="857"/>
      <c r="N670" s="857"/>
      <c r="O670" s="857"/>
      <c r="P670" s="857"/>
      <c r="Q670" s="857"/>
      <c r="R670" s="857"/>
      <c r="S670" s="857"/>
      <c r="T670" s="857"/>
      <c r="U670" s="857"/>
      <c r="V670" s="857"/>
      <c r="W670" s="857"/>
      <c r="X670" s="857"/>
      <c r="Y670" s="857"/>
      <c r="Z670" s="857"/>
      <c r="AA670" s="857"/>
      <c r="AB670" s="857"/>
      <c r="AC670" s="857"/>
      <c r="AD670" s="857"/>
      <c r="AE670" s="857"/>
      <c r="AF670" s="857"/>
      <c r="AG670" s="857"/>
      <c r="AH670" s="857"/>
      <c r="AI670" s="857"/>
      <c r="AJ670" s="857"/>
      <c r="AK670" s="857"/>
      <c r="AL670" s="857"/>
      <c r="AM670" s="857"/>
      <c r="AN670" s="857"/>
      <c r="AO670" s="857"/>
      <c r="AP670" s="857"/>
      <c r="AQ670" s="857"/>
      <c r="AR670" s="857"/>
      <c r="AS670" s="857"/>
      <c r="AT670" s="855"/>
      <c r="AV670" s="857"/>
      <c r="AW670" s="857"/>
      <c r="AX670" s="857"/>
      <c r="AY670" s="857"/>
      <c r="AZ670" s="857"/>
      <c r="BA670" s="857"/>
      <c r="BB670" s="857"/>
      <c r="BC670" s="857"/>
      <c r="BD670" s="857"/>
      <c r="BE670" s="857"/>
      <c r="BF670" s="857"/>
      <c r="BG670" s="857"/>
    </row>
    <row r="671" spans="1:59" ht="15.75" customHeight="1">
      <c r="A671" s="857"/>
      <c r="B671" s="857"/>
      <c r="C671" s="857"/>
      <c r="D671" s="857"/>
      <c r="E671" s="857"/>
      <c r="F671" s="857"/>
      <c r="G671" s="857"/>
      <c r="H671" s="857"/>
      <c r="I671" s="857"/>
      <c r="J671" s="857"/>
      <c r="K671" s="857"/>
      <c r="L671" s="857"/>
      <c r="M671" s="857"/>
      <c r="N671" s="857"/>
      <c r="O671" s="857"/>
      <c r="P671" s="857"/>
      <c r="Q671" s="857"/>
      <c r="R671" s="857"/>
      <c r="S671" s="857"/>
      <c r="T671" s="857"/>
      <c r="U671" s="857"/>
      <c r="V671" s="857"/>
      <c r="W671" s="857"/>
      <c r="X671" s="857"/>
      <c r="Y671" s="857"/>
      <c r="Z671" s="857"/>
      <c r="AA671" s="857"/>
      <c r="AB671" s="857"/>
      <c r="AC671" s="857"/>
      <c r="AD671" s="857"/>
      <c r="AE671" s="857"/>
      <c r="AF671" s="857"/>
      <c r="AG671" s="857"/>
      <c r="AH671" s="857"/>
      <c r="AI671" s="857"/>
      <c r="AJ671" s="857"/>
      <c r="AK671" s="857"/>
      <c r="AL671" s="857"/>
      <c r="AM671" s="857"/>
      <c r="AN671" s="857"/>
      <c r="AO671" s="857"/>
      <c r="AP671" s="857"/>
      <c r="AQ671" s="857"/>
      <c r="AR671" s="857"/>
      <c r="AS671" s="857"/>
      <c r="AT671" s="855"/>
      <c r="AV671" s="857"/>
      <c r="AW671" s="857"/>
      <c r="AX671" s="857"/>
      <c r="AY671" s="857"/>
      <c r="AZ671" s="857"/>
      <c r="BA671" s="857"/>
      <c r="BB671" s="857"/>
      <c r="BC671" s="857"/>
      <c r="BD671" s="857"/>
      <c r="BE671" s="857"/>
      <c r="BF671" s="857"/>
      <c r="BG671" s="857"/>
    </row>
    <row r="672" spans="1:59" ht="15.75" customHeight="1">
      <c r="A672" s="857"/>
      <c r="B672" s="857"/>
      <c r="C672" s="857"/>
      <c r="D672" s="857"/>
      <c r="E672" s="857"/>
      <c r="F672" s="857"/>
      <c r="G672" s="857"/>
      <c r="H672" s="857"/>
      <c r="I672" s="857"/>
      <c r="J672" s="857"/>
      <c r="K672" s="857"/>
      <c r="L672" s="857"/>
      <c r="M672" s="857"/>
      <c r="N672" s="857"/>
      <c r="O672" s="857"/>
      <c r="P672" s="857"/>
      <c r="Q672" s="857"/>
      <c r="R672" s="857"/>
      <c r="S672" s="857"/>
      <c r="T672" s="857"/>
      <c r="U672" s="857"/>
      <c r="V672" s="857"/>
      <c r="W672" s="857"/>
      <c r="X672" s="857"/>
      <c r="Y672" s="857"/>
      <c r="Z672" s="857"/>
      <c r="AA672" s="857"/>
      <c r="AB672" s="857"/>
      <c r="AC672" s="857"/>
      <c r="AD672" s="857"/>
      <c r="AE672" s="857"/>
      <c r="AF672" s="857"/>
      <c r="AG672" s="857"/>
      <c r="AH672" s="857"/>
      <c r="AI672" s="857"/>
      <c r="AJ672" s="857"/>
      <c r="AK672" s="857"/>
      <c r="AL672" s="857"/>
      <c r="AM672" s="857"/>
      <c r="AN672" s="857"/>
      <c r="AO672" s="857"/>
      <c r="AP672" s="857"/>
      <c r="AQ672" s="857"/>
      <c r="AR672" s="857"/>
      <c r="AS672" s="857"/>
      <c r="AT672" s="855"/>
      <c r="AV672" s="857"/>
      <c r="AW672" s="857"/>
      <c r="AX672" s="857"/>
      <c r="AY672" s="857"/>
      <c r="AZ672" s="857"/>
      <c r="BA672" s="857"/>
      <c r="BB672" s="857"/>
      <c r="BC672" s="857"/>
      <c r="BD672" s="857"/>
      <c r="BE672" s="857"/>
      <c r="BF672" s="857"/>
      <c r="BG672" s="857"/>
    </row>
    <row r="673" spans="1:59" ht="15.75" customHeight="1">
      <c r="A673" s="857"/>
      <c r="B673" s="857"/>
      <c r="C673" s="857"/>
      <c r="D673" s="857"/>
      <c r="E673" s="857"/>
      <c r="F673" s="857"/>
      <c r="G673" s="857"/>
      <c r="H673" s="857"/>
      <c r="I673" s="857"/>
      <c r="J673" s="857"/>
      <c r="K673" s="857"/>
      <c r="L673" s="857"/>
      <c r="M673" s="857"/>
      <c r="N673" s="857"/>
      <c r="O673" s="857"/>
      <c r="P673" s="857"/>
      <c r="Q673" s="857"/>
      <c r="R673" s="857"/>
      <c r="S673" s="857"/>
      <c r="T673" s="857"/>
      <c r="U673" s="857"/>
      <c r="V673" s="857"/>
      <c r="W673" s="857"/>
      <c r="X673" s="857"/>
      <c r="Y673" s="857"/>
      <c r="Z673" s="857"/>
      <c r="AA673" s="857"/>
      <c r="AB673" s="857"/>
      <c r="AC673" s="857"/>
      <c r="AD673" s="857"/>
      <c r="AE673" s="857"/>
      <c r="AF673" s="857"/>
      <c r="AG673" s="857"/>
      <c r="AH673" s="857"/>
      <c r="AI673" s="857"/>
      <c r="AJ673" s="857"/>
      <c r="AK673" s="857"/>
      <c r="AL673" s="857"/>
      <c r="AM673" s="857"/>
      <c r="AN673" s="857"/>
      <c r="AO673" s="857"/>
      <c r="AP673" s="857"/>
      <c r="AQ673" s="857"/>
      <c r="AR673" s="857"/>
      <c r="AS673" s="857"/>
      <c r="AT673" s="855"/>
      <c r="AV673" s="857"/>
      <c r="AW673" s="857"/>
      <c r="AX673" s="857"/>
      <c r="AY673" s="857"/>
      <c r="AZ673" s="857"/>
      <c r="BA673" s="857"/>
      <c r="BB673" s="857"/>
      <c r="BC673" s="857"/>
      <c r="BD673" s="857"/>
      <c r="BE673" s="857"/>
      <c r="BF673" s="857"/>
      <c r="BG673" s="857"/>
    </row>
    <row r="674" spans="1:59" ht="15.75" customHeight="1">
      <c r="A674" s="857"/>
      <c r="B674" s="857"/>
      <c r="C674" s="857"/>
      <c r="D674" s="857"/>
      <c r="E674" s="857"/>
      <c r="F674" s="857"/>
      <c r="G674" s="857"/>
      <c r="H674" s="857"/>
      <c r="I674" s="857"/>
      <c r="J674" s="857"/>
      <c r="K674" s="857"/>
      <c r="L674" s="857"/>
      <c r="M674" s="857"/>
      <c r="N674" s="857"/>
      <c r="O674" s="857"/>
      <c r="P674" s="857"/>
      <c r="Q674" s="857"/>
      <c r="R674" s="857"/>
      <c r="S674" s="857"/>
      <c r="T674" s="857"/>
      <c r="U674" s="857"/>
      <c r="V674" s="857"/>
      <c r="W674" s="857"/>
      <c r="X674" s="857"/>
      <c r="Y674" s="857"/>
      <c r="Z674" s="857"/>
      <c r="AA674" s="857"/>
      <c r="AB674" s="857"/>
      <c r="AC674" s="857"/>
      <c r="AD674" s="857"/>
      <c r="AE674" s="857"/>
      <c r="AF674" s="857"/>
      <c r="AG674" s="857"/>
      <c r="AH674" s="857"/>
      <c r="AI674" s="857"/>
      <c r="AJ674" s="857"/>
      <c r="AK674" s="857"/>
      <c r="AL674" s="857"/>
      <c r="AM674" s="857"/>
      <c r="AN674" s="857"/>
      <c r="AO674" s="857"/>
      <c r="AP674" s="857"/>
      <c r="AQ674" s="857"/>
      <c r="AR674" s="857"/>
      <c r="AS674" s="857"/>
      <c r="AT674" s="855"/>
      <c r="AV674" s="857"/>
      <c r="AW674" s="857"/>
      <c r="AX674" s="857"/>
      <c r="AY674" s="857"/>
      <c r="AZ674" s="857"/>
      <c r="BA674" s="857"/>
      <c r="BB674" s="857"/>
      <c r="BC674" s="857"/>
      <c r="BD674" s="857"/>
      <c r="BE674" s="857"/>
      <c r="BF674" s="857"/>
      <c r="BG674" s="857"/>
    </row>
    <row r="675" spans="1:59" ht="15.75" customHeight="1">
      <c r="A675" s="857"/>
      <c r="B675" s="857"/>
      <c r="C675" s="857"/>
      <c r="D675" s="857"/>
      <c r="E675" s="857"/>
      <c r="F675" s="857"/>
      <c r="G675" s="857"/>
      <c r="H675" s="857"/>
      <c r="I675" s="857"/>
      <c r="J675" s="857"/>
      <c r="K675" s="857"/>
      <c r="L675" s="857"/>
      <c r="M675" s="857"/>
      <c r="N675" s="857"/>
      <c r="O675" s="857"/>
      <c r="P675" s="857"/>
      <c r="Q675" s="857"/>
      <c r="R675" s="857"/>
      <c r="S675" s="857"/>
      <c r="T675" s="857"/>
      <c r="U675" s="857"/>
      <c r="V675" s="857"/>
      <c r="W675" s="857"/>
      <c r="X675" s="857"/>
      <c r="Y675" s="857"/>
      <c r="Z675" s="857"/>
      <c r="AA675" s="857"/>
      <c r="AB675" s="857"/>
      <c r="AC675" s="857"/>
      <c r="AD675" s="857"/>
      <c r="AE675" s="857"/>
      <c r="AF675" s="857"/>
      <c r="AG675" s="857"/>
      <c r="AH675" s="857"/>
      <c r="AI675" s="857"/>
      <c r="AJ675" s="857"/>
      <c r="AK675" s="857"/>
      <c r="AL675" s="857"/>
      <c r="AM675" s="857"/>
      <c r="AN675" s="857"/>
      <c r="AO675" s="857"/>
      <c r="AP675" s="857"/>
      <c r="AQ675" s="857"/>
      <c r="AR675" s="857"/>
      <c r="AS675" s="857"/>
      <c r="AT675" s="855"/>
      <c r="AV675" s="857"/>
      <c r="AW675" s="857"/>
      <c r="AX675" s="857"/>
      <c r="AY675" s="857"/>
      <c r="AZ675" s="857"/>
      <c r="BA675" s="857"/>
      <c r="BB675" s="857"/>
      <c r="BC675" s="857"/>
      <c r="BD675" s="857"/>
      <c r="BE675" s="857"/>
      <c r="BF675" s="857"/>
      <c r="BG675" s="857"/>
    </row>
    <row r="676" spans="1:59" ht="15.75" customHeight="1">
      <c r="A676" s="857"/>
      <c r="B676" s="857"/>
      <c r="C676" s="857"/>
      <c r="D676" s="857"/>
      <c r="E676" s="857"/>
      <c r="F676" s="857"/>
      <c r="G676" s="857"/>
      <c r="H676" s="857"/>
      <c r="I676" s="857"/>
      <c r="J676" s="857"/>
      <c r="K676" s="857"/>
      <c r="L676" s="857"/>
      <c r="M676" s="857"/>
      <c r="N676" s="857"/>
      <c r="O676" s="857"/>
      <c r="P676" s="857"/>
      <c r="Q676" s="857"/>
      <c r="R676" s="857"/>
      <c r="S676" s="857"/>
      <c r="T676" s="857"/>
      <c r="U676" s="857"/>
      <c r="V676" s="857"/>
      <c r="W676" s="857"/>
      <c r="X676" s="857"/>
      <c r="Y676" s="857"/>
      <c r="Z676" s="857"/>
      <c r="AA676" s="857"/>
      <c r="AB676" s="857"/>
      <c r="AC676" s="857"/>
      <c r="AD676" s="857"/>
      <c r="AE676" s="857"/>
      <c r="AF676" s="857"/>
      <c r="AG676" s="857"/>
      <c r="AH676" s="857"/>
      <c r="AI676" s="857"/>
      <c r="AJ676" s="857"/>
      <c r="AK676" s="857"/>
      <c r="AL676" s="857"/>
      <c r="AM676" s="857"/>
      <c r="AN676" s="857"/>
      <c r="AO676" s="857"/>
      <c r="AP676" s="857"/>
      <c r="AQ676" s="857"/>
      <c r="AR676" s="857"/>
      <c r="AS676" s="857"/>
      <c r="AT676" s="855"/>
      <c r="AV676" s="857"/>
      <c r="AW676" s="857"/>
      <c r="AX676" s="857"/>
      <c r="AY676" s="857"/>
      <c r="AZ676" s="857"/>
      <c r="BA676" s="857"/>
      <c r="BB676" s="857"/>
      <c r="BC676" s="857"/>
      <c r="BD676" s="857"/>
      <c r="BE676" s="857"/>
      <c r="BF676" s="857"/>
      <c r="BG676" s="857"/>
    </row>
    <row r="677" spans="1:59" ht="15.75" customHeight="1">
      <c r="A677" s="857"/>
      <c r="B677" s="857"/>
      <c r="C677" s="857"/>
      <c r="D677" s="857"/>
      <c r="E677" s="857"/>
      <c r="F677" s="857"/>
      <c r="G677" s="857"/>
      <c r="H677" s="857"/>
      <c r="I677" s="857"/>
      <c r="J677" s="857"/>
      <c r="K677" s="857"/>
      <c r="L677" s="857"/>
      <c r="M677" s="857"/>
      <c r="N677" s="857"/>
      <c r="O677" s="857"/>
      <c r="P677" s="857"/>
      <c r="Q677" s="857"/>
      <c r="R677" s="857"/>
      <c r="S677" s="857"/>
      <c r="T677" s="857"/>
      <c r="U677" s="857"/>
      <c r="V677" s="857"/>
      <c r="W677" s="857"/>
      <c r="X677" s="857"/>
      <c r="Y677" s="857"/>
      <c r="Z677" s="857"/>
      <c r="AA677" s="857"/>
      <c r="AB677" s="857"/>
      <c r="AC677" s="857"/>
      <c r="AD677" s="857"/>
      <c r="AE677" s="857"/>
      <c r="AF677" s="857"/>
      <c r="AG677" s="857"/>
      <c r="AH677" s="857"/>
      <c r="AI677" s="857"/>
      <c r="AJ677" s="857"/>
      <c r="AK677" s="857"/>
      <c r="AL677" s="857"/>
      <c r="AM677" s="857"/>
      <c r="AN677" s="857"/>
      <c r="AO677" s="857"/>
      <c r="AP677" s="857"/>
      <c r="AQ677" s="857"/>
      <c r="AR677" s="857"/>
      <c r="AS677" s="857"/>
      <c r="AT677" s="855"/>
      <c r="AV677" s="857"/>
      <c r="AW677" s="857"/>
      <c r="AX677" s="857"/>
      <c r="AY677" s="857"/>
      <c r="AZ677" s="857"/>
      <c r="BA677" s="857"/>
      <c r="BB677" s="857"/>
      <c r="BC677" s="857"/>
      <c r="BD677" s="857"/>
      <c r="BE677" s="857"/>
      <c r="BF677" s="857"/>
      <c r="BG677" s="857"/>
    </row>
    <row r="678" spans="1:59" ht="15.75" customHeight="1">
      <c r="A678" s="857"/>
      <c r="B678" s="857"/>
      <c r="C678" s="857"/>
      <c r="D678" s="857"/>
      <c r="E678" s="857"/>
      <c r="F678" s="857"/>
      <c r="G678" s="857"/>
      <c r="H678" s="857"/>
      <c r="I678" s="857"/>
      <c r="J678" s="857"/>
      <c r="K678" s="857"/>
      <c r="L678" s="857"/>
      <c r="M678" s="857"/>
      <c r="N678" s="857"/>
      <c r="O678" s="857"/>
      <c r="P678" s="857"/>
      <c r="Q678" s="857"/>
      <c r="R678" s="857"/>
      <c r="S678" s="857"/>
      <c r="T678" s="857"/>
      <c r="U678" s="857"/>
      <c r="V678" s="857"/>
      <c r="W678" s="857"/>
      <c r="X678" s="857"/>
      <c r="Y678" s="857"/>
      <c r="Z678" s="857"/>
      <c r="AA678" s="857"/>
      <c r="AB678" s="857"/>
      <c r="AC678" s="857"/>
      <c r="AD678" s="857"/>
      <c r="AE678" s="857"/>
      <c r="AF678" s="857"/>
      <c r="AG678" s="857"/>
      <c r="AH678" s="857"/>
      <c r="AI678" s="857"/>
      <c r="AJ678" s="857"/>
      <c r="AK678" s="857"/>
      <c r="AL678" s="857"/>
      <c r="AM678" s="857"/>
      <c r="AN678" s="857"/>
      <c r="AO678" s="857"/>
      <c r="AP678" s="857"/>
      <c r="AQ678" s="857"/>
      <c r="AR678" s="857"/>
      <c r="AS678" s="857"/>
      <c r="AT678" s="855"/>
      <c r="AV678" s="857"/>
      <c r="AW678" s="857"/>
      <c r="AX678" s="857"/>
      <c r="AY678" s="857"/>
      <c r="AZ678" s="857"/>
      <c r="BA678" s="857"/>
      <c r="BB678" s="857"/>
      <c r="BC678" s="857"/>
      <c r="BD678" s="857"/>
      <c r="BE678" s="857"/>
      <c r="BF678" s="857"/>
      <c r="BG678" s="857"/>
    </row>
    <row r="679" spans="1:59" ht="15.75" customHeight="1">
      <c r="A679" s="857"/>
      <c r="B679" s="857"/>
      <c r="C679" s="857"/>
      <c r="D679" s="857"/>
      <c r="E679" s="857"/>
      <c r="F679" s="857"/>
      <c r="G679" s="857"/>
      <c r="H679" s="857"/>
      <c r="I679" s="857"/>
      <c r="J679" s="857"/>
      <c r="K679" s="857"/>
      <c r="L679" s="857"/>
      <c r="M679" s="857"/>
      <c r="N679" s="857"/>
      <c r="O679" s="857"/>
      <c r="P679" s="857"/>
      <c r="Q679" s="857"/>
      <c r="R679" s="857"/>
      <c r="S679" s="857"/>
      <c r="T679" s="857"/>
      <c r="U679" s="857"/>
      <c r="V679" s="857"/>
      <c r="W679" s="857"/>
      <c r="X679" s="857"/>
      <c r="Y679" s="857"/>
      <c r="Z679" s="857"/>
      <c r="AA679" s="857"/>
      <c r="AB679" s="857"/>
      <c r="AC679" s="857"/>
      <c r="AD679" s="857"/>
      <c r="AE679" s="857"/>
      <c r="AF679" s="857"/>
      <c r="AG679" s="857"/>
      <c r="AH679" s="857"/>
      <c r="AI679" s="857"/>
      <c r="AJ679" s="857"/>
      <c r="AK679" s="857"/>
      <c r="AL679" s="857"/>
      <c r="AM679" s="857"/>
      <c r="AN679" s="857"/>
      <c r="AO679" s="857"/>
      <c r="AP679" s="857"/>
      <c r="AQ679" s="857"/>
      <c r="AR679" s="857"/>
      <c r="AS679" s="857"/>
      <c r="AT679" s="855"/>
      <c r="AV679" s="857"/>
      <c r="AW679" s="857"/>
      <c r="AX679" s="857"/>
      <c r="AY679" s="857"/>
      <c r="AZ679" s="857"/>
      <c r="BA679" s="857"/>
      <c r="BB679" s="857"/>
      <c r="BC679" s="857"/>
      <c r="BD679" s="857"/>
      <c r="BE679" s="857"/>
      <c r="BF679" s="857"/>
      <c r="BG679" s="857"/>
    </row>
    <row r="680" spans="1:59" ht="15.75" customHeight="1">
      <c r="A680" s="857"/>
      <c r="B680" s="857"/>
      <c r="C680" s="857"/>
      <c r="D680" s="857"/>
      <c r="E680" s="857"/>
      <c r="F680" s="857"/>
      <c r="G680" s="857"/>
      <c r="H680" s="857"/>
      <c r="I680" s="857"/>
      <c r="J680" s="857"/>
      <c r="K680" s="857"/>
      <c r="L680" s="857"/>
      <c r="M680" s="857"/>
      <c r="N680" s="857"/>
      <c r="O680" s="857"/>
      <c r="P680" s="857"/>
      <c r="Q680" s="857"/>
      <c r="R680" s="857"/>
      <c r="S680" s="857"/>
      <c r="T680" s="857"/>
      <c r="U680" s="857"/>
      <c r="V680" s="857"/>
      <c r="W680" s="857"/>
      <c r="X680" s="857"/>
      <c r="Y680" s="857"/>
      <c r="Z680" s="857"/>
      <c r="AA680" s="857"/>
      <c r="AB680" s="857"/>
      <c r="AC680" s="857"/>
      <c r="AD680" s="857"/>
      <c r="AE680" s="857"/>
      <c r="AF680" s="857"/>
      <c r="AG680" s="857"/>
      <c r="AH680" s="857"/>
      <c r="AI680" s="857"/>
      <c r="AJ680" s="857"/>
      <c r="AK680" s="857"/>
      <c r="AL680" s="857"/>
      <c r="AM680" s="857"/>
      <c r="AN680" s="857"/>
      <c r="AO680" s="857"/>
      <c r="AP680" s="857"/>
      <c r="AQ680" s="857"/>
      <c r="AR680" s="857"/>
      <c r="AS680" s="857"/>
      <c r="AT680" s="855"/>
      <c r="AV680" s="857"/>
      <c r="AW680" s="857"/>
      <c r="AX680" s="857"/>
      <c r="AY680" s="857"/>
      <c r="AZ680" s="857"/>
      <c r="BA680" s="857"/>
      <c r="BB680" s="857"/>
      <c r="BC680" s="857"/>
      <c r="BD680" s="857"/>
      <c r="BE680" s="857"/>
      <c r="BF680" s="857"/>
      <c r="BG680" s="857"/>
    </row>
    <row r="681" spans="1:59" ht="15.75" customHeight="1">
      <c r="A681" s="857"/>
      <c r="B681" s="857"/>
      <c r="C681" s="857"/>
      <c r="D681" s="857"/>
      <c r="E681" s="857"/>
      <c r="F681" s="857"/>
      <c r="G681" s="857"/>
      <c r="H681" s="857"/>
      <c r="I681" s="857"/>
      <c r="J681" s="857"/>
      <c r="K681" s="857"/>
      <c r="L681" s="857"/>
      <c r="M681" s="857"/>
      <c r="N681" s="857"/>
      <c r="O681" s="857"/>
      <c r="P681" s="857"/>
      <c r="Q681" s="857"/>
      <c r="R681" s="857"/>
      <c r="S681" s="857"/>
      <c r="T681" s="857"/>
      <c r="U681" s="857"/>
      <c r="V681" s="857"/>
      <c r="W681" s="857"/>
      <c r="X681" s="857"/>
      <c r="Y681" s="857"/>
      <c r="Z681" s="857"/>
      <c r="AA681" s="857"/>
      <c r="AB681" s="857"/>
      <c r="AC681" s="857"/>
      <c r="AD681" s="857"/>
      <c r="AE681" s="857"/>
      <c r="AF681" s="857"/>
      <c r="AG681" s="857"/>
      <c r="AH681" s="857"/>
      <c r="AI681" s="857"/>
      <c r="AJ681" s="857"/>
      <c r="AK681" s="857"/>
      <c r="AL681" s="857"/>
      <c r="AM681" s="857"/>
      <c r="AN681" s="857"/>
      <c r="AO681" s="857"/>
      <c r="AP681" s="857"/>
      <c r="AQ681" s="857"/>
      <c r="AR681" s="857"/>
      <c r="AS681" s="857"/>
      <c r="AT681" s="855"/>
      <c r="AV681" s="857"/>
      <c r="AW681" s="857"/>
      <c r="AX681" s="857"/>
      <c r="AY681" s="857"/>
      <c r="AZ681" s="857"/>
      <c r="BA681" s="857"/>
      <c r="BB681" s="857"/>
      <c r="BC681" s="857"/>
      <c r="BD681" s="857"/>
      <c r="BE681" s="857"/>
      <c r="BF681" s="857"/>
      <c r="BG681" s="857"/>
    </row>
    <row r="682" spans="1:59" ht="15.75" customHeight="1">
      <c r="A682" s="857"/>
      <c r="B682" s="857"/>
      <c r="C682" s="857"/>
      <c r="D682" s="857"/>
      <c r="E682" s="857"/>
      <c r="F682" s="857"/>
      <c r="G682" s="857"/>
      <c r="H682" s="857"/>
      <c r="I682" s="857"/>
      <c r="J682" s="857"/>
      <c r="K682" s="857"/>
      <c r="L682" s="857"/>
      <c r="M682" s="857"/>
      <c r="N682" s="857"/>
      <c r="O682" s="857"/>
      <c r="P682" s="857"/>
      <c r="Q682" s="857"/>
      <c r="R682" s="857"/>
      <c r="S682" s="857"/>
      <c r="T682" s="857"/>
      <c r="U682" s="857"/>
      <c r="V682" s="857"/>
      <c r="W682" s="857"/>
      <c r="X682" s="857"/>
      <c r="Y682" s="857"/>
      <c r="Z682" s="857"/>
      <c r="AA682" s="857"/>
      <c r="AB682" s="857"/>
      <c r="AC682" s="857"/>
      <c r="AD682" s="857"/>
      <c r="AE682" s="857"/>
      <c r="AF682" s="857"/>
      <c r="AG682" s="857"/>
      <c r="AH682" s="857"/>
      <c r="AI682" s="857"/>
      <c r="AJ682" s="857"/>
      <c r="AK682" s="857"/>
      <c r="AL682" s="857"/>
      <c r="AM682" s="857"/>
      <c r="AN682" s="857"/>
      <c r="AO682" s="857"/>
      <c r="AP682" s="857"/>
      <c r="AQ682" s="857"/>
      <c r="AR682" s="857"/>
      <c r="AS682" s="857"/>
      <c r="AT682" s="855"/>
      <c r="AV682" s="857"/>
      <c r="AW682" s="857"/>
      <c r="AX682" s="857"/>
      <c r="AY682" s="857"/>
      <c r="AZ682" s="857"/>
      <c r="BA682" s="857"/>
      <c r="BB682" s="857"/>
      <c r="BC682" s="857"/>
      <c r="BD682" s="857"/>
      <c r="BE682" s="857"/>
      <c r="BF682" s="857"/>
      <c r="BG682" s="857"/>
    </row>
    <row r="683" spans="1:59" ht="15.75" customHeight="1">
      <c r="A683" s="857"/>
      <c r="B683" s="857"/>
      <c r="C683" s="857"/>
      <c r="D683" s="857"/>
      <c r="E683" s="857"/>
      <c r="F683" s="857"/>
      <c r="G683" s="857"/>
      <c r="H683" s="857"/>
      <c r="I683" s="857"/>
      <c r="J683" s="857"/>
      <c r="K683" s="857"/>
      <c r="L683" s="857"/>
      <c r="M683" s="857"/>
      <c r="N683" s="857"/>
      <c r="O683" s="857"/>
      <c r="P683" s="857"/>
      <c r="Q683" s="857"/>
      <c r="R683" s="857"/>
      <c r="S683" s="857"/>
      <c r="T683" s="857"/>
      <c r="U683" s="857"/>
      <c r="V683" s="857"/>
      <c r="W683" s="857"/>
      <c r="X683" s="857"/>
      <c r="Y683" s="857"/>
      <c r="Z683" s="857"/>
      <c r="AA683" s="857"/>
      <c r="AB683" s="857"/>
      <c r="AC683" s="857"/>
      <c r="AD683" s="857"/>
      <c r="AE683" s="857"/>
      <c r="AF683" s="857"/>
      <c r="AG683" s="857"/>
      <c r="AH683" s="857"/>
      <c r="AI683" s="857"/>
      <c r="AJ683" s="857"/>
      <c r="AK683" s="857"/>
      <c r="AL683" s="857"/>
      <c r="AM683" s="857"/>
      <c r="AN683" s="857"/>
      <c r="AO683" s="857"/>
      <c r="AP683" s="857"/>
      <c r="AQ683" s="857"/>
      <c r="AR683" s="857"/>
      <c r="AS683" s="857"/>
      <c r="AT683" s="855"/>
      <c r="AV683" s="857"/>
      <c r="AW683" s="857"/>
      <c r="AX683" s="857"/>
      <c r="AY683" s="857"/>
      <c r="AZ683" s="857"/>
      <c r="BA683" s="857"/>
      <c r="BB683" s="857"/>
      <c r="BC683" s="857"/>
      <c r="BD683" s="857"/>
      <c r="BE683" s="857"/>
      <c r="BF683" s="857"/>
      <c r="BG683" s="857"/>
    </row>
    <row r="684" spans="1:59" ht="15.75" customHeight="1">
      <c r="A684" s="857"/>
      <c r="B684" s="857"/>
      <c r="C684" s="857"/>
      <c r="D684" s="857"/>
      <c r="E684" s="857"/>
      <c r="F684" s="857"/>
      <c r="G684" s="857"/>
      <c r="H684" s="857"/>
      <c r="I684" s="857"/>
      <c r="J684" s="857"/>
      <c r="K684" s="857"/>
      <c r="L684" s="857"/>
      <c r="M684" s="857"/>
      <c r="N684" s="857"/>
      <c r="O684" s="857"/>
      <c r="P684" s="857"/>
      <c r="Q684" s="857"/>
      <c r="R684" s="857"/>
      <c r="S684" s="857"/>
      <c r="T684" s="857"/>
      <c r="U684" s="857"/>
      <c r="V684" s="857"/>
      <c r="W684" s="857"/>
      <c r="X684" s="857"/>
      <c r="Y684" s="857"/>
      <c r="Z684" s="857"/>
      <c r="AA684" s="857"/>
      <c r="AB684" s="857"/>
      <c r="AC684" s="857"/>
      <c r="AD684" s="857"/>
      <c r="AE684" s="857"/>
      <c r="AF684" s="857"/>
      <c r="AG684" s="857"/>
      <c r="AH684" s="857"/>
      <c r="AI684" s="857"/>
      <c r="AJ684" s="857"/>
      <c r="AK684" s="857"/>
      <c r="AL684" s="857"/>
      <c r="AM684" s="857"/>
      <c r="AN684" s="857"/>
      <c r="AO684" s="857"/>
      <c r="AP684" s="857"/>
      <c r="AQ684" s="857"/>
      <c r="AR684" s="857"/>
      <c r="AS684" s="857"/>
      <c r="AT684" s="855"/>
      <c r="AV684" s="857"/>
      <c r="AW684" s="857"/>
      <c r="AX684" s="857"/>
      <c r="AY684" s="857"/>
      <c r="AZ684" s="857"/>
      <c r="BA684" s="857"/>
      <c r="BB684" s="857"/>
      <c r="BC684" s="857"/>
      <c r="BD684" s="857"/>
      <c r="BE684" s="857"/>
      <c r="BF684" s="857"/>
      <c r="BG684" s="857"/>
    </row>
    <row r="685" spans="1:59" ht="15.75" customHeight="1">
      <c r="A685" s="857"/>
      <c r="B685" s="857"/>
      <c r="C685" s="857"/>
      <c r="D685" s="857"/>
      <c r="E685" s="857"/>
      <c r="F685" s="857"/>
      <c r="G685" s="857"/>
      <c r="H685" s="857"/>
      <c r="I685" s="857"/>
      <c r="J685" s="857"/>
      <c r="K685" s="857"/>
      <c r="L685" s="857"/>
      <c r="M685" s="857"/>
      <c r="N685" s="857"/>
      <c r="O685" s="857"/>
      <c r="P685" s="857"/>
      <c r="Q685" s="857"/>
      <c r="R685" s="857"/>
      <c r="S685" s="857"/>
      <c r="T685" s="857"/>
      <c r="U685" s="857"/>
      <c r="V685" s="857"/>
      <c r="W685" s="857"/>
      <c r="X685" s="857"/>
      <c r="Y685" s="857"/>
      <c r="Z685" s="857"/>
      <c r="AA685" s="857"/>
      <c r="AB685" s="857"/>
      <c r="AC685" s="857"/>
      <c r="AD685" s="857"/>
      <c r="AE685" s="857"/>
      <c r="AF685" s="857"/>
      <c r="AG685" s="857"/>
      <c r="AH685" s="857"/>
      <c r="AI685" s="857"/>
      <c r="AJ685" s="857"/>
      <c r="AK685" s="857"/>
      <c r="AL685" s="857"/>
      <c r="AM685" s="857"/>
      <c r="AN685" s="857"/>
      <c r="AO685" s="857"/>
      <c r="AP685" s="857"/>
      <c r="AQ685" s="857"/>
      <c r="AR685" s="857"/>
      <c r="AS685" s="857"/>
      <c r="AT685" s="855"/>
      <c r="AV685" s="857"/>
      <c r="AW685" s="857"/>
      <c r="AX685" s="857"/>
      <c r="AY685" s="857"/>
      <c r="AZ685" s="857"/>
      <c r="BA685" s="857"/>
      <c r="BB685" s="857"/>
      <c r="BC685" s="857"/>
      <c r="BD685" s="857"/>
      <c r="BE685" s="857"/>
      <c r="BF685" s="857"/>
      <c r="BG685" s="857"/>
    </row>
    <row r="686" spans="1:59" ht="15.75" customHeight="1">
      <c r="A686" s="857"/>
      <c r="B686" s="857"/>
      <c r="C686" s="857"/>
      <c r="D686" s="857"/>
      <c r="E686" s="857"/>
      <c r="F686" s="857"/>
      <c r="G686" s="857"/>
      <c r="H686" s="857"/>
      <c r="I686" s="857"/>
      <c r="J686" s="857"/>
      <c r="K686" s="857"/>
      <c r="L686" s="857"/>
      <c r="M686" s="857"/>
      <c r="N686" s="857"/>
      <c r="O686" s="857"/>
      <c r="P686" s="857"/>
      <c r="Q686" s="857"/>
      <c r="R686" s="857"/>
      <c r="S686" s="857"/>
      <c r="T686" s="857"/>
      <c r="U686" s="857"/>
      <c r="V686" s="857"/>
      <c r="W686" s="857"/>
      <c r="X686" s="857"/>
      <c r="Y686" s="857"/>
      <c r="Z686" s="857"/>
      <c r="AA686" s="857"/>
      <c r="AB686" s="857"/>
      <c r="AC686" s="857"/>
      <c r="AD686" s="857"/>
      <c r="AE686" s="857"/>
      <c r="AF686" s="857"/>
      <c r="AG686" s="857"/>
      <c r="AH686" s="857"/>
      <c r="AI686" s="857"/>
      <c r="AJ686" s="857"/>
      <c r="AK686" s="857"/>
      <c r="AL686" s="857"/>
      <c r="AM686" s="857"/>
      <c r="AN686" s="857"/>
      <c r="AO686" s="857"/>
      <c r="AP686" s="857"/>
      <c r="AQ686" s="857"/>
      <c r="AR686" s="857"/>
      <c r="AS686" s="857"/>
      <c r="AT686" s="855"/>
      <c r="AV686" s="857"/>
      <c r="AW686" s="857"/>
      <c r="AX686" s="857"/>
      <c r="AY686" s="857"/>
      <c r="AZ686" s="857"/>
      <c r="BA686" s="857"/>
      <c r="BB686" s="857"/>
      <c r="BC686" s="857"/>
      <c r="BD686" s="857"/>
      <c r="BE686" s="857"/>
      <c r="BF686" s="857"/>
      <c r="BG686" s="857"/>
    </row>
    <row r="687" spans="1:59" ht="15.75" customHeight="1">
      <c r="A687" s="857"/>
      <c r="B687" s="857"/>
      <c r="C687" s="857"/>
      <c r="D687" s="857"/>
      <c r="E687" s="857"/>
      <c r="F687" s="857"/>
      <c r="G687" s="857"/>
      <c r="H687" s="857"/>
      <c r="I687" s="857"/>
      <c r="J687" s="857"/>
      <c r="K687" s="857"/>
      <c r="L687" s="857"/>
      <c r="M687" s="857"/>
      <c r="N687" s="857"/>
      <c r="O687" s="857"/>
      <c r="P687" s="857"/>
      <c r="Q687" s="857"/>
      <c r="R687" s="857"/>
      <c r="S687" s="857"/>
      <c r="T687" s="857"/>
      <c r="U687" s="857"/>
      <c r="V687" s="857"/>
      <c r="W687" s="857"/>
      <c r="X687" s="857"/>
      <c r="Y687" s="857"/>
      <c r="Z687" s="857"/>
      <c r="AA687" s="857"/>
      <c r="AB687" s="857"/>
      <c r="AC687" s="857"/>
      <c r="AD687" s="857"/>
      <c r="AE687" s="857"/>
      <c r="AF687" s="857"/>
      <c r="AG687" s="857"/>
      <c r="AH687" s="857"/>
      <c r="AI687" s="857"/>
      <c r="AJ687" s="857"/>
      <c r="AK687" s="857"/>
      <c r="AL687" s="857"/>
      <c r="AM687" s="857"/>
      <c r="AN687" s="857"/>
      <c r="AO687" s="857"/>
      <c r="AP687" s="857"/>
      <c r="AQ687" s="857"/>
      <c r="AR687" s="857"/>
      <c r="AS687" s="857"/>
      <c r="AT687" s="855"/>
      <c r="AV687" s="857"/>
      <c r="AW687" s="857"/>
      <c r="AX687" s="857"/>
      <c r="AY687" s="857"/>
      <c r="AZ687" s="857"/>
      <c r="BA687" s="857"/>
      <c r="BB687" s="857"/>
      <c r="BC687" s="857"/>
      <c r="BD687" s="857"/>
      <c r="BE687" s="857"/>
      <c r="BF687" s="857"/>
      <c r="BG687" s="857"/>
    </row>
    <row r="688" spans="1:59" ht="15.75" customHeight="1">
      <c r="A688" s="857"/>
      <c r="B688" s="857"/>
      <c r="C688" s="857"/>
      <c r="D688" s="857"/>
      <c r="E688" s="857"/>
      <c r="F688" s="857"/>
      <c r="G688" s="857"/>
      <c r="H688" s="857"/>
      <c r="I688" s="857"/>
      <c r="J688" s="857"/>
      <c r="K688" s="857"/>
      <c r="L688" s="857"/>
      <c r="M688" s="857"/>
      <c r="N688" s="857"/>
      <c r="O688" s="857"/>
      <c r="P688" s="857"/>
      <c r="Q688" s="857"/>
      <c r="R688" s="857"/>
      <c r="S688" s="857"/>
      <c r="T688" s="857"/>
      <c r="U688" s="857"/>
      <c r="V688" s="857"/>
      <c r="W688" s="857"/>
      <c r="X688" s="857"/>
      <c r="Y688" s="857"/>
      <c r="Z688" s="857"/>
      <c r="AA688" s="857"/>
      <c r="AB688" s="857"/>
      <c r="AC688" s="857"/>
      <c r="AD688" s="857"/>
      <c r="AE688" s="857"/>
      <c r="AF688" s="857"/>
      <c r="AG688" s="857"/>
      <c r="AH688" s="857"/>
      <c r="AI688" s="857"/>
      <c r="AJ688" s="857"/>
      <c r="AK688" s="857"/>
      <c r="AL688" s="857"/>
      <c r="AM688" s="857"/>
      <c r="AN688" s="857"/>
      <c r="AO688" s="857"/>
      <c r="AP688" s="857"/>
      <c r="AQ688" s="857"/>
      <c r="AR688" s="857"/>
      <c r="AS688" s="857"/>
      <c r="AT688" s="855"/>
      <c r="AV688" s="857"/>
      <c r="AW688" s="857"/>
      <c r="AX688" s="857"/>
      <c r="AY688" s="857"/>
      <c r="AZ688" s="857"/>
      <c r="BA688" s="857"/>
      <c r="BB688" s="857"/>
      <c r="BC688" s="857"/>
      <c r="BD688" s="857"/>
      <c r="BE688" s="857"/>
      <c r="BF688" s="857"/>
      <c r="BG688" s="857"/>
    </row>
    <row r="689" spans="1:59" ht="15.75" customHeight="1">
      <c r="A689" s="857"/>
      <c r="B689" s="857"/>
      <c r="C689" s="857"/>
      <c r="D689" s="857"/>
      <c r="E689" s="857"/>
      <c r="F689" s="857"/>
      <c r="G689" s="857"/>
      <c r="H689" s="857"/>
      <c r="I689" s="857"/>
      <c r="J689" s="857"/>
      <c r="K689" s="857"/>
      <c r="L689" s="857"/>
      <c r="M689" s="857"/>
      <c r="N689" s="857"/>
      <c r="O689" s="857"/>
      <c r="P689" s="857"/>
      <c r="Q689" s="857"/>
      <c r="R689" s="857"/>
      <c r="S689" s="857"/>
      <c r="T689" s="857"/>
      <c r="U689" s="857"/>
      <c r="V689" s="857"/>
      <c r="W689" s="857"/>
      <c r="X689" s="857"/>
      <c r="Y689" s="857"/>
      <c r="Z689" s="857"/>
      <c r="AA689" s="857"/>
      <c r="AB689" s="857"/>
      <c r="AC689" s="857"/>
      <c r="AD689" s="857"/>
      <c r="AE689" s="857"/>
      <c r="AF689" s="857"/>
      <c r="AG689" s="857"/>
      <c r="AH689" s="857"/>
      <c r="AI689" s="857"/>
      <c r="AJ689" s="857"/>
      <c r="AK689" s="857"/>
      <c r="AL689" s="857"/>
      <c r="AM689" s="857"/>
      <c r="AN689" s="857"/>
      <c r="AO689" s="857"/>
      <c r="AP689" s="857"/>
      <c r="AQ689" s="857"/>
      <c r="AR689" s="857"/>
      <c r="AS689" s="857"/>
      <c r="AT689" s="855"/>
      <c r="AV689" s="857"/>
      <c r="AW689" s="857"/>
      <c r="AX689" s="857"/>
      <c r="AY689" s="857"/>
      <c r="AZ689" s="857"/>
      <c r="BA689" s="857"/>
      <c r="BB689" s="857"/>
      <c r="BC689" s="857"/>
      <c r="BD689" s="857"/>
      <c r="BE689" s="857"/>
      <c r="BF689" s="857"/>
      <c r="BG689" s="857"/>
    </row>
    <row r="690" spans="1:59" ht="15.75" customHeight="1">
      <c r="A690" s="857"/>
      <c r="B690" s="857"/>
      <c r="C690" s="857"/>
      <c r="D690" s="857"/>
      <c r="E690" s="857"/>
      <c r="F690" s="857"/>
      <c r="G690" s="857"/>
      <c r="H690" s="857"/>
      <c r="I690" s="857"/>
      <c r="J690" s="857"/>
      <c r="K690" s="857"/>
      <c r="L690" s="857"/>
      <c r="M690" s="857"/>
      <c r="N690" s="857"/>
      <c r="O690" s="857"/>
      <c r="P690" s="857"/>
      <c r="Q690" s="857"/>
      <c r="R690" s="857"/>
      <c r="S690" s="857"/>
      <c r="T690" s="857"/>
      <c r="U690" s="857"/>
      <c r="V690" s="857"/>
      <c r="W690" s="857"/>
      <c r="X690" s="857"/>
      <c r="Y690" s="857"/>
      <c r="Z690" s="857"/>
      <c r="AA690" s="857"/>
      <c r="AB690" s="857"/>
      <c r="AC690" s="857"/>
      <c r="AD690" s="857"/>
      <c r="AE690" s="857"/>
      <c r="AF690" s="857"/>
      <c r="AG690" s="857"/>
      <c r="AH690" s="857"/>
      <c r="AI690" s="857"/>
      <c r="AJ690" s="857"/>
      <c r="AK690" s="857"/>
      <c r="AL690" s="857"/>
      <c r="AM690" s="857"/>
      <c r="AN690" s="857"/>
      <c r="AO690" s="857"/>
      <c r="AP690" s="857"/>
      <c r="AQ690" s="857"/>
      <c r="AR690" s="857"/>
      <c r="AS690" s="857"/>
      <c r="AT690" s="855"/>
      <c r="AV690" s="857"/>
      <c r="AW690" s="857"/>
      <c r="AX690" s="857"/>
      <c r="AY690" s="857"/>
      <c r="AZ690" s="857"/>
      <c r="BA690" s="857"/>
      <c r="BB690" s="857"/>
      <c r="BC690" s="857"/>
      <c r="BD690" s="857"/>
      <c r="BE690" s="857"/>
      <c r="BF690" s="857"/>
      <c r="BG690" s="857"/>
    </row>
    <row r="691" spans="1:59" ht="15.75" customHeight="1">
      <c r="A691" s="857"/>
      <c r="B691" s="857"/>
      <c r="C691" s="857"/>
      <c r="D691" s="857"/>
      <c r="E691" s="857"/>
      <c r="F691" s="857"/>
      <c r="G691" s="857"/>
      <c r="H691" s="857"/>
      <c r="I691" s="857"/>
      <c r="J691" s="857"/>
      <c r="K691" s="857"/>
      <c r="L691" s="857"/>
      <c r="M691" s="857"/>
      <c r="N691" s="857"/>
      <c r="O691" s="857"/>
      <c r="P691" s="857"/>
      <c r="Q691" s="857"/>
      <c r="R691" s="857"/>
      <c r="S691" s="857"/>
      <c r="T691" s="857"/>
      <c r="U691" s="857"/>
      <c r="V691" s="857"/>
      <c r="W691" s="857"/>
      <c r="X691" s="857"/>
      <c r="Y691" s="857"/>
      <c r="Z691" s="857"/>
      <c r="AA691" s="857"/>
      <c r="AB691" s="857"/>
      <c r="AC691" s="857"/>
      <c r="AD691" s="857"/>
      <c r="AE691" s="857"/>
      <c r="AF691" s="857"/>
      <c r="AG691" s="857"/>
      <c r="AH691" s="857"/>
      <c r="AI691" s="857"/>
      <c r="AJ691" s="857"/>
      <c r="AK691" s="857"/>
      <c r="AL691" s="857"/>
      <c r="AM691" s="857"/>
      <c r="AN691" s="857"/>
      <c r="AO691" s="857"/>
      <c r="AP691" s="857"/>
      <c r="AQ691" s="857"/>
      <c r="AR691" s="857"/>
      <c r="AS691" s="857"/>
      <c r="AT691" s="855"/>
      <c r="AV691" s="857"/>
      <c r="AW691" s="857"/>
      <c r="AX691" s="857"/>
      <c r="AY691" s="857"/>
      <c r="AZ691" s="857"/>
      <c r="BA691" s="857"/>
      <c r="BB691" s="857"/>
      <c r="BC691" s="857"/>
      <c r="BD691" s="857"/>
      <c r="BE691" s="857"/>
      <c r="BF691" s="857"/>
      <c r="BG691" s="857"/>
    </row>
    <row r="692" spans="1:59" ht="15.75" customHeight="1">
      <c r="A692" s="857"/>
      <c r="B692" s="857"/>
      <c r="C692" s="857"/>
      <c r="D692" s="857"/>
      <c r="E692" s="857"/>
      <c r="F692" s="857"/>
      <c r="G692" s="857"/>
      <c r="H692" s="857"/>
      <c r="I692" s="857"/>
      <c r="J692" s="857"/>
      <c r="K692" s="857"/>
      <c r="L692" s="857"/>
      <c r="M692" s="857"/>
      <c r="N692" s="857"/>
      <c r="O692" s="857"/>
      <c r="P692" s="857"/>
      <c r="Q692" s="857"/>
      <c r="R692" s="857"/>
      <c r="S692" s="857"/>
      <c r="T692" s="857"/>
      <c r="U692" s="857"/>
      <c r="V692" s="857"/>
      <c r="W692" s="857"/>
      <c r="X692" s="857"/>
      <c r="Y692" s="857"/>
      <c r="Z692" s="857"/>
      <c r="AA692" s="857"/>
      <c r="AB692" s="857"/>
      <c r="AC692" s="857"/>
      <c r="AD692" s="857"/>
      <c r="AE692" s="857"/>
      <c r="AF692" s="857"/>
      <c r="AG692" s="857"/>
      <c r="AH692" s="857"/>
      <c r="AI692" s="857"/>
      <c r="AJ692" s="857"/>
      <c r="AK692" s="857"/>
      <c r="AL692" s="857"/>
      <c r="AM692" s="857"/>
      <c r="AN692" s="857"/>
      <c r="AO692" s="857"/>
      <c r="AP692" s="857"/>
      <c r="AQ692" s="857"/>
      <c r="AR692" s="857"/>
      <c r="AS692" s="857"/>
      <c r="AT692" s="855"/>
      <c r="AV692" s="857"/>
      <c r="AW692" s="857"/>
      <c r="AX692" s="857"/>
      <c r="AY692" s="857"/>
      <c r="AZ692" s="857"/>
      <c r="BA692" s="857"/>
      <c r="BB692" s="857"/>
      <c r="BC692" s="857"/>
      <c r="BD692" s="857"/>
      <c r="BE692" s="857"/>
      <c r="BF692" s="857"/>
      <c r="BG692" s="857"/>
    </row>
    <row r="693" spans="1:59" ht="15.75" customHeight="1">
      <c r="A693" s="857"/>
      <c r="B693" s="857"/>
      <c r="C693" s="857"/>
      <c r="D693" s="857"/>
      <c r="E693" s="857"/>
      <c r="F693" s="857"/>
      <c r="G693" s="857"/>
      <c r="H693" s="857"/>
      <c r="I693" s="857"/>
      <c r="J693" s="857"/>
      <c r="K693" s="857"/>
      <c r="L693" s="857"/>
      <c r="M693" s="857"/>
      <c r="N693" s="857"/>
      <c r="O693" s="857"/>
      <c r="P693" s="857"/>
      <c r="Q693" s="857"/>
      <c r="R693" s="857"/>
      <c r="S693" s="857"/>
      <c r="T693" s="857"/>
      <c r="U693" s="857"/>
      <c r="V693" s="857"/>
      <c r="W693" s="857"/>
      <c r="X693" s="857"/>
      <c r="Y693" s="857"/>
      <c r="Z693" s="857"/>
      <c r="AA693" s="857"/>
      <c r="AB693" s="857"/>
      <c r="AC693" s="857"/>
      <c r="AD693" s="857"/>
      <c r="AE693" s="857"/>
      <c r="AF693" s="857"/>
      <c r="AG693" s="857"/>
      <c r="AH693" s="857"/>
      <c r="AI693" s="857"/>
      <c r="AJ693" s="857"/>
      <c r="AK693" s="857"/>
      <c r="AL693" s="857"/>
      <c r="AM693" s="857"/>
      <c r="AN693" s="857"/>
      <c r="AO693" s="857"/>
      <c r="AP693" s="857"/>
      <c r="AQ693" s="857"/>
      <c r="AR693" s="857"/>
      <c r="AS693" s="857"/>
      <c r="AT693" s="855"/>
      <c r="AV693" s="857"/>
      <c r="AW693" s="857"/>
      <c r="AX693" s="857"/>
      <c r="AY693" s="857"/>
      <c r="AZ693" s="857"/>
      <c r="BA693" s="857"/>
      <c r="BB693" s="857"/>
      <c r="BC693" s="857"/>
      <c r="BD693" s="857"/>
      <c r="BE693" s="857"/>
      <c r="BF693" s="857"/>
      <c r="BG693" s="857"/>
    </row>
    <row r="694" spans="1:59" ht="15.75" customHeight="1">
      <c r="A694" s="857"/>
      <c r="B694" s="857"/>
      <c r="C694" s="857"/>
      <c r="D694" s="857"/>
      <c r="E694" s="857"/>
      <c r="F694" s="857"/>
      <c r="G694" s="857"/>
      <c r="H694" s="857"/>
      <c r="I694" s="857"/>
      <c r="J694" s="857"/>
      <c r="K694" s="857"/>
      <c r="L694" s="857"/>
      <c r="M694" s="857"/>
      <c r="N694" s="857"/>
      <c r="O694" s="857"/>
      <c r="P694" s="857"/>
      <c r="Q694" s="857"/>
      <c r="R694" s="857"/>
      <c r="S694" s="857"/>
      <c r="T694" s="857"/>
      <c r="U694" s="857"/>
      <c r="V694" s="857"/>
      <c r="W694" s="857"/>
      <c r="X694" s="857"/>
      <c r="Y694" s="857"/>
      <c r="Z694" s="857"/>
      <c r="AA694" s="857"/>
      <c r="AB694" s="857"/>
      <c r="AC694" s="857"/>
      <c r="AD694" s="857"/>
      <c r="AE694" s="857"/>
      <c r="AF694" s="857"/>
      <c r="AG694" s="857"/>
      <c r="AH694" s="857"/>
      <c r="AI694" s="857"/>
      <c r="AJ694" s="857"/>
      <c r="AK694" s="857"/>
      <c r="AL694" s="857"/>
      <c r="AM694" s="857"/>
      <c r="AN694" s="857"/>
      <c r="AO694" s="857"/>
      <c r="AP694" s="857"/>
      <c r="AQ694" s="857"/>
      <c r="AR694" s="857"/>
      <c r="AS694" s="857"/>
      <c r="AT694" s="855"/>
      <c r="AV694" s="857"/>
      <c r="AW694" s="857"/>
      <c r="AX694" s="857"/>
      <c r="AY694" s="857"/>
      <c r="AZ694" s="857"/>
      <c r="BA694" s="857"/>
      <c r="BB694" s="857"/>
      <c r="BC694" s="857"/>
      <c r="BD694" s="857"/>
      <c r="BE694" s="857"/>
      <c r="BF694" s="857"/>
      <c r="BG694" s="857"/>
    </row>
    <row r="695" spans="1:59" ht="15.75" customHeight="1">
      <c r="A695" s="857"/>
      <c r="B695" s="857"/>
      <c r="C695" s="857"/>
      <c r="D695" s="857"/>
      <c r="E695" s="857"/>
      <c r="F695" s="857"/>
      <c r="G695" s="857"/>
      <c r="H695" s="857"/>
      <c r="I695" s="857"/>
      <c r="J695" s="857"/>
      <c r="K695" s="857"/>
      <c r="L695" s="857"/>
      <c r="M695" s="857"/>
      <c r="N695" s="857"/>
      <c r="O695" s="857"/>
      <c r="P695" s="857"/>
      <c r="Q695" s="857"/>
      <c r="R695" s="857"/>
      <c r="S695" s="857"/>
      <c r="T695" s="857"/>
      <c r="U695" s="857"/>
      <c r="V695" s="857"/>
      <c r="W695" s="857"/>
      <c r="X695" s="857"/>
      <c r="Y695" s="857"/>
      <c r="Z695" s="857"/>
      <c r="AA695" s="857"/>
      <c r="AB695" s="857"/>
      <c r="AC695" s="857"/>
      <c r="AD695" s="857"/>
      <c r="AE695" s="857"/>
      <c r="AF695" s="857"/>
      <c r="AG695" s="857"/>
      <c r="AH695" s="857"/>
      <c r="AI695" s="857"/>
      <c r="AJ695" s="857"/>
      <c r="AK695" s="857"/>
      <c r="AL695" s="857"/>
      <c r="AM695" s="857"/>
      <c r="AN695" s="857"/>
      <c r="AO695" s="857"/>
      <c r="AP695" s="857"/>
      <c r="AQ695" s="857"/>
      <c r="AR695" s="857"/>
      <c r="AS695" s="857"/>
      <c r="AT695" s="855"/>
      <c r="AV695" s="857"/>
      <c r="AW695" s="857"/>
      <c r="AX695" s="857"/>
      <c r="AY695" s="857"/>
      <c r="AZ695" s="857"/>
      <c r="BA695" s="857"/>
      <c r="BB695" s="857"/>
      <c r="BC695" s="857"/>
      <c r="BD695" s="857"/>
      <c r="BE695" s="857"/>
      <c r="BF695" s="857"/>
      <c r="BG695" s="857"/>
    </row>
    <row r="696" spans="1:59" ht="15.75" customHeight="1">
      <c r="A696" s="857"/>
      <c r="B696" s="857"/>
      <c r="C696" s="857"/>
      <c r="D696" s="857"/>
      <c r="E696" s="857"/>
      <c r="F696" s="857"/>
      <c r="G696" s="857"/>
      <c r="H696" s="857"/>
      <c r="I696" s="857"/>
      <c r="J696" s="857"/>
      <c r="K696" s="857"/>
      <c r="L696" s="857"/>
      <c r="M696" s="857"/>
      <c r="N696" s="857"/>
      <c r="O696" s="857"/>
      <c r="P696" s="857"/>
      <c r="Q696" s="857"/>
      <c r="R696" s="857"/>
      <c r="S696" s="857"/>
      <c r="T696" s="857"/>
      <c r="U696" s="857"/>
      <c r="V696" s="857"/>
      <c r="W696" s="857"/>
      <c r="X696" s="857"/>
      <c r="Y696" s="857"/>
      <c r="Z696" s="857"/>
      <c r="AA696" s="857"/>
      <c r="AB696" s="857"/>
      <c r="AC696" s="857"/>
      <c r="AD696" s="857"/>
      <c r="AE696" s="857"/>
      <c r="AF696" s="857"/>
      <c r="AG696" s="857"/>
      <c r="AH696" s="857"/>
      <c r="AI696" s="857"/>
      <c r="AJ696" s="857"/>
      <c r="AK696" s="857"/>
      <c r="AL696" s="857"/>
      <c r="AM696" s="857"/>
      <c r="AN696" s="857"/>
      <c r="AO696" s="857"/>
      <c r="AP696" s="857"/>
      <c r="AQ696" s="857"/>
      <c r="AR696" s="857"/>
      <c r="AS696" s="857"/>
      <c r="AT696" s="855"/>
      <c r="AV696" s="857"/>
      <c r="AW696" s="857"/>
      <c r="AX696" s="857"/>
      <c r="AY696" s="857"/>
      <c r="AZ696" s="857"/>
      <c r="BA696" s="857"/>
      <c r="BB696" s="857"/>
      <c r="BC696" s="857"/>
      <c r="BD696" s="857"/>
      <c r="BE696" s="857"/>
      <c r="BF696" s="857"/>
      <c r="BG696" s="857"/>
    </row>
    <row r="697" spans="1:59" ht="15.75" customHeight="1">
      <c r="A697" s="857"/>
      <c r="B697" s="857"/>
      <c r="C697" s="857"/>
      <c r="D697" s="857"/>
      <c r="E697" s="857"/>
      <c r="F697" s="857"/>
      <c r="G697" s="857"/>
      <c r="H697" s="857"/>
      <c r="I697" s="857"/>
      <c r="J697" s="857"/>
      <c r="K697" s="857"/>
      <c r="L697" s="857"/>
      <c r="M697" s="857"/>
      <c r="N697" s="857"/>
      <c r="O697" s="857"/>
      <c r="P697" s="857"/>
      <c r="Q697" s="857"/>
      <c r="R697" s="857"/>
      <c r="S697" s="857"/>
      <c r="T697" s="857"/>
      <c r="U697" s="857"/>
      <c r="V697" s="857"/>
      <c r="W697" s="857"/>
      <c r="X697" s="857"/>
      <c r="Y697" s="857"/>
      <c r="Z697" s="857"/>
      <c r="AA697" s="857"/>
      <c r="AB697" s="857"/>
      <c r="AC697" s="857"/>
      <c r="AD697" s="857"/>
      <c r="AE697" s="857"/>
      <c r="AF697" s="857"/>
      <c r="AG697" s="857"/>
      <c r="AH697" s="857"/>
      <c r="AI697" s="857"/>
      <c r="AJ697" s="857"/>
      <c r="AK697" s="857"/>
      <c r="AL697" s="857"/>
      <c r="AM697" s="857"/>
      <c r="AN697" s="857"/>
      <c r="AO697" s="857"/>
      <c r="AP697" s="857"/>
      <c r="AQ697" s="857"/>
      <c r="AR697" s="857"/>
      <c r="AS697" s="857"/>
      <c r="AT697" s="855"/>
      <c r="AV697" s="857"/>
      <c r="AW697" s="857"/>
      <c r="AX697" s="857"/>
      <c r="AY697" s="857"/>
      <c r="AZ697" s="857"/>
      <c r="BA697" s="857"/>
      <c r="BB697" s="857"/>
      <c r="BC697" s="857"/>
      <c r="BD697" s="857"/>
      <c r="BE697" s="857"/>
      <c r="BF697" s="857"/>
      <c r="BG697" s="857"/>
    </row>
    <row r="698" spans="1:59" ht="15.75" customHeight="1">
      <c r="A698" s="857"/>
      <c r="B698" s="857"/>
      <c r="C698" s="857"/>
      <c r="D698" s="857"/>
      <c r="E698" s="857"/>
      <c r="F698" s="857"/>
      <c r="G698" s="857"/>
      <c r="H698" s="857"/>
      <c r="I698" s="857"/>
      <c r="J698" s="857"/>
      <c r="K698" s="857"/>
      <c r="L698" s="857"/>
      <c r="M698" s="857"/>
      <c r="N698" s="857"/>
      <c r="O698" s="857"/>
      <c r="P698" s="857"/>
      <c r="Q698" s="857"/>
      <c r="R698" s="857"/>
      <c r="S698" s="857"/>
      <c r="T698" s="857"/>
      <c r="U698" s="857"/>
      <c r="V698" s="857"/>
      <c r="W698" s="857"/>
      <c r="X698" s="857"/>
      <c r="Y698" s="857"/>
      <c r="Z698" s="857"/>
      <c r="AA698" s="857"/>
      <c r="AB698" s="857"/>
      <c r="AC698" s="857"/>
      <c r="AD698" s="857"/>
      <c r="AE698" s="857"/>
      <c r="AF698" s="857"/>
      <c r="AG698" s="857"/>
      <c r="AH698" s="857"/>
      <c r="AI698" s="857"/>
      <c r="AJ698" s="857"/>
      <c r="AK698" s="857"/>
      <c r="AL698" s="857"/>
      <c r="AM698" s="857"/>
      <c r="AN698" s="857"/>
      <c r="AO698" s="857"/>
      <c r="AP698" s="857"/>
      <c r="AQ698" s="857"/>
      <c r="AR698" s="857"/>
      <c r="AS698" s="857"/>
      <c r="AT698" s="855"/>
      <c r="AV698" s="857"/>
      <c r="AW698" s="857"/>
      <c r="AX698" s="857"/>
      <c r="AY698" s="857"/>
      <c r="AZ698" s="857"/>
      <c r="BA698" s="857"/>
      <c r="BB698" s="857"/>
      <c r="BC698" s="857"/>
      <c r="BD698" s="857"/>
      <c r="BE698" s="857"/>
      <c r="BF698" s="857"/>
      <c r="BG698" s="857"/>
    </row>
    <row r="699" spans="1:59" ht="15.75" customHeight="1">
      <c r="A699" s="857"/>
      <c r="B699" s="857"/>
      <c r="C699" s="857"/>
      <c r="D699" s="857"/>
      <c r="E699" s="857"/>
      <c r="F699" s="857"/>
      <c r="G699" s="857"/>
      <c r="H699" s="857"/>
      <c r="I699" s="857"/>
      <c r="J699" s="857"/>
      <c r="K699" s="857"/>
      <c r="L699" s="857"/>
      <c r="M699" s="857"/>
      <c r="N699" s="857"/>
      <c r="O699" s="857"/>
      <c r="P699" s="857"/>
      <c r="Q699" s="857"/>
      <c r="R699" s="857"/>
      <c r="S699" s="857"/>
      <c r="T699" s="857"/>
      <c r="U699" s="857"/>
      <c r="V699" s="857"/>
      <c r="W699" s="857"/>
      <c r="X699" s="857"/>
      <c r="Y699" s="857"/>
      <c r="Z699" s="857"/>
      <c r="AA699" s="857"/>
      <c r="AB699" s="857"/>
      <c r="AC699" s="857"/>
      <c r="AD699" s="857"/>
      <c r="AE699" s="857"/>
      <c r="AF699" s="857"/>
      <c r="AG699" s="857"/>
      <c r="AH699" s="857"/>
      <c r="AI699" s="857"/>
      <c r="AJ699" s="857"/>
      <c r="AK699" s="857"/>
      <c r="AL699" s="857"/>
      <c r="AM699" s="857"/>
      <c r="AN699" s="857"/>
      <c r="AO699" s="857"/>
      <c r="AP699" s="857"/>
      <c r="AQ699" s="857"/>
      <c r="AR699" s="857"/>
      <c r="AS699" s="857"/>
      <c r="AT699" s="855"/>
      <c r="AV699" s="857"/>
      <c r="AW699" s="857"/>
      <c r="AX699" s="857"/>
      <c r="AY699" s="857"/>
      <c r="AZ699" s="857"/>
      <c r="BA699" s="857"/>
      <c r="BB699" s="857"/>
      <c r="BC699" s="857"/>
      <c r="BD699" s="857"/>
      <c r="BE699" s="857"/>
      <c r="BF699" s="857"/>
      <c r="BG699" s="857"/>
    </row>
    <row r="700" spans="1:59" ht="15.75" customHeight="1">
      <c r="A700" s="857"/>
      <c r="B700" s="857"/>
      <c r="C700" s="857"/>
      <c r="D700" s="857"/>
      <c r="E700" s="857"/>
      <c r="F700" s="857"/>
      <c r="G700" s="857"/>
      <c r="H700" s="857"/>
      <c r="I700" s="857"/>
      <c r="J700" s="857"/>
      <c r="K700" s="857"/>
      <c r="L700" s="857"/>
      <c r="M700" s="857"/>
      <c r="N700" s="857"/>
      <c r="O700" s="857"/>
      <c r="P700" s="857"/>
      <c r="Q700" s="857"/>
      <c r="R700" s="857"/>
      <c r="S700" s="857"/>
      <c r="T700" s="857"/>
      <c r="U700" s="857"/>
      <c r="V700" s="857"/>
      <c r="W700" s="857"/>
      <c r="X700" s="857"/>
      <c r="Y700" s="857"/>
      <c r="Z700" s="857"/>
      <c r="AA700" s="857"/>
      <c r="AB700" s="857"/>
      <c r="AC700" s="857"/>
      <c r="AD700" s="857"/>
      <c r="AE700" s="857"/>
      <c r="AF700" s="857"/>
      <c r="AG700" s="857"/>
      <c r="AH700" s="857"/>
      <c r="AI700" s="857"/>
      <c r="AJ700" s="857"/>
      <c r="AK700" s="857"/>
      <c r="AL700" s="857"/>
      <c r="AM700" s="857"/>
      <c r="AN700" s="857"/>
      <c r="AO700" s="857"/>
      <c r="AP700" s="857"/>
      <c r="AQ700" s="857"/>
      <c r="AR700" s="857"/>
      <c r="AS700" s="857"/>
      <c r="AT700" s="855"/>
      <c r="AV700" s="857"/>
      <c r="AW700" s="857"/>
      <c r="AX700" s="857"/>
      <c r="AY700" s="857"/>
      <c r="AZ700" s="857"/>
      <c r="BA700" s="857"/>
      <c r="BB700" s="857"/>
      <c r="BC700" s="857"/>
      <c r="BD700" s="857"/>
      <c r="BE700" s="857"/>
      <c r="BF700" s="857"/>
      <c r="BG700" s="857"/>
    </row>
    <row r="701" spans="1:59" ht="15.75" customHeight="1">
      <c r="A701" s="857"/>
      <c r="B701" s="857"/>
      <c r="C701" s="857"/>
      <c r="D701" s="857"/>
      <c r="E701" s="857"/>
      <c r="F701" s="857"/>
      <c r="G701" s="857"/>
      <c r="H701" s="857"/>
      <c r="I701" s="857"/>
      <c r="J701" s="857"/>
      <c r="K701" s="857"/>
      <c r="L701" s="857"/>
      <c r="M701" s="857"/>
      <c r="N701" s="857"/>
      <c r="O701" s="857"/>
      <c r="P701" s="857"/>
      <c r="Q701" s="857"/>
      <c r="R701" s="857"/>
      <c r="S701" s="857"/>
      <c r="T701" s="857"/>
      <c r="U701" s="857"/>
      <c r="V701" s="857"/>
      <c r="W701" s="857"/>
      <c r="X701" s="857"/>
      <c r="Y701" s="857"/>
      <c r="Z701" s="857"/>
      <c r="AA701" s="857"/>
      <c r="AB701" s="857"/>
      <c r="AC701" s="857"/>
      <c r="AD701" s="857"/>
      <c r="AE701" s="857"/>
      <c r="AF701" s="857"/>
      <c r="AG701" s="857"/>
      <c r="AH701" s="857"/>
      <c r="AI701" s="857"/>
      <c r="AJ701" s="857"/>
      <c r="AK701" s="857"/>
      <c r="AL701" s="857"/>
      <c r="AM701" s="857"/>
      <c r="AN701" s="857"/>
      <c r="AO701" s="857"/>
      <c r="AP701" s="857"/>
      <c r="AQ701" s="857"/>
      <c r="AR701" s="857"/>
      <c r="AS701" s="857"/>
      <c r="AT701" s="855"/>
      <c r="AV701" s="857"/>
      <c r="AW701" s="857"/>
      <c r="AX701" s="857"/>
      <c r="AY701" s="857"/>
      <c r="AZ701" s="857"/>
      <c r="BA701" s="857"/>
      <c r="BB701" s="857"/>
      <c r="BC701" s="857"/>
      <c r="BD701" s="857"/>
      <c r="BE701" s="857"/>
      <c r="BF701" s="857"/>
      <c r="BG701" s="857"/>
    </row>
    <row r="702" spans="1:59" ht="15.75" customHeight="1">
      <c r="A702" s="857"/>
      <c r="B702" s="857"/>
      <c r="C702" s="857"/>
      <c r="D702" s="857"/>
      <c r="E702" s="857"/>
      <c r="F702" s="857"/>
      <c r="G702" s="857"/>
      <c r="H702" s="857"/>
      <c r="I702" s="857"/>
      <c r="J702" s="857"/>
      <c r="K702" s="857"/>
      <c r="L702" s="857"/>
      <c r="M702" s="857"/>
      <c r="N702" s="857"/>
      <c r="O702" s="857"/>
      <c r="P702" s="857"/>
      <c r="Q702" s="857"/>
      <c r="R702" s="857"/>
      <c r="S702" s="857"/>
      <c r="T702" s="857"/>
      <c r="U702" s="857"/>
      <c r="V702" s="857"/>
      <c r="W702" s="857"/>
      <c r="X702" s="857"/>
      <c r="Y702" s="857"/>
      <c r="Z702" s="857"/>
      <c r="AA702" s="857"/>
      <c r="AB702" s="857"/>
      <c r="AC702" s="857"/>
      <c r="AD702" s="857"/>
      <c r="AE702" s="857"/>
      <c r="AF702" s="857"/>
      <c r="AG702" s="857"/>
      <c r="AH702" s="857"/>
      <c r="AI702" s="857"/>
      <c r="AJ702" s="857"/>
      <c r="AK702" s="857"/>
      <c r="AL702" s="857"/>
      <c r="AM702" s="857"/>
      <c r="AN702" s="857"/>
      <c r="AO702" s="857"/>
      <c r="AP702" s="857"/>
      <c r="AQ702" s="857"/>
      <c r="AR702" s="857"/>
      <c r="AS702" s="857"/>
      <c r="AT702" s="855"/>
      <c r="AV702" s="857"/>
      <c r="AW702" s="857"/>
      <c r="AX702" s="857"/>
      <c r="AY702" s="857"/>
      <c r="AZ702" s="857"/>
      <c r="BA702" s="857"/>
      <c r="BB702" s="857"/>
      <c r="BC702" s="857"/>
      <c r="BD702" s="857"/>
      <c r="BE702" s="857"/>
      <c r="BF702" s="857"/>
      <c r="BG702" s="857"/>
    </row>
    <row r="703" spans="1:59" ht="15.75" customHeight="1">
      <c r="A703" s="857"/>
      <c r="B703" s="857"/>
      <c r="C703" s="857"/>
      <c r="D703" s="857"/>
      <c r="E703" s="857"/>
      <c r="F703" s="857"/>
      <c r="G703" s="857"/>
      <c r="H703" s="857"/>
      <c r="I703" s="857"/>
      <c r="J703" s="857"/>
      <c r="K703" s="857"/>
      <c r="L703" s="857"/>
      <c r="M703" s="857"/>
      <c r="N703" s="857"/>
      <c r="O703" s="857"/>
      <c r="P703" s="857"/>
      <c r="Q703" s="857"/>
      <c r="R703" s="857"/>
      <c r="S703" s="857"/>
      <c r="T703" s="857"/>
      <c r="U703" s="857"/>
      <c r="V703" s="857"/>
      <c r="W703" s="857"/>
      <c r="X703" s="857"/>
      <c r="Y703" s="857"/>
      <c r="Z703" s="857"/>
      <c r="AA703" s="857"/>
      <c r="AB703" s="857"/>
      <c r="AC703" s="857"/>
      <c r="AD703" s="857"/>
      <c r="AE703" s="857"/>
      <c r="AF703" s="857"/>
      <c r="AG703" s="857"/>
      <c r="AH703" s="857"/>
      <c r="AI703" s="857"/>
      <c r="AJ703" s="857"/>
      <c r="AK703" s="857"/>
      <c r="AL703" s="857"/>
      <c r="AM703" s="857"/>
      <c r="AN703" s="857"/>
      <c r="AO703" s="857"/>
      <c r="AP703" s="857"/>
      <c r="AQ703" s="857"/>
      <c r="AR703" s="857"/>
      <c r="AS703" s="857"/>
      <c r="AT703" s="855"/>
      <c r="AV703" s="857"/>
      <c r="AW703" s="857"/>
      <c r="AX703" s="857"/>
      <c r="AY703" s="857"/>
      <c r="AZ703" s="857"/>
      <c r="BA703" s="857"/>
      <c r="BB703" s="857"/>
      <c r="BC703" s="857"/>
      <c r="BD703" s="857"/>
      <c r="BE703" s="857"/>
      <c r="BF703" s="857"/>
      <c r="BG703" s="857"/>
    </row>
    <row r="704" spans="1:59" ht="15.75" customHeight="1">
      <c r="A704" s="857"/>
      <c r="B704" s="857"/>
      <c r="C704" s="857"/>
      <c r="D704" s="857"/>
      <c r="E704" s="857"/>
      <c r="F704" s="857"/>
      <c r="G704" s="857"/>
      <c r="H704" s="857"/>
      <c r="I704" s="857"/>
      <c r="J704" s="857"/>
      <c r="K704" s="857"/>
      <c r="L704" s="857"/>
      <c r="M704" s="857"/>
      <c r="N704" s="857"/>
      <c r="O704" s="857"/>
      <c r="P704" s="857"/>
      <c r="Q704" s="857"/>
      <c r="R704" s="857"/>
      <c r="S704" s="857"/>
      <c r="T704" s="857"/>
      <c r="U704" s="857"/>
      <c r="V704" s="857"/>
      <c r="W704" s="857"/>
      <c r="X704" s="857"/>
      <c r="Y704" s="857"/>
      <c r="Z704" s="857"/>
      <c r="AA704" s="857"/>
      <c r="AB704" s="857"/>
      <c r="AC704" s="857"/>
      <c r="AD704" s="857"/>
      <c r="AE704" s="857"/>
      <c r="AF704" s="857"/>
      <c r="AG704" s="857"/>
      <c r="AH704" s="857"/>
      <c r="AI704" s="857"/>
      <c r="AJ704" s="857"/>
      <c r="AK704" s="857"/>
      <c r="AL704" s="857"/>
      <c r="AM704" s="857"/>
      <c r="AN704" s="857"/>
      <c r="AO704" s="857"/>
      <c r="AP704" s="857"/>
      <c r="AQ704" s="857"/>
      <c r="AR704" s="857"/>
      <c r="AS704" s="857"/>
      <c r="AT704" s="855"/>
      <c r="AV704" s="857"/>
      <c r="AW704" s="857"/>
      <c r="AX704" s="857"/>
      <c r="AY704" s="857"/>
      <c r="AZ704" s="857"/>
      <c r="BA704" s="857"/>
      <c r="BB704" s="857"/>
      <c r="BC704" s="857"/>
      <c r="BD704" s="857"/>
      <c r="BE704" s="857"/>
      <c r="BF704" s="857"/>
      <c r="BG704" s="857"/>
    </row>
    <row r="705" spans="1:59" ht="15.75" customHeight="1">
      <c r="A705" s="857"/>
      <c r="B705" s="857"/>
      <c r="C705" s="857"/>
      <c r="D705" s="857"/>
      <c r="E705" s="857"/>
      <c r="F705" s="857"/>
      <c r="G705" s="857"/>
      <c r="H705" s="857"/>
      <c r="I705" s="857"/>
      <c r="J705" s="857"/>
      <c r="K705" s="857"/>
      <c r="L705" s="857"/>
      <c r="M705" s="857"/>
      <c r="N705" s="857"/>
      <c r="O705" s="857"/>
      <c r="P705" s="857"/>
      <c r="Q705" s="857"/>
      <c r="R705" s="857"/>
      <c r="S705" s="857"/>
      <c r="T705" s="857"/>
      <c r="U705" s="857"/>
      <c r="V705" s="857"/>
      <c r="W705" s="857"/>
      <c r="X705" s="857"/>
      <c r="Y705" s="857"/>
      <c r="Z705" s="857"/>
      <c r="AA705" s="857"/>
      <c r="AB705" s="857"/>
      <c r="AC705" s="857"/>
      <c r="AD705" s="857"/>
      <c r="AE705" s="857"/>
      <c r="AF705" s="857"/>
      <c r="AG705" s="857"/>
      <c r="AH705" s="857"/>
      <c r="AI705" s="857"/>
      <c r="AJ705" s="857"/>
      <c r="AK705" s="857"/>
      <c r="AL705" s="857"/>
      <c r="AM705" s="857"/>
      <c r="AN705" s="857"/>
      <c r="AO705" s="857"/>
      <c r="AP705" s="857"/>
      <c r="AQ705" s="857"/>
      <c r="AR705" s="857"/>
      <c r="AS705" s="857"/>
      <c r="AT705" s="855"/>
      <c r="AV705" s="857"/>
      <c r="AW705" s="857"/>
      <c r="AX705" s="857"/>
      <c r="AY705" s="857"/>
      <c r="AZ705" s="857"/>
      <c r="BA705" s="857"/>
      <c r="BB705" s="857"/>
      <c r="BC705" s="857"/>
      <c r="BD705" s="857"/>
      <c r="BE705" s="857"/>
      <c r="BF705" s="857"/>
      <c r="BG705" s="857"/>
    </row>
    <row r="706" spans="1:59" ht="15.75" customHeight="1">
      <c r="A706" s="857"/>
      <c r="B706" s="857"/>
      <c r="C706" s="857"/>
      <c r="D706" s="857"/>
      <c r="E706" s="857"/>
      <c r="F706" s="857"/>
      <c r="G706" s="857"/>
      <c r="H706" s="857"/>
      <c r="I706" s="857"/>
      <c r="J706" s="857"/>
      <c r="K706" s="857"/>
      <c r="L706" s="857"/>
      <c r="M706" s="857"/>
      <c r="N706" s="857"/>
      <c r="O706" s="857"/>
      <c r="P706" s="857"/>
      <c r="Q706" s="857"/>
      <c r="R706" s="857"/>
      <c r="S706" s="857"/>
      <c r="T706" s="857"/>
      <c r="U706" s="857"/>
      <c r="V706" s="857"/>
      <c r="W706" s="857"/>
      <c r="X706" s="857"/>
      <c r="Y706" s="857"/>
      <c r="Z706" s="857"/>
      <c r="AA706" s="857"/>
      <c r="AB706" s="857"/>
      <c r="AC706" s="857"/>
      <c r="AD706" s="857"/>
      <c r="AE706" s="857"/>
      <c r="AF706" s="857"/>
      <c r="AG706" s="857"/>
      <c r="AH706" s="857"/>
      <c r="AI706" s="857"/>
      <c r="AJ706" s="857"/>
      <c r="AK706" s="857"/>
      <c r="AL706" s="857"/>
      <c r="AM706" s="857"/>
      <c r="AN706" s="857"/>
      <c r="AO706" s="857"/>
      <c r="AP706" s="857"/>
      <c r="AQ706" s="857"/>
      <c r="AR706" s="857"/>
      <c r="AS706" s="857"/>
      <c r="AT706" s="855"/>
      <c r="AV706" s="857"/>
      <c r="AW706" s="857"/>
      <c r="AX706" s="857"/>
      <c r="AY706" s="857"/>
      <c r="AZ706" s="857"/>
      <c r="BA706" s="857"/>
      <c r="BB706" s="857"/>
      <c r="BC706" s="857"/>
      <c r="BD706" s="857"/>
      <c r="BE706" s="857"/>
      <c r="BF706" s="857"/>
      <c r="BG706" s="857"/>
    </row>
    <row r="707" spans="1:59" ht="15.75" customHeight="1">
      <c r="A707" s="857"/>
      <c r="B707" s="857"/>
      <c r="C707" s="857"/>
      <c r="D707" s="857"/>
      <c r="E707" s="857"/>
      <c r="F707" s="857"/>
      <c r="G707" s="857"/>
      <c r="H707" s="857"/>
      <c r="I707" s="857"/>
      <c r="J707" s="857"/>
      <c r="K707" s="857"/>
      <c r="L707" s="857"/>
      <c r="M707" s="857"/>
      <c r="N707" s="857"/>
      <c r="O707" s="857"/>
      <c r="P707" s="857"/>
      <c r="Q707" s="857"/>
      <c r="R707" s="857"/>
      <c r="S707" s="857"/>
      <c r="T707" s="857"/>
      <c r="U707" s="857"/>
      <c r="V707" s="857"/>
      <c r="W707" s="857"/>
      <c r="X707" s="857"/>
      <c r="Y707" s="857"/>
      <c r="Z707" s="857"/>
      <c r="AA707" s="857"/>
      <c r="AB707" s="857"/>
      <c r="AC707" s="857"/>
      <c r="AD707" s="857"/>
      <c r="AE707" s="857"/>
      <c r="AF707" s="857"/>
      <c r="AG707" s="857"/>
      <c r="AH707" s="857"/>
      <c r="AI707" s="857"/>
      <c r="AJ707" s="857"/>
      <c r="AK707" s="857"/>
      <c r="AL707" s="857"/>
      <c r="AM707" s="857"/>
      <c r="AN707" s="857"/>
      <c r="AO707" s="857"/>
      <c r="AP707" s="857"/>
      <c r="AQ707" s="857"/>
      <c r="AR707" s="857"/>
      <c r="AS707" s="857"/>
      <c r="AT707" s="855"/>
      <c r="AV707" s="857"/>
      <c r="AW707" s="857"/>
      <c r="AX707" s="857"/>
      <c r="AY707" s="857"/>
      <c r="AZ707" s="857"/>
      <c r="BA707" s="857"/>
      <c r="BB707" s="857"/>
      <c r="BC707" s="857"/>
      <c r="BD707" s="857"/>
      <c r="BE707" s="857"/>
      <c r="BF707" s="857"/>
      <c r="BG707" s="857"/>
    </row>
    <row r="708" spans="1:59" ht="15.75" customHeight="1">
      <c r="A708" s="857"/>
      <c r="B708" s="857"/>
      <c r="C708" s="857"/>
      <c r="D708" s="857"/>
      <c r="E708" s="857"/>
      <c r="F708" s="857"/>
      <c r="G708" s="857"/>
      <c r="H708" s="857"/>
      <c r="I708" s="857"/>
      <c r="J708" s="857"/>
      <c r="K708" s="857"/>
      <c r="L708" s="857"/>
      <c r="M708" s="857"/>
      <c r="N708" s="857"/>
      <c r="O708" s="857"/>
      <c r="P708" s="857"/>
      <c r="Q708" s="857"/>
      <c r="R708" s="857"/>
      <c r="S708" s="857"/>
      <c r="T708" s="857"/>
      <c r="U708" s="857"/>
      <c r="V708" s="857"/>
      <c r="W708" s="857"/>
      <c r="X708" s="857"/>
      <c r="Y708" s="857"/>
      <c r="Z708" s="857"/>
      <c r="AA708" s="857"/>
      <c r="AB708" s="857"/>
      <c r="AC708" s="857"/>
      <c r="AD708" s="857"/>
      <c r="AE708" s="857"/>
      <c r="AF708" s="857"/>
      <c r="AG708" s="857"/>
      <c r="AH708" s="857"/>
      <c r="AI708" s="857"/>
      <c r="AJ708" s="857"/>
      <c r="AK708" s="857"/>
      <c r="AL708" s="857"/>
      <c r="AM708" s="857"/>
      <c r="AN708" s="857"/>
      <c r="AO708" s="857"/>
      <c r="AP708" s="857"/>
      <c r="AQ708" s="857"/>
      <c r="AR708" s="857"/>
      <c r="AS708" s="857"/>
      <c r="AT708" s="855"/>
      <c r="AV708" s="857"/>
      <c r="AW708" s="857"/>
      <c r="AX708" s="857"/>
      <c r="AY708" s="857"/>
      <c r="AZ708" s="857"/>
      <c r="BA708" s="857"/>
      <c r="BB708" s="857"/>
      <c r="BC708" s="857"/>
      <c r="BD708" s="857"/>
      <c r="BE708" s="857"/>
      <c r="BF708" s="857"/>
      <c r="BG708" s="857"/>
    </row>
    <row r="709" spans="1:59" ht="15.75" customHeight="1">
      <c r="A709" s="857"/>
      <c r="B709" s="857"/>
      <c r="C709" s="857"/>
      <c r="D709" s="857"/>
      <c r="E709" s="857"/>
      <c r="F709" s="857"/>
      <c r="G709" s="857"/>
      <c r="H709" s="857"/>
      <c r="I709" s="857"/>
      <c r="J709" s="857"/>
      <c r="K709" s="857"/>
      <c r="L709" s="857"/>
      <c r="M709" s="857"/>
      <c r="N709" s="857"/>
      <c r="O709" s="857"/>
      <c r="P709" s="857"/>
      <c r="Q709" s="857"/>
      <c r="R709" s="857"/>
      <c r="S709" s="857"/>
      <c r="T709" s="857"/>
      <c r="U709" s="857"/>
      <c r="V709" s="857"/>
      <c r="W709" s="857"/>
      <c r="X709" s="857"/>
      <c r="Y709" s="857"/>
      <c r="Z709" s="857"/>
      <c r="AA709" s="857"/>
      <c r="AB709" s="857"/>
      <c r="AC709" s="857"/>
      <c r="AD709" s="857"/>
      <c r="AE709" s="857"/>
      <c r="AF709" s="857"/>
      <c r="AG709" s="857"/>
      <c r="AH709" s="857"/>
      <c r="AI709" s="857"/>
      <c r="AJ709" s="857"/>
      <c r="AK709" s="857"/>
      <c r="AL709" s="857"/>
      <c r="AM709" s="857"/>
      <c r="AN709" s="857"/>
      <c r="AO709" s="857"/>
      <c r="AP709" s="857"/>
      <c r="AQ709" s="857"/>
      <c r="AR709" s="857"/>
      <c r="AS709" s="857"/>
      <c r="AT709" s="855"/>
      <c r="AV709" s="857"/>
      <c r="AW709" s="857"/>
      <c r="AX709" s="857"/>
      <c r="AY709" s="857"/>
      <c r="AZ709" s="857"/>
      <c r="BA709" s="857"/>
      <c r="BB709" s="857"/>
      <c r="BC709" s="857"/>
      <c r="BD709" s="857"/>
      <c r="BE709" s="857"/>
      <c r="BF709" s="857"/>
      <c r="BG709" s="857"/>
    </row>
    <row r="710" spans="1:59" ht="15.75" customHeight="1">
      <c r="A710" s="857"/>
      <c r="B710" s="857"/>
      <c r="C710" s="857"/>
      <c r="D710" s="857"/>
      <c r="E710" s="857"/>
      <c r="F710" s="857"/>
      <c r="G710" s="857"/>
      <c r="H710" s="857"/>
      <c r="I710" s="857"/>
      <c r="J710" s="857"/>
      <c r="K710" s="857"/>
      <c r="L710" s="857"/>
      <c r="M710" s="857"/>
      <c r="N710" s="857"/>
      <c r="O710" s="857"/>
      <c r="P710" s="857"/>
      <c r="Q710" s="857"/>
      <c r="R710" s="857"/>
      <c r="S710" s="857"/>
      <c r="T710" s="857"/>
      <c r="U710" s="857"/>
      <c r="V710" s="857"/>
      <c r="W710" s="857"/>
      <c r="X710" s="857"/>
      <c r="Y710" s="857"/>
      <c r="Z710" s="857"/>
      <c r="AA710" s="857"/>
      <c r="AB710" s="857"/>
      <c r="AC710" s="857"/>
      <c r="AD710" s="857"/>
      <c r="AE710" s="857"/>
      <c r="AF710" s="857"/>
      <c r="AG710" s="857"/>
      <c r="AH710" s="857"/>
      <c r="AI710" s="857"/>
      <c r="AJ710" s="857"/>
      <c r="AK710" s="857"/>
      <c r="AL710" s="857"/>
      <c r="AM710" s="857"/>
      <c r="AN710" s="857"/>
      <c r="AO710" s="857"/>
      <c r="AP710" s="857"/>
      <c r="AQ710" s="857"/>
      <c r="AR710" s="857"/>
      <c r="AS710" s="857"/>
      <c r="AT710" s="855"/>
      <c r="AV710" s="857"/>
      <c r="AW710" s="857"/>
      <c r="AX710" s="857"/>
      <c r="AY710" s="857"/>
      <c r="AZ710" s="857"/>
      <c r="BA710" s="857"/>
      <c r="BB710" s="857"/>
      <c r="BC710" s="857"/>
      <c r="BD710" s="857"/>
      <c r="BE710" s="857"/>
      <c r="BF710" s="857"/>
      <c r="BG710" s="857"/>
    </row>
    <row r="711" spans="1:59" ht="15.75" customHeight="1">
      <c r="A711" s="857"/>
      <c r="B711" s="857"/>
      <c r="C711" s="857"/>
      <c r="D711" s="857"/>
      <c r="E711" s="857"/>
      <c r="F711" s="857"/>
      <c r="G711" s="857"/>
      <c r="H711" s="857"/>
      <c r="I711" s="857"/>
      <c r="J711" s="857"/>
      <c r="K711" s="857"/>
      <c r="L711" s="857"/>
      <c r="M711" s="857"/>
      <c r="N711" s="857"/>
      <c r="O711" s="857"/>
      <c r="P711" s="857"/>
      <c r="Q711" s="857"/>
      <c r="R711" s="857"/>
      <c r="S711" s="857"/>
      <c r="T711" s="857"/>
      <c r="U711" s="857"/>
      <c r="V711" s="857"/>
      <c r="W711" s="857"/>
      <c r="X711" s="857"/>
      <c r="Y711" s="857"/>
      <c r="Z711" s="857"/>
      <c r="AA711" s="857"/>
      <c r="AB711" s="857"/>
      <c r="AC711" s="857"/>
      <c r="AD711" s="857"/>
      <c r="AE711" s="857"/>
      <c r="AF711" s="857"/>
      <c r="AG711" s="857"/>
      <c r="AH711" s="857"/>
      <c r="AI711" s="857"/>
      <c r="AJ711" s="857"/>
      <c r="AK711" s="857"/>
      <c r="AL711" s="857"/>
      <c r="AM711" s="857"/>
      <c r="AN711" s="857"/>
      <c r="AO711" s="857"/>
      <c r="AP711" s="857"/>
      <c r="AQ711" s="857"/>
      <c r="AR711" s="857"/>
      <c r="AS711" s="857"/>
      <c r="AT711" s="855"/>
      <c r="AV711" s="857"/>
      <c r="AW711" s="857"/>
      <c r="AX711" s="857"/>
      <c r="AY711" s="857"/>
      <c r="AZ711" s="857"/>
      <c r="BA711" s="857"/>
      <c r="BB711" s="857"/>
      <c r="BC711" s="857"/>
      <c r="BD711" s="857"/>
      <c r="BE711" s="857"/>
      <c r="BF711" s="857"/>
      <c r="BG711" s="857"/>
    </row>
    <row r="712" spans="1:59" ht="15.75" customHeight="1">
      <c r="A712" s="857"/>
      <c r="B712" s="857"/>
      <c r="C712" s="857"/>
      <c r="D712" s="857"/>
      <c r="E712" s="857"/>
      <c r="F712" s="857"/>
      <c r="G712" s="857"/>
      <c r="H712" s="857"/>
      <c r="I712" s="857"/>
      <c r="J712" s="857"/>
      <c r="K712" s="857"/>
      <c r="L712" s="857"/>
      <c r="M712" s="857"/>
      <c r="N712" s="857"/>
      <c r="O712" s="857"/>
      <c r="P712" s="857"/>
      <c r="Q712" s="857"/>
      <c r="R712" s="857"/>
      <c r="S712" s="857"/>
      <c r="T712" s="857"/>
      <c r="U712" s="857"/>
      <c r="V712" s="857"/>
      <c r="W712" s="857"/>
      <c r="X712" s="857"/>
      <c r="Y712" s="857"/>
      <c r="Z712" s="857"/>
      <c r="AA712" s="857"/>
      <c r="AB712" s="857"/>
      <c r="AC712" s="857"/>
      <c r="AD712" s="857"/>
      <c r="AE712" s="857"/>
      <c r="AF712" s="857"/>
      <c r="AG712" s="857"/>
      <c r="AH712" s="857"/>
      <c r="AI712" s="857"/>
      <c r="AJ712" s="857"/>
      <c r="AK712" s="857"/>
      <c r="AL712" s="857"/>
      <c r="AM712" s="857"/>
      <c r="AN712" s="857"/>
      <c r="AO712" s="857"/>
      <c r="AP712" s="857"/>
      <c r="AQ712" s="857"/>
      <c r="AR712" s="857"/>
      <c r="AS712" s="857"/>
      <c r="AT712" s="855"/>
      <c r="AV712" s="857"/>
      <c r="AW712" s="857"/>
      <c r="AX712" s="857"/>
      <c r="AY712" s="857"/>
      <c r="AZ712" s="857"/>
      <c r="BA712" s="857"/>
      <c r="BB712" s="857"/>
      <c r="BC712" s="857"/>
      <c r="BD712" s="857"/>
      <c r="BE712" s="857"/>
      <c r="BF712" s="857"/>
      <c r="BG712" s="857"/>
    </row>
    <row r="713" spans="1:59" ht="15.75" customHeight="1">
      <c r="A713" s="857"/>
      <c r="B713" s="857"/>
      <c r="C713" s="857"/>
      <c r="D713" s="857"/>
      <c r="E713" s="857"/>
      <c r="F713" s="857"/>
      <c r="G713" s="857"/>
      <c r="H713" s="857"/>
      <c r="I713" s="857"/>
      <c r="J713" s="857"/>
      <c r="K713" s="857"/>
      <c r="L713" s="857"/>
      <c r="M713" s="857"/>
      <c r="N713" s="857"/>
      <c r="O713" s="857"/>
      <c r="P713" s="857"/>
      <c r="Q713" s="857"/>
      <c r="R713" s="857"/>
      <c r="S713" s="857"/>
      <c r="T713" s="857"/>
      <c r="U713" s="857"/>
      <c r="V713" s="857"/>
      <c r="W713" s="857"/>
      <c r="X713" s="857"/>
      <c r="Y713" s="857"/>
      <c r="Z713" s="857"/>
      <c r="AA713" s="857"/>
      <c r="AB713" s="857"/>
      <c r="AC713" s="857"/>
      <c r="AD713" s="857"/>
      <c r="AE713" s="857"/>
      <c r="AF713" s="857"/>
      <c r="AG713" s="857"/>
      <c r="AH713" s="857"/>
      <c r="AI713" s="857"/>
      <c r="AJ713" s="857"/>
      <c r="AK713" s="857"/>
      <c r="AL713" s="857"/>
      <c r="AM713" s="857"/>
      <c r="AN713" s="857"/>
      <c r="AO713" s="857"/>
      <c r="AP713" s="857"/>
      <c r="AQ713" s="857"/>
      <c r="AR713" s="857"/>
      <c r="AS713" s="857"/>
      <c r="AT713" s="855"/>
      <c r="AV713" s="857"/>
      <c r="AW713" s="857"/>
      <c r="AX713" s="857"/>
      <c r="AY713" s="857"/>
      <c r="AZ713" s="857"/>
      <c r="BA713" s="857"/>
      <c r="BB713" s="857"/>
      <c r="BC713" s="857"/>
      <c r="BD713" s="857"/>
      <c r="BE713" s="857"/>
      <c r="BF713" s="857"/>
      <c r="BG713" s="857"/>
    </row>
    <row r="714" spans="1:59" ht="15.75" customHeight="1">
      <c r="A714" s="857"/>
      <c r="B714" s="857"/>
      <c r="C714" s="857"/>
      <c r="D714" s="857"/>
      <c r="E714" s="857"/>
      <c r="F714" s="857"/>
      <c r="G714" s="857"/>
      <c r="H714" s="857"/>
      <c r="I714" s="857"/>
      <c r="J714" s="857"/>
      <c r="K714" s="857"/>
      <c r="L714" s="857"/>
      <c r="M714" s="857"/>
      <c r="N714" s="857"/>
      <c r="O714" s="857"/>
      <c r="P714" s="857"/>
      <c r="Q714" s="857"/>
      <c r="R714" s="857"/>
      <c r="S714" s="857"/>
      <c r="T714" s="857"/>
      <c r="U714" s="857"/>
      <c r="V714" s="857"/>
      <c r="W714" s="857"/>
      <c r="X714" s="857"/>
      <c r="Y714" s="857"/>
      <c r="Z714" s="857"/>
      <c r="AA714" s="857"/>
      <c r="AB714" s="857"/>
      <c r="AC714" s="857"/>
      <c r="AD714" s="857"/>
      <c r="AE714" s="857"/>
      <c r="AF714" s="857"/>
      <c r="AG714" s="857"/>
      <c r="AH714" s="857"/>
      <c r="AI714" s="857"/>
      <c r="AJ714" s="857"/>
      <c r="AK714" s="857"/>
      <c r="AL714" s="857"/>
      <c r="AM714" s="857"/>
      <c r="AN714" s="857"/>
      <c r="AO714" s="857"/>
      <c r="AP714" s="857"/>
      <c r="AQ714" s="857"/>
      <c r="AR714" s="857"/>
      <c r="AS714" s="857"/>
      <c r="AT714" s="855"/>
      <c r="AV714" s="857"/>
      <c r="AW714" s="857"/>
      <c r="AX714" s="857"/>
      <c r="AY714" s="857"/>
      <c r="AZ714" s="857"/>
      <c r="BA714" s="857"/>
      <c r="BB714" s="857"/>
      <c r="BC714" s="857"/>
      <c r="BD714" s="857"/>
      <c r="BE714" s="857"/>
      <c r="BF714" s="857"/>
      <c r="BG714" s="857"/>
    </row>
    <row r="715" spans="1:59" ht="15.75" customHeight="1">
      <c r="A715" s="857"/>
      <c r="B715" s="857"/>
      <c r="C715" s="857"/>
      <c r="D715" s="857"/>
      <c r="E715" s="857"/>
      <c r="F715" s="857"/>
      <c r="G715" s="857"/>
      <c r="H715" s="857"/>
      <c r="I715" s="857"/>
      <c r="J715" s="857"/>
      <c r="K715" s="857"/>
      <c r="L715" s="857"/>
      <c r="M715" s="857"/>
      <c r="N715" s="857"/>
      <c r="O715" s="857"/>
      <c r="P715" s="857"/>
      <c r="Q715" s="857"/>
      <c r="R715" s="857"/>
      <c r="S715" s="857"/>
      <c r="T715" s="857"/>
      <c r="U715" s="857"/>
      <c r="V715" s="857"/>
      <c r="W715" s="857"/>
      <c r="X715" s="857"/>
      <c r="Y715" s="857"/>
      <c r="Z715" s="857"/>
      <c r="AA715" s="857"/>
      <c r="AB715" s="857"/>
      <c r="AC715" s="857"/>
      <c r="AD715" s="857"/>
      <c r="AE715" s="857"/>
      <c r="AF715" s="857"/>
      <c r="AG715" s="857"/>
      <c r="AH715" s="857"/>
      <c r="AI715" s="857"/>
      <c r="AJ715" s="857"/>
      <c r="AK715" s="857"/>
      <c r="AL715" s="857"/>
      <c r="AM715" s="857"/>
      <c r="AN715" s="857"/>
      <c r="AO715" s="857"/>
      <c r="AP715" s="857"/>
      <c r="AQ715" s="857"/>
      <c r="AR715" s="857"/>
      <c r="AS715" s="857"/>
      <c r="AT715" s="855"/>
      <c r="AV715" s="857"/>
      <c r="AW715" s="857"/>
      <c r="AX715" s="857"/>
      <c r="AY715" s="857"/>
      <c r="AZ715" s="857"/>
      <c r="BA715" s="857"/>
      <c r="BB715" s="857"/>
      <c r="BC715" s="857"/>
      <c r="BD715" s="857"/>
      <c r="BE715" s="857"/>
      <c r="BF715" s="857"/>
      <c r="BG715" s="857"/>
    </row>
    <row r="716" spans="1:59" ht="15.75" customHeight="1">
      <c r="A716" s="857"/>
      <c r="B716" s="857"/>
      <c r="C716" s="857"/>
      <c r="D716" s="857"/>
      <c r="E716" s="857"/>
      <c r="F716" s="857"/>
      <c r="G716" s="857"/>
      <c r="H716" s="857"/>
      <c r="I716" s="857"/>
      <c r="J716" s="857"/>
      <c r="K716" s="857"/>
      <c r="L716" s="857"/>
      <c r="M716" s="857"/>
      <c r="N716" s="857"/>
      <c r="O716" s="857"/>
      <c r="P716" s="857"/>
      <c r="Q716" s="857"/>
      <c r="R716" s="857"/>
      <c r="S716" s="857"/>
      <c r="T716" s="857"/>
      <c r="U716" s="857"/>
      <c r="V716" s="857"/>
      <c r="W716" s="857"/>
      <c r="X716" s="857"/>
      <c r="Y716" s="857"/>
      <c r="Z716" s="857"/>
      <c r="AA716" s="857"/>
      <c r="AB716" s="857"/>
      <c r="AC716" s="857"/>
      <c r="AD716" s="857"/>
      <c r="AE716" s="857"/>
      <c r="AF716" s="857"/>
      <c r="AG716" s="857"/>
      <c r="AH716" s="857"/>
      <c r="AI716" s="857"/>
      <c r="AJ716" s="857"/>
      <c r="AK716" s="857"/>
      <c r="AL716" s="857"/>
      <c r="AM716" s="857"/>
      <c r="AN716" s="857"/>
      <c r="AO716" s="857"/>
      <c r="AP716" s="857"/>
      <c r="AQ716" s="857"/>
      <c r="AR716" s="857"/>
      <c r="AS716" s="857"/>
      <c r="AT716" s="855"/>
      <c r="AV716" s="857"/>
      <c r="AW716" s="857"/>
      <c r="AX716" s="857"/>
      <c r="AY716" s="857"/>
      <c r="AZ716" s="857"/>
      <c r="BA716" s="857"/>
      <c r="BB716" s="857"/>
      <c r="BC716" s="857"/>
      <c r="BD716" s="857"/>
      <c r="BE716" s="857"/>
      <c r="BF716" s="857"/>
      <c r="BG716" s="857"/>
    </row>
    <row r="717" spans="1:59" ht="15.75" customHeight="1">
      <c r="A717" s="857"/>
      <c r="B717" s="857"/>
      <c r="C717" s="857"/>
      <c r="D717" s="857"/>
      <c r="E717" s="857"/>
      <c r="F717" s="857"/>
      <c r="G717" s="857"/>
      <c r="H717" s="857"/>
      <c r="I717" s="857"/>
      <c r="J717" s="857"/>
      <c r="K717" s="857"/>
      <c r="L717" s="857"/>
      <c r="M717" s="857"/>
      <c r="N717" s="857"/>
      <c r="O717" s="857"/>
      <c r="P717" s="857"/>
      <c r="Q717" s="857"/>
      <c r="R717" s="857"/>
      <c r="S717" s="857"/>
      <c r="T717" s="857"/>
      <c r="U717" s="857"/>
      <c r="V717" s="857"/>
      <c r="W717" s="857"/>
      <c r="X717" s="857"/>
      <c r="Y717" s="857"/>
      <c r="Z717" s="857"/>
      <c r="AA717" s="857"/>
      <c r="AB717" s="857"/>
      <c r="AC717" s="857"/>
      <c r="AD717" s="857"/>
      <c r="AE717" s="857"/>
      <c r="AF717" s="857"/>
      <c r="AG717" s="857"/>
      <c r="AH717" s="857"/>
      <c r="AI717" s="857"/>
      <c r="AJ717" s="857"/>
      <c r="AK717" s="857"/>
      <c r="AL717" s="857"/>
      <c r="AM717" s="857"/>
      <c r="AN717" s="857"/>
      <c r="AO717" s="857"/>
      <c r="AP717" s="857"/>
      <c r="AQ717" s="857"/>
      <c r="AR717" s="857"/>
      <c r="AS717" s="857"/>
      <c r="AT717" s="855"/>
      <c r="AV717" s="857"/>
      <c r="AW717" s="857"/>
      <c r="AX717" s="857"/>
      <c r="AY717" s="857"/>
      <c r="AZ717" s="857"/>
      <c r="BA717" s="857"/>
      <c r="BB717" s="857"/>
      <c r="BC717" s="857"/>
      <c r="BD717" s="857"/>
      <c r="BE717" s="857"/>
      <c r="BF717" s="857"/>
      <c r="BG717" s="857"/>
    </row>
    <row r="718" spans="1:59" ht="15.75" customHeight="1">
      <c r="A718" s="857"/>
      <c r="B718" s="857"/>
      <c r="C718" s="857"/>
      <c r="D718" s="857"/>
      <c r="E718" s="857"/>
      <c r="F718" s="857"/>
      <c r="G718" s="857"/>
      <c r="H718" s="857"/>
      <c r="I718" s="857"/>
      <c r="J718" s="857"/>
      <c r="K718" s="857"/>
      <c r="L718" s="857"/>
      <c r="M718" s="857"/>
      <c r="N718" s="857"/>
      <c r="O718" s="857"/>
      <c r="P718" s="857"/>
      <c r="Q718" s="857"/>
      <c r="R718" s="857"/>
      <c r="S718" s="857"/>
      <c r="T718" s="857"/>
      <c r="U718" s="857"/>
      <c r="V718" s="857"/>
      <c r="W718" s="857"/>
      <c r="X718" s="857"/>
      <c r="Y718" s="857"/>
      <c r="Z718" s="857"/>
      <c r="AA718" s="857"/>
      <c r="AB718" s="857"/>
      <c r="AC718" s="857"/>
      <c r="AD718" s="857"/>
      <c r="AE718" s="857"/>
      <c r="AF718" s="857"/>
      <c r="AG718" s="857"/>
      <c r="AH718" s="857"/>
      <c r="AI718" s="857"/>
      <c r="AJ718" s="857"/>
      <c r="AK718" s="857"/>
      <c r="AL718" s="857"/>
      <c r="AM718" s="857"/>
      <c r="AN718" s="857"/>
      <c r="AO718" s="857"/>
      <c r="AP718" s="857"/>
      <c r="AQ718" s="857"/>
      <c r="AR718" s="857"/>
      <c r="AS718" s="857"/>
      <c r="AT718" s="855"/>
      <c r="AV718" s="857"/>
      <c r="AW718" s="857"/>
      <c r="AX718" s="857"/>
      <c r="AY718" s="857"/>
      <c r="AZ718" s="857"/>
      <c r="BA718" s="857"/>
      <c r="BB718" s="857"/>
      <c r="BC718" s="857"/>
      <c r="BD718" s="857"/>
      <c r="BE718" s="857"/>
      <c r="BF718" s="857"/>
      <c r="BG718" s="857"/>
    </row>
    <row r="719" spans="1:59" ht="15.75" customHeight="1">
      <c r="A719" s="857"/>
      <c r="B719" s="857"/>
      <c r="C719" s="857"/>
      <c r="D719" s="857"/>
      <c r="E719" s="857"/>
      <c r="F719" s="857"/>
      <c r="G719" s="857"/>
      <c r="H719" s="857"/>
      <c r="I719" s="857"/>
      <c r="J719" s="857"/>
      <c r="K719" s="857"/>
      <c r="L719" s="857"/>
      <c r="M719" s="857"/>
      <c r="N719" s="857"/>
      <c r="O719" s="857"/>
      <c r="P719" s="857"/>
      <c r="Q719" s="857"/>
      <c r="R719" s="857"/>
      <c r="S719" s="857"/>
      <c r="T719" s="857"/>
      <c r="U719" s="857"/>
      <c r="V719" s="857"/>
      <c r="W719" s="857"/>
      <c r="X719" s="857"/>
      <c r="Y719" s="857"/>
      <c r="Z719" s="857"/>
      <c r="AA719" s="857"/>
      <c r="AB719" s="857"/>
      <c r="AC719" s="857"/>
      <c r="AD719" s="857"/>
      <c r="AE719" s="857"/>
      <c r="AF719" s="857"/>
      <c r="AG719" s="857"/>
      <c r="AH719" s="857"/>
      <c r="AI719" s="857"/>
      <c r="AJ719" s="857"/>
      <c r="AK719" s="857"/>
      <c r="AL719" s="857"/>
      <c r="AM719" s="857"/>
      <c r="AN719" s="857"/>
      <c r="AO719" s="857"/>
      <c r="AP719" s="857"/>
      <c r="AQ719" s="857"/>
      <c r="AR719" s="857"/>
      <c r="AS719" s="857"/>
      <c r="AT719" s="855"/>
      <c r="AV719" s="857"/>
      <c r="AW719" s="857"/>
      <c r="AX719" s="857"/>
      <c r="AY719" s="857"/>
      <c r="AZ719" s="857"/>
      <c r="BA719" s="857"/>
      <c r="BB719" s="857"/>
      <c r="BC719" s="857"/>
      <c r="BD719" s="857"/>
      <c r="BE719" s="857"/>
      <c r="BF719" s="857"/>
      <c r="BG719" s="857"/>
    </row>
    <row r="720" spans="1:59" ht="15.75" customHeight="1">
      <c r="A720" s="857"/>
      <c r="B720" s="857"/>
      <c r="C720" s="857"/>
      <c r="D720" s="857"/>
      <c r="E720" s="857"/>
      <c r="F720" s="857"/>
      <c r="G720" s="857"/>
      <c r="H720" s="857"/>
      <c r="I720" s="857"/>
      <c r="J720" s="857"/>
      <c r="K720" s="857"/>
      <c r="L720" s="857"/>
      <c r="M720" s="857"/>
      <c r="N720" s="857"/>
      <c r="O720" s="857"/>
      <c r="P720" s="857"/>
      <c r="Q720" s="857"/>
      <c r="R720" s="857"/>
      <c r="S720" s="857"/>
      <c r="T720" s="857"/>
      <c r="U720" s="857"/>
      <c r="V720" s="857"/>
      <c r="W720" s="857"/>
      <c r="X720" s="857"/>
      <c r="Y720" s="857"/>
      <c r="Z720" s="857"/>
      <c r="AA720" s="857"/>
      <c r="AB720" s="857"/>
      <c r="AC720" s="857"/>
      <c r="AD720" s="857"/>
      <c r="AE720" s="857"/>
      <c r="AF720" s="857"/>
      <c r="AG720" s="857"/>
      <c r="AH720" s="857"/>
      <c r="AI720" s="857"/>
      <c r="AJ720" s="857"/>
      <c r="AK720" s="857"/>
      <c r="AL720" s="857"/>
      <c r="AM720" s="857"/>
      <c r="AN720" s="857"/>
      <c r="AO720" s="857"/>
      <c r="AP720" s="857"/>
      <c r="AQ720" s="857"/>
      <c r="AR720" s="857"/>
      <c r="AS720" s="857"/>
      <c r="AT720" s="855"/>
      <c r="AV720" s="857"/>
      <c r="AW720" s="857"/>
      <c r="AX720" s="857"/>
      <c r="AY720" s="857"/>
      <c r="AZ720" s="857"/>
      <c r="BA720" s="857"/>
      <c r="BB720" s="857"/>
      <c r="BC720" s="857"/>
      <c r="BD720" s="857"/>
      <c r="BE720" s="857"/>
      <c r="BF720" s="857"/>
      <c r="BG720" s="857"/>
    </row>
    <row r="721" spans="1:59" ht="15.75" customHeight="1">
      <c r="A721" s="857"/>
      <c r="B721" s="857"/>
      <c r="C721" s="857"/>
      <c r="D721" s="857"/>
      <c r="E721" s="857"/>
      <c r="F721" s="857"/>
      <c r="G721" s="857"/>
      <c r="H721" s="857"/>
      <c r="I721" s="857"/>
      <c r="J721" s="857"/>
      <c r="K721" s="857"/>
      <c r="L721" s="857"/>
      <c r="M721" s="857"/>
      <c r="N721" s="857"/>
      <c r="O721" s="857"/>
      <c r="P721" s="857"/>
      <c r="Q721" s="857"/>
      <c r="R721" s="857"/>
      <c r="S721" s="857"/>
      <c r="T721" s="857"/>
      <c r="U721" s="857"/>
      <c r="V721" s="857"/>
      <c r="W721" s="857"/>
      <c r="X721" s="857"/>
      <c r="Y721" s="857"/>
      <c r="Z721" s="857"/>
      <c r="AA721" s="857"/>
      <c r="AB721" s="857"/>
      <c r="AC721" s="857"/>
      <c r="AD721" s="857"/>
      <c r="AE721" s="857"/>
      <c r="AF721" s="857"/>
      <c r="AG721" s="857"/>
      <c r="AH721" s="857"/>
      <c r="AI721" s="857"/>
      <c r="AJ721" s="857"/>
      <c r="AK721" s="857"/>
      <c r="AL721" s="857"/>
      <c r="AM721" s="857"/>
      <c r="AN721" s="857"/>
      <c r="AO721" s="857"/>
      <c r="AP721" s="857"/>
      <c r="AQ721" s="857"/>
      <c r="AR721" s="857"/>
      <c r="AS721" s="857"/>
      <c r="AT721" s="855"/>
      <c r="AV721" s="857"/>
      <c r="AW721" s="857"/>
      <c r="AX721" s="857"/>
      <c r="AY721" s="857"/>
      <c r="AZ721" s="857"/>
      <c r="BA721" s="857"/>
      <c r="BB721" s="857"/>
      <c r="BC721" s="857"/>
      <c r="BD721" s="857"/>
      <c r="BE721" s="857"/>
      <c r="BF721" s="857"/>
      <c r="BG721" s="857"/>
    </row>
    <row r="722" spans="1:59" ht="15.75" customHeight="1">
      <c r="A722" s="857"/>
      <c r="B722" s="857"/>
      <c r="C722" s="857"/>
      <c r="D722" s="857"/>
      <c r="E722" s="857"/>
      <c r="F722" s="857"/>
      <c r="G722" s="857"/>
      <c r="H722" s="857"/>
      <c r="I722" s="857"/>
      <c r="J722" s="857"/>
      <c r="K722" s="857"/>
      <c r="L722" s="857"/>
      <c r="M722" s="857"/>
      <c r="N722" s="857"/>
      <c r="O722" s="857"/>
      <c r="P722" s="857"/>
      <c r="Q722" s="857"/>
      <c r="R722" s="857"/>
      <c r="S722" s="857"/>
      <c r="T722" s="857"/>
      <c r="U722" s="857"/>
      <c r="V722" s="857"/>
      <c r="W722" s="857"/>
      <c r="X722" s="857"/>
      <c r="Y722" s="857"/>
      <c r="Z722" s="857"/>
      <c r="AA722" s="857"/>
      <c r="AB722" s="857"/>
      <c r="AC722" s="857"/>
      <c r="AD722" s="857"/>
      <c r="AE722" s="857"/>
      <c r="AF722" s="857"/>
      <c r="AG722" s="857"/>
      <c r="AH722" s="857"/>
      <c r="AI722" s="857"/>
      <c r="AJ722" s="857"/>
      <c r="AK722" s="857"/>
      <c r="AL722" s="857"/>
      <c r="AM722" s="857"/>
      <c r="AN722" s="857"/>
      <c r="AO722" s="857"/>
      <c r="AP722" s="857"/>
      <c r="AQ722" s="857"/>
      <c r="AR722" s="857"/>
      <c r="AS722" s="857"/>
      <c r="AT722" s="855"/>
      <c r="AV722" s="857"/>
      <c r="AW722" s="857"/>
      <c r="AX722" s="857"/>
      <c r="AY722" s="857"/>
      <c r="AZ722" s="857"/>
      <c r="BA722" s="857"/>
      <c r="BB722" s="857"/>
      <c r="BC722" s="857"/>
      <c r="BD722" s="857"/>
      <c r="BE722" s="857"/>
      <c r="BF722" s="857"/>
      <c r="BG722" s="857"/>
    </row>
    <row r="723" spans="1:59" ht="15.75" customHeight="1">
      <c r="A723" s="857"/>
      <c r="B723" s="857"/>
      <c r="C723" s="857"/>
      <c r="D723" s="857"/>
      <c r="E723" s="857"/>
      <c r="F723" s="857"/>
      <c r="G723" s="857"/>
      <c r="H723" s="857"/>
      <c r="I723" s="857"/>
      <c r="J723" s="857"/>
      <c r="K723" s="857"/>
      <c r="L723" s="857"/>
      <c r="M723" s="857"/>
      <c r="N723" s="857"/>
      <c r="O723" s="857"/>
      <c r="P723" s="857"/>
      <c r="Q723" s="857"/>
      <c r="R723" s="857"/>
      <c r="S723" s="857"/>
      <c r="T723" s="857"/>
      <c r="U723" s="857"/>
      <c r="V723" s="857"/>
      <c r="W723" s="857"/>
      <c r="X723" s="857"/>
      <c r="Y723" s="857"/>
      <c r="Z723" s="857"/>
      <c r="AA723" s="857"/>
      <c r="AB723" s="857"/>
      <c r="AC723" s="857"/>
      <c r="AD723" s="857"/>
      <c r="AE723" s="857"/>
      <c r="AF723" s="857"/>
      <c r="AG723" s="857"/>
      <c r="AH723" s="857"/>
      <c r="AI723" s="857"/>
      <c r="AJ723" s="857"/>
      <c r="AK723" s="857"/>
      <c r="AL723" s="857"/>
      <c r="AM723" s="857"/>
      <c r="AN723" s="857"/>
      <c r="AO723" s="857"/>
      <c r="AP723" s="857"/>
      <c r="AQ723" s="857"/>
      <c r="AR723" s="857"/>
      <c r="AS723" s="857"/>
      <c r="AT723" s="855"/>
      <c r="AV723" s="857"/>
      <c r="AW723" s="857"/>
      <c r="AX723" s="857"/>
      <c r="AY723" s="857"/>
      <c r="AZ723" s="857"/>
      <c r="BA723" s="857"/>
      <c r="BB723" s="857"/>
      <c r="BC723" s="857"/>
      <c r="BD723" s="857"/>
      <c r="BE723" s="857"/>
      <c r="BF723" s="857"/>
      <c r="BG723" s="857"/>
    </row>
    <row r="724" spans="1:59" ht="15.75" customHeight="1">
      <c r="A724" s="857"/>
      <c r="B724" s="857"/>
      <c r="C724" s="857"/>
      <c r="D724" s="857"/>
      <c r="E724" s="857"/>
      <c r="F724" s="857"/>
      <c r="G724" s="857"/>
      <c r="H724" s="857"/>
      <c r="I724" s="857"/>
      <c r="J724" s="857"/>
      <c r="K724" s="857"/>
      <c r="L724" s="857"/>
      <c r="M724" s="857"/>
      <c r="N724" s="857"/>
      <c r="O724" s="857"/>
      <c r="P724" s="857"/>
      <c r="Q724" s="857"/>
      <c r="R724" s="857"/>
      <c r="S724" s="857"/>
      <c r="T724" s="857"/>
      <c r="U724" s="857"/>
      <c r="V724" s="857"/>
      <c r="W724" s="857"/>
      <c r="X724" s="857"/>
      <c r="Y724" s="857"/>
      <c r="Z724" s="857"/>
      <c r="AA724" s="857"/>
      <c r="AB724" s="857"/>
      <c r="AC724" s="857"/>
      <c r="AD724" s="857"/>
      <c r="AE724" s="857"/>
      <c r="AF724" s="857"/>
      <c r="AG724" s="857"/>
      <c r="AH724" s="857"/>
      <c r="AI724" s="857"/>
      <c r="AJ724" s="857"/>
      <c r="AK724" s="857"/>
      <c r="AL724" s="857"/>
      <c r="AM724" s="857"/>
      <c r="AN724" s="857"/>
      <c r="AO724" s="857"/>
      <c r="AP724" s="857"/>
      <c r="AQ724" s="857"/>
      <c r="AR724" s="857"/>
      <c r="AS724" s="857"/>
      <c r="AT724" s="855"/>
      <c r="AV724" s="857"/>
      <c r="AW724" s="857"/>
      <c r="AX724" s="857"/>
      <c r="AY724" s="857"/>
      <c r="AZ724" s="857"/>
      <c r="BA724" s="857"/>
      <c r="BB724" s="857"/>
      <c r="BC724" s="857"/>
      <c r="BD724" s="857"/>
      <c r="BE724" s="857"/>
      <c r="BF724" s="857"/>
      <c r="BG724" s="857"/>
    </row>
    <row r="725" spans="1:59" ht="15.75" customHeight="1">
      <c r="A725" s="857"/>
      <c r="B725" s="857"/>
      <c r="C725" s="857"/>
      <c r="D725" s="857"/>
      <c r="E725" s="857"/>
      <c r="F725" s="857"/>
      <c r="G725" s="857"/>
      <c r="H725" s="857"/>
      <c r="I725" s="857"/>
      <c r="J725" s="857"/>
      <c r="K725" s="857"/>
      <c r="L725" s="857"/>
      <c r="M725" s="857"/>
      <c r="N725" s="857"/>
      <c r="O725" s="857"/>
      <c r="P725" s="857"/>
      <c r="Q725" s="857"/>
      <c r="R725" s="857"/>
      <c r="S725" s="857"/>
      <c r="T725" s="857"/>
      <c r="U725" s="857"/>
      <c r="V725" s="857"/>
      <c r="W725" s="857"/>
      <c r="X725" s="857"/>
      <c r="Y725" s="857"/>
      <c r="Z725" s="857"/>
      <c r="AA725" s="857"/>
      <c r="AB725" s="857"/>
      <c r="AC725" s="857"/>
      <c r="AD725" s="857"/>
      <c r="AE725" s="857"/>
      <c r="AF725" s="857"/>
      <c r="AG725" s="857"/>
      <c r="AH725" s="857"/>
      <c r="AI725" s="857"/>
      <c r="AJ725" s="857"/>
      <c r="AK725" s="857"/>
      <c r="AL725" s="857"/>
      <c r="AM725" s="857"/>
      <c r="AN725" s="857"/>
      <c r="AO725" s="857"/>
      <c r="AP725" s="857"/>
      <c r="AQ725" s="857"/>
      <c r="AR725" s="857"/>
      <c r="AS725" s="857"/>
      <c r="AT725" s="855"/>
      <c r="AV725" s="857"/>
      <c r="AW725" s="857"/>
      <c r="AX725" s="857"/>
      <c r="AY725" s="857"/>
      <c r="AZ725" s="857"/>
      <c r="BA725" s="857"/>
      <c r="BB725" s="857"/>
      <c r="BC725" s="857"/>
      <c r="BD725" s="857"/>
      <c r="BE725" s="857"/>
      <c r="BF725" s="857"/>
      <c r="BG725" s="857"/>
    </row>
    <row r="726" spans="1:59" ht="15.75" customHeight="1">
      <c r="A726" s="857"/>
      <c r="B726" s="857"/>
      <c r="C726" s="857"/>
      <c r="D726" s="857"/>
      <c r="E726" s="857"/>
      <c r="F726" s="857"/>
      <c r="G726" s="857"/>
      <c r="H726" s="857"/>
      <c r="I726" s="857"/>
      <c r="J726" s="857"/>
      <c r="K726" s="857"/>
      <c r="L726" s="857"/>
      <c r="M726" s="857"/>
      <c r="N726" s="857"/>
      <c r="O726" s="857"/>
      <c r="P726" s="857"/>
      <c r="Q726" s="857"/>
      <c r="R726" s="857"/>
      <c r="S726" s="857"/>
      <c r="T726" s="857"/>
      <c r="U726" s="857"/>
      <c r="V726" s="857"/>
      <c r="W726" s="857"/>
      <c r="X726" s="857"/>
      <c r="Y726" s="857"/>
      <c r="Z726" s="857"/>
      <c r="AA726" s="857"/>
      <c r="AB726" s="857"/>
      <c r="AC726" s="857"/>
      <c r="AD726" s="857"/>
      <c r="AE726" s="857"/>
      <c r="AF726" s="857"/>
      <c r="AG726" s="857"/>
      <c r="AH726" s="857"/>
      <c r="AI726" s="857"/>
      <c r="AJ726" s="857"/>
      <c r="AK726" s="857"/>
      <c r="AL726" s="857"/>
      <c r="AM726" s="857"/>
      <c r="AN726" s="857"/>
      <c r="AO726" s="857"/>
      <c r="AP726" s="857"/>
      <c r="AQ726" s="857"/>
      <c r="AR726" s="857"/>
      <c r="AS726" s="857"/>
      <c r="AT726" s="855"/>
      <c r="AV726" s="857"/>
      <c r="AW726" s="857"/>
      <c r="AX726" s="857"/>
      <c r="AY726" s="857"/>
      <c r="AZ726" s="857"/>
      <c r="BA726" s="857"/>
      <c r="BB726" s="857"/>
      <c r="BC726" s="857"/>
      <c r="BD726" s="857"/>
      <c r="BE726" s="857"/>
      <c r="BF726" s="857"/>
      <c r="BG726" s="857"/>
    </row>
    <row r="727" spans="1:59" ht="15.75" customHeight="1">
      <c r="A727" s="857"/>
      <c r="B727" s="857"/>
      <c r="C727" s="857"/>
      <c r="D727" s="857"/>
      <c r="E727" s="857"/>
      <c r="F727" s="857"/>
      <c r="G727" s="857"/>
      <c r="H727" s="857"/>
      <c r="I727" s="857"/>
      <c r="J727" s="857"/>
      <c r="K727" s="857"/>
      <c r="L727" s="857"/>
      <c r="M727" s="857"/>
      <c r="N727" s="857"/>
      <c r="O727" s="857"/>
      <c r="P727" s="857"/>
      <c r="Q727" s="857"/>
      <c r="R727" s="857"/>
      <c r="S727" s="857"/>
      <c r="T727" s="857"/>
      <c r="U727" s="857"/>
      <c r="V727" s="857"/>
      <c r="W727" s="857"/>
      <c r="X727" s="857"/>
      <c r="Y727" s="857"/>
      <c r="Z727" s="857"/>
      <c r="AA727" s="857"/>
      <c r="AB727" s="857"/>
      <c r="AC727" s="857"/>
      <c r="AD727" s="857"/>
      <c r="AE727" s="857"/>
      <c r="AF727" s="857"/>
      <c r="AG727" s="857"/>
      <c r="AH727" s="857"/>
      <c r="AI727" s="857"/>
      <c r="AJ727" s="857"/>
      <c r="AK727" s="857"/>
      <c r="AL727" s="857"/>
      <c r="AM727" s="857"/>
      <c r="AN727" s="857"/>
      <c r="AO727" s="857"/>
      <c r="AP727" s="857"/>
      <c r="AQ727" s="857"/>
      <c r="AR727" s="857"/>
      <c r="AS727" s="857"/>
      <c r="AT727" s="855"/>
      <c r="AV727" s="857"/>
      <c r="AW727" s="857"/>
      <c r="AX727" s="857"/>
      <c r="AY727" s="857"/>
      <c r="AZ727" s="857"/>
      <c r="BA727" s="857"/>
      <c r="BB727" s="857"/>
      <c r="BC727" s="857"/>
      <c r="BD727" s="857"/>
      <c r="BE727" s="857"/>
      <c r="BF727" s="857"/>
      <c r="BG727" s="857"/>
    </row>
    <row r="728" spans="1:59" ht="15.75" customHeight="1">
      <c r="A728" s="857"/>
      <c r="B728" s="857"/>
      <c r="C728" s="857"/>
      <c r="D728" s="857"/>
      <c r="E728" s="857"/>
      <c r="F728" s="857"/>
      <c r="G728" s="857"/>
      <c r="H728" s="857"/>
      <c r="I728" s="857"/>
      <c r="J728" s="857"/>
      <c r="K728" s="857"/>
      <c r="L728" s="857"/>
      <c r="M728" s="857"/>
      <c r="N728" s="857"/>
      <c r="O728" s="857"/>
      <c r="P728" s="857"/>
      <c r="Q728" s="857"/>
      <c r="R728" s="857"/>
      <c r="S728" s="857"/>
      <c r="T728" s="857"/>
      <c r="U728" s="857"/>
      <c r="V728" s="857"/>
      <c r="W728" s="857"/>
      <c r="X728" s="857"/>
      <c r="Y728" s="857"/>
      <c r="Z728" s="857"/>
      <c r="AA728" s="857"/>
      <c r="AB728" s="857"/>
      <c r="AC728" s="857"/>
      <c r="AD728" s="857"/>
      <c r="AE728" s="857"/>
      <c r="AF728" s="857"/>
      <c r="AG728" s="857"/>
      <c r="AH728" s="857"/>
      <c r="AI728" s="857"/>
      <c r="AJ728" s="857"/>
      <c r="AK728" s="857"/>
      <c r="AL728" s="857"/>
      <c r="AM728" s="857"/>
      <c r="AN728" s="857"/>
      <c r="AO728" s="857"/>
      <c r="AP728" s="857"/>
      <c r="AQ728" s="857"/>
      <c r="AR728" s="857"/>
      <c r="AS728" s="857"/>
      <c r="AT728" s="855"/>
      <c r="AV728" s="857"/>
      <c r="AW728" s="857"/>
      <c r="AX728" s="857"/>
      <c r="AY728" s="857"/>
      <c r="AZ728" s="857"/>
      <c r="BA728" s="857"/>
      <c r="BB728" s="857"/>
      <c r="BC728" s="857"/>
      <c r="BD728" s="857"/>
      <c r="BE728" s="857"/>
      <c r="BF728" s="857"/>
      <c r="BG728" s="857"/>
    </row>
    <row r="729" spans="1:59" ht="15.75" customHeight="1">
      <c r="A729" s="857"/>
      <c r="B729" s="857"/>
      <c r="C729" s="857"/>
      <c r="D729" s="857"/>
      <c r="E729" s="857"/>
      <c r="F729" s="857"/>
      <c r="G729" s="857"/>
      <c r="H729" s="857"/>
      <c r="I729" s="857"/>
      <c r="J729" s="857"/>
      <c r="K729" s="857"/>
      <c r="L729" s="857"/>
      <c r="M729" s="857"/>
      <c r="N729" s="857"/>
      <c r="O729" s="857"/>
      <c r="P729" s="857"/>
      <c r="Q729" s="857"/>
      <c r="R729" s="857"/>
      <c r="S729" s="857"/>
      <c r="T729" s="857"/>
      <c r="U729" s="857"/>
      <c r="V729" s="857"/>
      <c r="W729" s="857"/>
      <c r="X729" s="857"/>
      <c r="Y729" s="857"/>
      <c r="Z729" s="857"/>
      <c r="AA729" s="857"/>
      <c r="AB729" s="857"/>
      <c r="AC729" s="857"/>
      <c r="AD729" s="857"/>
      <c r="AE729" s="857"/>
      <c r="AF729" s="857"/>
      <c r="AG729" s="857"/>
      <c r="AH729" s="857"/>
      <c r="AI729" s="857"/>
      <c r="AJ729" s="857"/>
      <c r="AK729" s="857"/>
      <c r="AL729" s="857"/>
      <c r="AM729" s="857"/>
      <c r="AN729" s="857"/>
      <c r="AO729" s="857"/>
      <c r="AP729" s="857"/>
      <c r="AQ729" s="857"/>
      <c r="AR729" s="857"/>
      <c r="AS729" s="857"/>
      <c r="AT729" s="855"/>
      <c r="AV729" s="857"/>
      <c r="AW729" s="857"/>
      <c r="AX729" s="857"/>
      <c r="AY729" s="857"/>
      <c r="AZ729" s="857"/>
      <c r="BA729" s="857"/>
      <c r="BB729" s="857"/>
      <c r="BC729" s="857"/>
      <c r="BD729" s="857"/>
      <c r="BE729" s="857"/>
      <c r="BF729" s="857"/>
      <c r="BG729" s="857"/>
    </row>
    <row r="730" spans="1:59" ht="15.75" customHeight="1">
      <c r="A730" s="857"/>
      <c r="B730" s="857"/>
      <c r="C730" s="857"/>
      <c r="D730" s="857"/>
      <c r="E730" s="857"/>
      <c r="F730" s="857"/>
      <c r="G730" s="857"/>
      <c r="H730" s="857"/>
      <c r="I730" s="857"/>
      <c r="J730" s="857"/>
      <c r="K730" s="857"/>
      <c r="L730" s="857"/>
      <c r="M730" s="857"/>
      <c r="N730" s="857"/>
      <c r="O730" s="857"/>
      <c r="P730" s="857"/>
      <c r="Q730" s="857"/>
      <c r="R730" s="857"/>
      <c r="S730" s="857"/>
      <c r="T730" s="857"/>
      <c r="U730" s="857"/>
      <c r="V730" s="857"/>
      <c r="W730" s="857"/>
      <c r="X730" s="857"/>
      <c r="Y730" s="857"/>
      <c r="Z730" s="857"/>
      <c r="AA730" s="857"/>
      <c r="AB730" s="857"/>
      <c r="AC730" s="857"/>
      <c r="AD730" s="857"/>
      <c r="AE730" s="857"/>
      <c r="AF730" s="857"/>
      <c r="AG730" s="857"/>
      <c r="AH730" s="857"/>
      <c r="AI730" s="857"/>
      <c r="AJ730" s="857"/>
      <c r="AK730" s="857"/>
      <c r="AL730" s="857"/>
      <c r="AM730" s="857"/>
      <c r="AN730" s="857"/>
      <c r="AO730" s="857"/>
      <c r="AP730" s="857"/>
      <c r="AQ730" s="857"/>
      <c r="AR730" s="857"/>
      <c r="AS730" s="857"/>
      <c r="AT730" s="855"/>
      <c r="AV730" s="857"/>
      <c r="AW730" s="857"/>
      <c r="AX730" s="857"/>
      <c r="AY730" s="857"/>
      <c r="AZ730" s="857"/>
      <c r="BA730" s="857"/>
      <c r="BB730" s="857"/>
      <c r="BC730" s="857"/>
      <c r="BD730" s="857"/>
      <c r="BE730" s="857"/>
      <c r="BF730" s="857"/>
      <c r="BG730" s="857"/>
    </row>
    <row r="731" spans="1:59" ht="15.75" customHeight="1">
      <c r="A731" s="857"/>
      <c r="B731" s="857"/>
      <c r="C731" s="857"/>
      <c r="D731" s="857"/>
      <c r="E731" s="857"/>
      <c r="F731" s="857"/>
      <c r="G731" s="857"/>
      <c r="H731" s="857"/>
      <c r="I731" s="857"/>
      <c r="J731" s="857"/>
      <c r="K731" s="857"/>
      <c r="L731" s="857"/>
      <c r="M731" s="857"/>
      <c r="N731" s="857"/>
      <c r="O731" s="857"/>
      <c r="P731" s="857"/>
      <c r="Q731" s="857"/>
      <c r="R731" s="857"/>
      <c r="S731" s="857"/>
      <c r="T731" s="857"/>
      <c r="U731" s="857"/>
      <c r="V731" s="857"/>
      <c r="W731" s="857"/>
      <c r="X731" s="857"/>
      <c r="Y731" s="857"/>
      <c r="Z731" s="857"/>
      <c r="AA731" s="857"/>
      <c r="AB731" s="857"/>
      <c r="AC731" s="857"/>
      <c r="AD731" s="857"/>
      <c r="AE731" s="857"/>
      <c r="AF731" s="857"/>
      <c r="AG731" s="857"/>
      <c r="AH731" s="857"/>
      <c r="AI731" s="857"/>
      <c r="AJ731" s="857"/>
      <c r="AK731" s="857"/>
      <c r="AL731" s="857"/>
      <c r="AM731" s="857"/>
      <c r="AN731" s="857"/>
      <c r="AO731" s="857"/>
      <c r="AP731" s="857"/>
      <c r="AQ731" s="857"/>
      <c r="AR731" s="857"/>
      <c r="AS731" s="857"/>
      <c r="AT731" s="855"/>
      <c r="AV731" s="857"/>
      <c r="AW731" s="857"/>
      <c r="AX731" s="857"/>
      <c r="AY731" s="857"/>
      <c r="AZ731" s="857"/>
      <c r="BA731" s="857"/>
      <c r="BB731" s="857"/>
      <c r="BC731" s="857"/>
      <c r="BD731" s="857"/>
      <c r="BE731" s="857"/>
      <c r="BF731" s="857"/>
      <c r="BG731" s="857"/>
    </row>
    <row r="732" spans="1:59" ht="15.75" customHeight="1">
      <c r="A732" s="857"/>
      <c r="B732" s="857"/>
      <c r="C732" s="857"/>
      <c r="D732" s="857"/>
      <c r="E732" s="857"/>
      <c r="F732" s="857"/>
      <c r="G732" s="857"/>
      <c r="H732" s="857"/>
      <c r="I732" s="857"/>
      <c r="J732" s="857"/>
      <c r="K732" s="857"/>
      <c r="L732" s="857"/>
      <c r="M732" s="857"/>
      <c r="N732" s="857"/>
      <c r="O732" s="857"/>
      <c r="P732" s="857"/>
      <c r="Q732" s="857"/>
      <c r="R732" s="857"/>
      <c r="S732" s="857"/>
      <c r="T732" s="857"/>
      <c r="U732" s="857"/>
      <c r="V732" s="857"/>
      <c r="W732" s="857"/>
      <c r="X732" s="857"/>
      <c r="Y732" s="857"/>
      <c r="Z732" s="857"/>
      <c r="AA732" s="857"/>
      <c r="AB732" s="857"/>
      <c r="AC732" s="857"/>
      <c r="AD732" s="857"/>
      <c r="AE732" s="857"/>
      <c r="AF732" s="857"/>
      <c r="AG732" s="857"/>
      <c r="AH732" s="857"/>
      <c r="AI732" s="857"/>
      <c r="AJ732" s="857"/>
      <c r="AK732" s="857"/>
      <c r="AL732" s="857"/>
      <c r="AM732" s="857"/>
      <c r="AN732" s="857"/>
      <c r="AO732" s="857"/>
      <c r="AP732" s="857"/>
      <c r="AQ732" s="857"/>
      <c r="AR732" s="857"/>
      <c r="AS732" s="857"/>
      <c r="AT732" s="855"/>
      <c r="AV732" s="857"/>
      <c r="AW732" s="857"/>
      <c r="AX732" s="857"/>
      <c r="AY732" s="857"/>
      <c r="AZ732" s="857"/>
      <c r="BA732" s="857"/>
      <c r="BB732" s="857"/>
      <c r="BC732" s="857"/>
      <c r="BD732" s="857"/>
      <c r="BE732" s="857"/>
      <c r="BF732" s="857"/>
      <c r="BG732" s="857"/>
    </row>
    <row r="733" spans="1:59" ht="15.75" customHeight="1">
      <c r="A733" s="857"/>
      <c r="B733" s="857"/>
      <c r="C733" s="857"/>
      <c r="D733" s="857"/>
      <c r="E733" s="857"/>
      <c r="F733" s="857"/>
      <c r="G733" s="857"/>
      <c r="H733" s="857"/>
      <c r="I733" s="857"/>
      <c r="J733" s="857"/>
      <c r="K733" s="857"/>
      <c r="L733" s="857"/>
      <c r="M733" s="857"/>
      <c r="N733" s="857"/>
      <c r="O733" s="857"/>
      <c r="P733" s="857"/>
      <c r="Q733" s="857"/>
      <c r="R733" s="857"/>
      <c r="S733" s="857"/>
      <c r="T733" s="857"/>
      <c r="U733" s="857"/>
      <c r="V733" s="857"/>
      <c r="W733" s="857"/>
      <c r="X733" s="857"/>
      <c r="Y733" s="857"/>
      <c r="Z733" s="857"/>
      <c r="AA733" s="857"/>
      <c r="AB733" s="857"/>
      <c r="AC733" s="857"/>
      <c r="AD733" s="857"/>
      <c r="AE733" s="857"/>
      <c r="AF733" s="857"/>
      <c r="AG733" s="857"/>
      <c r="AH733" s="857"/>
      <c r="AI733" s="857"/>
      <c r="AJ733" s="857"/>
      <c r="AK733" s="857"/>
      <c r="AL733" s="857"/>
      <c r="AM733" s="857"/>
      <c r="AN733" s="857"/>
      <c r="AO733" s="857"/>
      <c r="AP733" s="857"/>
      <c r="AQ733" s="857"/>
      <c r="AR733" s="857"/>
      <c r="AS733" s="857"/>
      <c r="AT733" s="855"/>
      <c r="AV733" s="857"/>
      <c r="AW733" s="857"/>
      <c r="AX733" s="857"/>
      <c r="AY733" s="857"/>
      <c r="AZ733" s="857"/>
      <c r="BA733" s="857"/>
      <c r="BB733" s="857"/>
      <c r="BC733" s="857"/>
      <c r="BD733" s="857"/>
      <c r="BE733" s="857"/>
      <c r="BF733" s="857"/>
      <c r="BG733" s="857"/>
    </row>
    <row r="734" spans="1:59" ht="15.75" customHeight="1">
      <c r="A734" s="857"/>
      <c r="B734" s="857"/>
      <c r="C734" s="857"/>
      <c r="D734" s="857"/>
      <c r="E734" s="857"/>
      <c r="F734" s="857"/>
      <c r="G734" s="857"/>
      <c r="H734" s="857"/>
      <c r="I734" s="857"/>
      <c r="J734" s="857"/>
      <c r="K734" s="857"/>
      <c r="L734" s="857"/>
      <c r="M734" s="857"/>
      <c r="N734" s="857"/>
      <c r="O734" s="857"/>
      <c r="P734" s="857"/>
      <c r="Q734" s="857"/>
      <c r="R734" s="857"/>
      <c r="S734" s="857"/>
      <c r="T734" s="857"/>
      <c r="U734" s="857"/>
      <c r="V734" s="857"/>
      <c r="W734" s="857"/>
      <c r="X734" s="857"/>
      <c r="Y734" s="857"/>
      <c r="Z734" s="857"/>
      <c r="AA734" s="857"/>
      <c r="AB734" s="857"/>
      <c r="AC734" s="857"/>
      <c r="AD734" s="857"/>
      <c r="AE734" s="857"/>
      <c r="AF734" s="857"/>
      <c r="AG734" s="857"/>
      <c r="AH734" s="857"/>
      <c r="AI734" s="857"/>
      <c r="AJ734" s="857"/>
      <c r="AK734" s="857"/>
      <c r="AL734" s="857"/>
      <c r="AM734" s="857"/>
      <c r="AN734" s="857"/>
      <c r="AO734" s="857"/>
      <c r="AP734" s="857"/>
      <c r="AQ734" s="857"/>
      <c r="AR734" s="857"/>
      <c r="AS734" s="857"/>
      <c r="AT734" s="855"/>
      <c r="AV734" s="857"/>
      <c r="AW734" s="857"/>
      <c r="AX734" s="857"/>
      <c r="AY734" s="857"/>
      <c r="AZ734" s="857"/>
      <c r="BA734" s="857"/>
      <c r="BB734" s="857"/>
      <c r="BC734" s="857"/>
      <c r="BD734" s="857"/>
      <c r="BE734" s="857"/>
      <c r="BF734" s="857"/>
      <c r="BG734" s="857"/>
    </row>
    <row r="735" spans="1:59" ht="15.75" customHeight="1">
      <c r="A735" s="857"/>
      <c r="B735" s="857"/>
      <c r="C735" s="857"/>
      <c r="D735" s="857"/>
      <c r="E735" s="857"/>
      <c r="F735" s="857"/>
      <c r="G735" s="857"/>
      <c r="H735" s="857"/>
      <c r="I735" s="857"/>
      <c r="J735" s="857"/>
      <c r="K735" s="857"/>
      <c r="L735" s="857"/>
      <c r="M735" s="857"/>
      <c r="N735" s="857"/>
      <c r="O735" s="857"/>
      <c r="P735" s="857"/>
      <c r="Q735" s="857"/>
      <c r="R735" s="857"/>
      <c r="S735" s="857"/>
      <c r="T735" s="857"/>
      <c r="U735" s="857"/>
      <c r="V735" s="857"/>
      <c r="W735" s="857"/>
      <c r="X735" s="857"/>
      <c r="Y735" s="857"/>
      <c r="Z735" s="857"/>
      <c r="AA735" s="857"/>
      <c r="AB735" s="857"/>
      <c r="AC735" s="857"/>
      <c r="AD735" s="857"/>
      <c r="AE735" s="857"/>
      <c r="AF735" s="857"/>
      <c r="AG735" s="857"/>
      <c r="AH735" s="857"/>
      <c r="AI735" s="857"/>
      <c r="AJ735" s="857"/>
      <c r="AK735" s="857"/>
      <c r="AL735" s="857"/>
      <c r="AM735" s="857"/>
      <c r="AN735" s="857"/>
      <c r="AO735" s="857"/>
      <c r="AP735" s="857"/>
      <c r="AQ735" s="857"/>
      <c r="AR735" s="857"/>
      <c r="AS735" s="857"/>
      <c r="AT735" s="855"/>
      <c r="AV735" s="857"/>
      <c r="AW735" s="857"/>
      <c r="AX735" s="857"/>
      <c r="AY735" s="857"/>
      <c r="AZ735" s="857"/>
      <c r="BA735" s="857"/>
      <c r="BB735" s="857"/>
      <c r="BC735" s="857"/>
      <c r="BD735" s="857"/>
      <c r="BE735" s="857"/>
      <c r="BF735" s="857"/>
      <c r="BG735" s="857"/>
    </row>
    <row r="736" spans="1:59" ht="15.75" customHeight="1">
      <c r="A736" s="857"/>
      <c r="B736" s="857"/>
      <c r="C736" s="857"/>
      <c r="D736" s="857"/>
      <c r="E736" s="857"/>
      <c r="F736" s="857"/>
      <c r="G736" s="857"/>
      <c r="H736" s="857"/>
      <c r="I736" s="857"/>
      <c r="J736" s="857"/>
      <c r="K736" s="857"/>
      <c r="L736" s="857"/>
      <c r="M736" s="857"/>
      <c r="N736" s="857"/>
      <c r="O736" s="857"/>
      <c r="P736" s="857"/>
      <c r="Q736" s="857"/>
      <c r="R736" s="857"/>
      <c r="S736" s="857"/>
      <c r="T736" s="857"/>
      <c r="U736" s="857"/>
      <c r="V736" s="857"/>
      <c r="W736" s="857"/>
      <c r="X736" s="857"/>
      <c r="Y736" s="857"/>
      <c r="Z736" s="857"/>
      <c r="AA736" s="857"/>
      <c r="AB736" s="857"/>
      <c r="AC736" s="857"/>
      <c r="AD736" s="857"/>
      <c r="AE736" s="857"/>
      <c r="AF736" s="857"/>
      <c r="AG736" s="857"/>
      <c r="AH736" s="857"/>
      <c r="AI736" s="857"/>
      <c r="AJ736" s="857"/>
      <c r="AK736" s="857"/>
      <c r="AL736" s="857"/>
      <c r="AM736" s="857"/>
      <c r="AN736" s="857"/>
      <c r="AO736" s="857"/>
      <c r="AP736" s="857"/>
      <c r="AQ736" s="857"/>
      <c r="AR736" s="857"/>
      <c r="AS736" s="857"/>
      <c r="AT736" s="855"/>
      <c r="AV736" s="857"/>
      <c r="AW736" s="857"/>
      <c r="AX736" s="857"/>
      <c r="AY736" s="857"/>
      <c r="AZ736" s="857"/>
      <c r="BA736" s="857"/>
      <c r="BB736" s="857"/>
      <c r="BC736" s="857"/>
      <c r="BD736" s="857"/>
      <c r="BE736" s="857"/>
      <c r="BF736" s="857"/>
      <c r="BG736" s="857"/>
    </row>
    <row r="737" spans="1:59" ht="15.75" customHeight="1">
      <c r="A737" s="857"/>
      <c r="B737" s="857"/>
      <c r="C737" s="857"/>
      <c r="D737" s="857"/>
      <c r="E737" s="857"/>
      <c r="F737" s="857"/>
      <c r="G737" s="857"/>
      <c r="H737" s="857"/>
      <c r="I737" s="857"/>
      <c r="J737" s="857"/>
      <c r="K737" s="857"/>
      <c r="L737" s="857"/>
      <c r="M737" s="857"/>
      <c r="N737" s="857"/>
      <c r="O737" s="857"/>
      <c r="P737" s="857"/>
      <c r="Q737" s="857"/>
      <c r="R737" s="857"/>
      <c r="S737" s="857"/>
      <c r="T737" s="857"/>
      <c r="U737" s="857"/>
      <c r="V737" s="857"/>
      <c r="W737" s="857"/>
      <c r="X737" s="857"/>
      <c r="Y737" s="857"/>
      <c r="Z737" s="857"/>
      <c r="AA737" s="857"/>
      <c r="AB737" s="857"/>
      <c r="AC737" s="857"/>
      <c r="AD737" s="857"/>
      <c r="AE737" s="857"/>
      <c r="AF737" s="857"/>
      <c r="AG737" s="857"/>
      <c r="AH737" s="857"/>
      <c r="AI737" s="857"/>
      <c r="AJ737" s="857"/>
      <c r="AK737" s="857"/>
      <c r="AL737" s="857"/>
      <c r="AM737" s="857"/>
      <c r="AN737" s="857"/>
      <c r="AO737" s="857"/>
      <c r="AP737" s="857"/>
      <c r="AQ737" s="857"/>
      <c r="AR737" s="857"/>
      <c r="AS737" s="857"/>
      <c r="AT737" s="855"/>
      <c r="AV737" s="857"/>
      <c r="AW737" s="857"/>
      <c r="AX737" s="857"/>
      <c r="AY737" s="857"/>
      <c r="AZ737" s="857"/>
      <c r="BA737" s="857"/>
      <c r="BB737" s="857"/>
      <c r="BC737" s="857"/>
      <c r="BD737" s="857"/>
      <c r="BE737" s="857"/>
      <c r="BF737" s="857"/>
      <c r="BG737" s="857"/>
    </row>
    <row r="738" spans="1:59" ht="15.75" customHeight="1">
      <c r="A738" s="857"/>
      <c r="B738" s="857"/>
      <c r="C738" s="857"/>
      <c r="D738" s="857"/>
      <c r="E738" s="857"/>
      <c r="F738" s="857"/>
      <c r="G738" s="857"/>
      <c r="H738" s="857"/>
      <c r="I738" s="857"/>
      <c r="J738" s="857"/>
      <c r="K738" s="857"/>
      <c r="L738" s="857"/>
      <c r="M738" s="857"/>
      <c r="N738" s="857"/>
      <c r="O738" s="857"/>
      <c r="P738" s="857"/>
      <c r="Q738" s="857"/>
      <c r="R738" s="857"/>
      <c r="S738" s="857"/>
      <c r="T738" s="857"/>
      <c r="U738" s="857"/>
      <c r="V738" s="857"/>
      <c r="W738" s="857"/>
      <c r="X738" s="857"/>
      <c r="Y738" s="857"/>
      <c r="Z738" s="857"/>
      <c r="AA738" s="857"/>
      <c r="AB738" s="857"/>
      <c r="AC738" s="857"/>
      <c r="AD738" s="857"/>
      <c r="AE738" s="857"/>
      <c r="AF738" s="857"/>
      <c r="AG738" s="857"/>
      <c r="AH738" s="857"/>
      <c r="AI738" s="857"/>
      <c r="AJ738" s="857"/>
      <c r="AK738" s="857"/>
      <c r="AL738" s="857"/>
      <c r="AM738" s="857"/>
      <c r="AN738" s="857"/>
      <c r="AO738" s="857"/>
      <c r="AP738" s="857"/>
      <c r="AQ738" s="857"/>
      <c r="AR738" s="857"/>
      <c r="AS738" s="857"/>
      <c r="AT738" s="855"/>
      <c r="AV738" s="857"/>
      <c r="AW738" s="857"/>
      <c r="AX738" s="857"/>
      <c r="AY738" s="857"/>
      <c r="AZ738" s="857"/>
      <c r="BA738" s="857"/>
      <c r="BB738" s="857"/>
      <c r="BC738" s="857"/>
      <c r="BD738" s="857"/>
      <c r="BE738" s="857"/>
      <c r="BF738" s="857"/>
      <c r="BG738" s="857"/>
    </row>
    <row r="739" spans="1:59" ht="15.75" customHeight="1">
      <c r="A739" s="857"/>
      <c r="B739" s="857"/>
      <c r="C739" s="857"/>
      <c r="D739" s="857"/>
      <c r="E739" s="857"/>
      <c r="F739" s="857"/>
      <c r="G739" s="857"/>
      <c r="H739" s="857"/>
      <c r="I739" s="857"/>
      <c r="J739" s="857"/>
      <c r="K739" s="857"/>
      <c r="L739" s="857"/>
      <c r="M739" s="857"/>
      <c r="N739" s="857"/>
      <c r="O739" s="857"/>
      <c r="P739" s="857"/>
      <c r="Q739" s="857"/>
      <c r="R739" s="857"/>
      <c r="S739" s="857"/>
      <c r="T739" s="857"/>
      <c r="U739" s="857"/>
      <c r="V739" s="857"/>
      <c r="W739" s="857"/>
      <c r="X739" s="857"/>
      <c r="Y739" s="857"/>
      <c r="Z739" s="857"/>
      <c r="AA739" s="857"/>
      <c r="AB739" s="857"/>
      <c r="AC739" s="857"/>
      <c r="AD739" s="857"/>
      <c r="AE739" s="857"/>
      <c r="AF739" s="857"/>
      <c r="AG739" s="857"/>
      <c r="AH739" s="857"/>
      <c r="AI739" s="857"/>
      <c r="AJ739" s="857"/>
      <c r="AK739" s="857"/>
      <c r="AL739" s="857"/>
      <c r="AM739" s="857"/>
      <c r="AN739" s="857"/>
      <c r="AO739" s="857"/>
      <c r="AP739" s="857"/>
      <c r="AQ739" s="857"/>
      <c r="AR739" s="857"/>
      <c r="AS739" s="857"/>
      <c r="AT739" s="855"/>
      <c r="AV739" s="857"/>
      <c r="AW739" s="857"/>
      <c r="AX739" s="857"/>
      <c r="AY739" s="857"/>
      <c r="AZ739" s="857"/>
      <c r="BA739" s="857"/>
      <c r="BB739" s="857"/>
      <c r="BC739" s="857"/>
      <c r="BD739" s="857"/>
      <c r="BE739" s="857"/>
      <c r="BF739" s="857"/>
      <c r="BG739" s="857"/>
    </row>
    <row r="740" spans="1:59" ht="15.75" customHeight="1">
      <c r="A740" s="857"/>
      <c r="B740" s="857"/>
      <c r="C740" s="857"/>
      <c r="D740" s="857"/>
      <c r="E740" s="857"/>
      <c r="F740" s="857"/>
      <c r="G740" s="857"/>
      <c r="H740" s="857"/>
      <c r="I740" s="857"/>
      <c r="J740" s="857"/>
      <c r="K740" s="857"/>
      <c r="L740" s="857"/>
      <c r="M740" s="857"/>
      <c r="N740" s="857"/>
      <c r="O740" s="857"/>
      <c r="P740" s="857"/>
      <c r="Q740" s="857"/>
      <c r="R740" s="857"/>
      <c r="S740" s="857"/>
      <c r="T740" s="857"/>
      <c r="U740" s="857"/>
      <c r="V740" s="857"/>
      <c r="W740" s="857"/>
      <c r="X740" s="857"/>
      <c r="Y740" s="857"/>
      <c r="Z740" s="857"/>
      <c r="AA740" s="857"/>
      <c r="AB740" s="857"/>
      <c r="AC740" s="857"/>
      <c r="AD740" s="857"/>
      <c r="AE740" s="857"/>
      <c r="AF740" s="857"/>
      <c r="AG740" s="857"/>
      <c r="AH740" s="857"/>
      <c r="AI740" s="857"/>
      <c r="AJ740" s="857"/>
      <c r="AK740" s="857"/>
      <c r="AL740" s="857"/>
      <c r="AM740" s="857"/>
      <c r="AN740" s="857"/>
      <c r="AO740" s="857"/>
      <c r="AP740" s="857"/>
      <c r="AQ740" s="857"/>
      <c r="AR740" s="857"/>
      <c r="AS740" s="857"/>
      <c r="AT740" s="855"/>
      <c r="AV740" s="857"/>
      <c r="AW740" s="857"/>
      <c r="AX740" s="857"/>
      <c r="AY740" s="857"/>
      <c r="AZ740" s="857"/>
      <c r="BA740" s="857"/>
      <c r="BB740" s="857"/>
      <c r="BC740" s="857"/>
      <c r="BD740" s="857"/>
      <c r="BE740" s="857"/>
      <c r="BF740" s="857"/>
      <c r="BG740" s="857"/>
    </row>
    <row r="741" spans="1:59" ht="15.75" customHeight="1">
      <c r="A741" s="857"/>
      <c r="B741" s="857"/>
      <c r="C741" s="857"/>
      <c r="D741" s="857"/>
      <c r="E741" s="857"/>
      <c r="F741" s="857"/>
      <c r="G741" s="857"/>
      <c r="H741" s="857"/>
      <c r="I741" s="857"/>
      <c r="J741" s="857"/>
      <c r="K741" s="857"/>
      <c r="L741" s="857"/>
      <c r="M741" s="857"/>
      <c r="N741" s="857"/>
      <c r="O741" s="857"/>
      <c r="P741" s="857"/>
      <c r="Q741" s="857"/>
      <c r="R741" s="857"/>
      <c r="S741" s="857"/>
      <c r="T741" s="857"/>
      <c r="U741" s="857"/>
      <c r="V741" s="857"/>
      <c r="W741" s="857"/>
      <c r="X741" s="857"/>
      <c r="Y741" s="857"/>
      <c r="Z741" s="857"/>
      <c r="AA741" s="857"/>
      <c r="AB741" s="857"/>
      <c r="AC741" s="857"/>
      <c r="AD741" s="857"/>
      <c r="AE741" s="857"/>
      <c r="AF741" s="857"/>
      <c r="AG741" s="857"/>
      <c r="AH741" s="857"/>
      <c r="AI741" s="857"/>
      <c r="AJ741" s="857"/>
      <c r="AK741" s="857"/>
      <c r="AL741" s="857"/>
      <c r="AM741" s="857"/>
      <c r="AN741" s="857"/>
      <c r="AO741" s="857"/>
      <c r="AP741" s="857"/>
      <c r="AQ741" s="857"/>
      <c r="AR741" s="857"/>
      <c r="AS741" s="857"/>
      <c r="AT741" s="855"/>
      <c r="AV741" s="857"/>
      <c r="AW741" s="857"/>
      <c r="AX741" s="857"/>
      <c r="AY741" s="857"/>
      <c r="AZ741" s="857"/>
      <c r="BA741" s="857"/>
      <c r="BB741" s="857"/>
      <c r="BC741" s="857"/>
      <c r="BD741" s="857"/>
      <c r="BE741" s="857"/>
      <c r="BF741" s="857"/>
      <c r="BG741" s="857"/>
    </row>
    <row r="742" spans="1:59" ht="15.75" customHeight="1">
      <c r="A742" s="857"/>
      <c r="B742" s="857"/>
      <c r="C742" s="857"/>
      <c r="D742" s="857"/>
      <c r="E742" s="857"/>
      <c r="F742" s="857"/>
      <c r="G742" s="857"/>
      <c r="H742" s="857"/>
      <c r="I742" s="857"/>
      <c r="J742" s="857"/>
      <c r="K742" s="857"/>
      <c r="L742" s="857"/>
      <c r="M742" s="857"/>
      <c r="N742" s="857"/>
      <c r="O742" s="857"/>
      <c r="P742" s="857"/>
      <c r="Q742" s="857"/>
      <c r="R742" s="857"/>
      <c r="S742" s="857"/>
      <c r="T742" s="857"/>
      <c r="U742" s="857"/>
      <c r="V742" s="857"/>
      <c r="W742" s="857"/>
      <c r="X742" s="857"/>
      <c r="Y742" s="857"/>
      <c r="Z742" s="857"/>
      <c r="AA742" s="857"/>
      <c r="AB742" s="857"/>
      <c r="AC742" s="857"/>
      <c r="AD742" s="857"/>
      <c r="AE742" s="857"/>
      <c r="AF742" s="857"/>
      <c r="AG742" s="857"/>
      <c r="AH742" s="857"/>
      <c r="AI742" s="857"/>
      <c r="AJ742" s="857"/>
      <c r="AK742" s="857"/>
      <c r="AL742" s="857"/>
      <c r="AM742" s="857"/>
      <c r="AN742" s="857"/>
      <c r="AO742" s="857"/>
      <c r="AP742" s="857"/>
      <c r="AQ742" s="857"/>
      <c r="AR742" s="857"/>
      <c r="AS742" s="857"/>
      <c r="AT742" s="855"/>
      <c r="AV742" s="857"/>
      <c r="AW742" s="857"/>
      <c r="AX742" s="857"/>
      <c r="AY742" s="857"/>
      <c r="AZ742" s="857"/>
      <c r="BA742" s="857"/>
      <c r="BB742" s="857"/>
      <c r="BC742" s="857"/>
      <c r="BD742" s="857"/>
      <c r="BE742" s="857"/>
      <c r="BF742" s="857"/>
      <c r="BG742" s="857"/>
    </row>
    <row r="743" spans="1:59" ht="15.75" customHeight="1">
      <c r="A743" s="857"/>
      <c r="B743" s="857"/>
      <c r="C743" s="857"/>
      <c r="D743" s="857"/>
      <c r="E743" s="857"/>
      <c r="F743" s="857"/>
      <c r="G743" s="857"/>
      <c r="H743" s="857"/>
      <c r="I743" s="857"/>
      <c r="J743" s="857"/>
      <c r="K743" s="857"/>
      <c r="L743" s="857"/>
      <c r="M743" s="857"/>
      <c r="N743" s="857"/>
      <c r="O743" s="857"/>
      <c r="P743" s="857"/>
      <c r="Q743" s="857"/>
      <c r="R743" s="857"/>
      <c r="S743" s="857"/>
      <c r="T743" s="857"/>
      <c r="U743" s="857"/>
      <c r="V743" s="857"/>
      <c r="W743" s="857"/>
      <c r="X743" s="857"/>
      <c r="Y743" s="857"/>
      <c r="Z743" s="857"/>
      <c r="AA743" s="857"/>
      <c r="AB743" s="857"/>
      <c r="AC743" s="857"/>
      <c r="AD743" s="857"/>
      <c r="AE743" s="857"/>
      <c r="AF743" s="857"/>
      <c r="AG743" s="857"/>
      <c r="AH743" s="857"/>
      <c r="AI743" s="857"/>
      <c r="AJ743" s="857"/>
      <c r="AK743" s="857"/>
      <c r="AL743" s="857"/>
      <c r="AM743" s="857"/>
      <c r="AN743" s="857"/>
      <c r="AO743" s="857"/>
      <c r="AP743" s="857"/>
      <c r="AQ743" s="857"/>
      <c r="AR743" s="857"/>
      <c r="AS743" s="857"/>
      <c r="AT743" s="855"/>
      <c r="AV743" s="857"/>
      <c r="AW743" s="857"/>
      <c r="AX743" s="857"/>
      <c r="AY743" s="857"/>
      <c r="AZ743" s="857"/>
      <c r="BA743" s="857"/>
      <c r="BB743" s="857"/>
      <c r="BC743" s="857"/>
      <c r="BD743" s="857"/>
      <c r="BE743" s="857"/>
      <c r="BF743" s="857"/>
      <c r="BG743" s="857"/>
    </row>
    <row r="744" spans="1:59" ht="15.75" customHeight="1">
      <c r="A744" s="857"/>
      <c r="B744" s="857"/>
      <c r="C744" s="857"/>
      <c r="D744" s="857"/>
      <c r="E744" s="857"/>
      <c r="F744" s="857"/>
      <c r="G744" s="857"/>
      <c r="H744" s="857"/>
      <c r="I744" s="857"/>
      <c r="J744" s="857"/>
      <c r="K744" s="857"/>
      <c r="L744" s="857"/>
      <c r="M744" s="857"/>
      <c r="N744" s="857"/>
      <c r="O744" s="857"/>
      <c r="P744" s="857"/>
      <c r="Q744" s="857"/>
      <c r="R744" s="857"/>
      <c r="S744" s="857"/>
      <c r="T744" s="857"/>
      <c r="U744" s="857"/>
      <c r="V744" s="857"/>
      <c r="W744" s="857"/>
      <c r="X744" s="857"/>
      <c r="Y744" s="857"/>
      <c r="Z744" s="857"/>
      <c r="AA744" s="857"/>
      <c r="AB744" s="857"/>
      <c r="AC744" s="857"/>
      <c r="AD744" s="857"/>
      <c r="AE744" s="857"/>
      <c r="AF744" s="857"/>
      <c r="AG744" s="857"/>
      <c r="AH744" s="857"/>
      <c r="AI744" s="857"/>
      <c r="AJ744" s="857"/>
      <c r="AK744" s="857"/>
      <c r="AL744" s="857"/>
      <c r="AM744" s="857"/>
      <c r="AN744" s="857"/>
      <c r="AO744" s="857"/>
      <c r="AP744" s="857"/>
      <c r="AQ744" s="857"/>
      <c r="AR744" s="857"/>
      <c r="AS744" s="857"/>
      <c r="AT744" s="855"/>
      <c r="AV744" s="857"/>
      <c r="AW744" s="857"/>
      <c r="AX744" s="857"/>
      <c r="AY744" s="857"/>
      <c r="AZ744" s="857"/>
      <c r="BA744" s="857"/>
      <c r="BB744" s="857"/>
      <c r="BC744" s="857"/>
      <c r="BD744" s="857"/>
      <c r="BE744" s="857"/>
      <c r="BF744" s="857"/>
      <c r="BG744" s="857"/>
    </row>
    <row r="745" spans="1:59" ht="15.75" customHeight="1">
      <c r="A745" s="857"/>
      <c r="B745" s="857"/>
      <c r="C745" s="857"/>
      <c r="D745" s="857"/>
      <c r="E745" s="857"/>
      <c r="F745" s="857"/>
      <c r="G745" s="857"/>
      <c r="H745" s="857"/>
      <c r="I745" s="857"/>
      <c r="J745" s="857"/>
      <c r="K745" s="857"/>
      <c r="L745" s="857"/>
      <c r="M745" s="857"/>
      <c r="N745" s="857"/>
      <c r="O745" s="857"/>
      <c r="P745" s="857"/>
      <c r="Q745" s="857"/>
      <c r="R745" s="857"/>
      <c r="S745" s="857"/>
      <c r="T745" s="857"/>
      <c r="U745" s="857"/>
      <c r="V745" s="857"/>
      <c r="W745" s="857"/>
      <c r="X745" s="857"/>
      <c r="Y745" s="857"/>
      <c r="Z745" s="857"/>
      <c r="AA745" s="857"/>
      <c r="AB745" s="857"/>
      <c r="AC745" s="857"/>
      <c r="AD745" s="857"/>
      <c r="AE745" s="857"/>
      <c r="AF745" s="857"/>
      <c r="AG745" s="857"/>
      <c r="AH745" s="857"/>
      <c r="AI745" s="857"/>
      <c r="AJ745" s="857"/>
      <c r="AK745" s="857"/>
      <c r="AL745" s="857"/>
      <c r="AM745" s="857"/>
      <c r="AN745" s="857"/>
      <c r="AO745" s="857"/>
      <c r="AP745" s="857"/>
      <c r="AQ745" s="857"/>
      <c r="AR745" s="857"/>
      <c r="AS745" s="857"/>
      <c r="AT745" s="855"/>
      <c r="AV745" s="857"/>
      <c r="AW745" s="857"/>
      <c r="AX745" s="857"/>
      <c r="AY745" s="857"/>
      <c r="AZ745" s="857"/>
      <c r="BA745" s="857"/>
      <c r="BB745" s="857"/>
      <c r="BC745" s="857"/>
      <c r="BD745" s="857"/>
      <c r="BE745" s="857"/>
      <c r="BF745" s="857"/>
      <c r="BG745" s="857"/>
    </row>
    <row r="746" spans="1:59" ht="15.75" customHeight="1">
      <c r="A746" s="857"/>
      <c r="B746" s="857"/>
      <c r="C746" s="857"/>
      <c r="D746" s="857"/>
      <c r="E746" s="857"/>
      <c r="F746" s="857"/>
      <c r="G746" s="857"/>
      <c r="H746" s="857"/>
      <c r="I746" s="857"/>
      <c r="J746" s="857"/>
      <c r="K746" s="857"/>
      <c r="L746" s="857"/>
      <c r="M746" s="857"/>
      <c r="N746" s="857"/>
      <c r="O746" s="857"/>
      <c r="P746" s="857"/>
      <c r="Q746" s="857"/>
      <c r="R746" s="857"/>
      <c r="S746" s="857"/>
      <c r="T746" s="857"/>
      <c r="U746" s="857"/>
      <c r="V746" s="857"/>
      <c r="W746" s="857"/>
      <c r="X746" s="857"/>
      <c r="Y746" s="857"/>
      <c r="Z746" s="857"/>
      <c r="AA746" s="857"/>
      <c r="AB746" s="857"/>
      <c r="AC746" s="857"/>
      <c r="AD746" s="857"/>
      <c r="AE746" s="857"/>
      <c r="AF746" s="857"/>
      <c r="AG746" s="857"/>
      <c r="AH746" s="857"/>
      <c r="AI746" s="857"/>
      <c r="AJ746" s="857"/>
      <c r="AK746" s="857"/>
      <c r="AL746" s="857"/>
      <c r="AM746" s="857"/>
      <c r="AN746" s="857"/>
      <c r="AO746" s="857"/>
      <c r="AP746" s="857"/>
      <c r="AQ746" s="857"/>
      <c r="AR746" s="857"/>
      <c r="AS746" s="857"/>
      <c r="AT746" s="855"/>
      <c r="AV746" s="857"/>
      <c r="AW746" s="857"/>
      <c r="AX746" s="857"/>
      <c r="AY746" s="857"/>
      <c r="AZ746" s="857"/>
      <c r="BA746" s="857"/>
      <c r="BB746" s="857"/>
      <c r="BC746" s="857"/>
      <c r="BD746" s="857"/>
      <c r="BE746" s="857"/>
      <c r="BF746" s="857"/>
      <c r="BG746" s="857"/>
    </row>
    <row r="747" spans="1:59" ht="15.75" customHeight="1">
      <c r="A747" s="857"/>
      <c r="B747" s="857"/>
      <c r="C747" s="857"/>
      <c r="D747" s="857"/>
      <c r="E747" s="857"/>
      <c r="F747" s="857"/>
      <c r="G747" s="857"/>
      <c r="H747" s="857"/>
      <c r="I747" s="857"/>
      <c r="J747" s="857"/>
      <c r="K747" s="857"/>
      <c r="L747" s="857"/>
      <c r="M747" s="857"/>
      <c r="N747" s="857"/>
      <c r="O747" s="857"/>
      <c r="P747" s="857"/>
      <c r="Q747" s="857"/>
      <c r="R747" s="857"/>
      <c r="S747" s="857"/>
      <c r="T747" s="857"/>
      <c r="U747" s="857"/>
      <c r="V747" s="857"/>
      <c r="W747" s="857"/>
      <c r="X747" s="857"/>
      <c r="Y747" s="857"/>
      <c r="Z747" s="857"/>
      <c r="AA747" s="857"/>
      <c r="AB747" s="857"/>
      <c r="AC747" s="857"/>
      <c r="AD747" s="857"/>
      <c r="AE747" s="857"/>
      <c r="AF747" s="857"/>
      <c r="AG747" s="857"/>
      <c r="AH747" s="857"/>
      <c r="AI747" s="857"/>
      <c r="AJ747" s="857"/>
      <c r="AK747" s="857"/>
      <c r="AL747" s="857"/>
      <c r="AM747" s="857"/>
      <c r="AN747" s="857"/>
      <c r="AO747" s="857"/>
      <c r="AP747" s="857"/>
      <c r="AQ747" s="857"/>
      <c r="AR747" s="857"/>
      <c r="AS747" s="857"/>
      <c r="AT747" s="855"/>
      <c r="AV747" s="857"/>
      <c r="AW747" s="857"/>
      <c r="AX747" s="857"/>
      <c r="AY747" s="857"/>
      <c r="AZ747" s="857"/>
      <c r="BA747" s="857"/>
      <c r="BB747" s="857"/>
      <c r="BC747" s="857"/>
      <c r="BD747" s="857"/>
      <c r="BE747" s="857"/>
      <c r="BF747" s="857"/>
      <c r="BG747" s="857"/>
    </row>
    <row r="748" spans="1:59" ht="15.75" customHeight="1">
      <c r="A748" s="857"/>
      <c r="B748" s="857"/>
      <c r="C748" s="857"/>
      <c r="D748" s="857"/>
      <c r="E748" s="857"/>
      <c r="F748" s="857"/>
      <c r="G748" s="857"/>
      <c r="H748" s="857"/>
      <c r="I748" s="857"/>
      <c r="J748" s="857"/>
      <c r="K748" s="857"/>
      <c r="L748" s="857"/>
      <c r="M748" s="857"/>
      <c r="N748" s="857"/>
      <c r="O748" s="857"/>
      <c r="P748" s="857"/>
      <c r="Q748" s="857"/>
      <c r="R748" s="857"/>
      <c r="S748" s="857"/>
      <c r="T748" s="857"/>
      <c r="U748" s="857"/>
      <c r="V748" s="857"/>
      <c r="W748" s="857"/>
      <c r="X748" s="857"/>
      <c r="Y748" s="857"/>
      <c r="Z748" s="857"/>
      <c r="AA748" s="857"/>
      <c r="AB748" s="857"/>
      <c r="AC748" s="857"/>
      <c r="AD748" s="857"/>
      <c r="AE748" s="857"/>
      <c r="AF748" s="857"/>
      <c r="AG748" s="857"/>
      <c r="AH748" s="857"/>
      <c r="AI748" s="857"/>
      <c r="AJ748" s="857"/>
      <c r="AK748" s="857"/>
      <c r="AL748" s="857"/>
      <c r="AM748" s="857"/>
      <c r="AN748" s="857"/>
      <c r="AO748" s="857"/>
      <c r="AP748" s="857"/>
      <c r="AQ748" s="857"/>
      <c r="AR748" s="857"/>
      <c r="AS748" s="857"/>
      <c r="AT748" s="855"/>
      <c r="AV748" s="857"/>
      <c r="AW748" s="857"/>
      <c r="AX748" s="857"/>
      <c r="AY748" s="857"/>
      <c r="AZ748" s="857"/>
      <c r="BA748" s="857"/>
      <c r="BB748" s="857"/>
      <c r="BC748" s="857"/>
      <c r="BD748" s="857"/>
      <c r="BE748" s="857"/>
      <c r="BF748" s="857"/>
      <c r="BG748" s="857"/>
    </row>
    <row r="749" spans="1:59" ht="15.75" customHeight="1">
      <c r="A749" s="857"/>
      <c r="B749" s="857"/>
      <c r="C749" s="857"/>
      <c r="D749" s="857"/>
      <c r="E749" s="857"/>
      <c r="F749" s="857"/>
      <c r="G749" s="857"/>
      <c r="H749" s="857"/>
      <c r="I749" s="857"/>
      <c r="J749" s="857"/>
      <c r="K749" s="857"/>
      <c r="L749" s="857"/>
      <c r="M749" s="857"/>
      <c r="N749" s="857"/>
      <c r="O749" s="857"/>
      <c r="P749" s="857"/>
      <c r="Q749" s="857"/>
      <c r="R749" s="857"/>
      <c r="S749" s="857"/>
      <c r="T749" s="857"/>
      <c r="U749" s="857"/>
      <c r="V749" s="857"/>
      <c r="W749" s="857"/>
      <c r="X749" s="857"/>
      <c r="Y749" s="857"/>
      <c r="Z749" s="857"/>
      <c r="AA749" s="857"/>
      <c r="AB749" s="857"/>
      <c r="AC749" s="857"/>
      <c r="AD749" s="857"/>
      <c r="AE749" s="857"/>
      <c r="AF749" s="857"/>
      <c r="AG749" s="857"/>
      <c r="AH749" s="857"/>
      <c r="AI749" s="857"/>
      <c r="AJ749" s="857"/>
      <c r="AK749" s="857"/>
      <c r="AL749" s="857"/>
      <c r="AM749" s="857"/>
      <c r="AN749" s="857"/>
      <c r="AO749" s="857"/>
      <c r="AP749" s="857"/>
      <c r="AQ749" s="857"/>
      <c r="AR749" s="857"/>
      <c r="AS749" s="857"/>
      <c r="AT749" s="855"/>
      <c r="AV749" s="857"/>
      <c r="AW749" s="857"/>
      <c r="AX749" s="857"/>
      <c r="AY749" s="857"/>
      <c r="AZ749" s="857"/>
      <c r="BA749" s="857"/>
      <c r="BB749" s="857"/>
      <c r="BC749" s="857"/>
      <c r="BD749" s="857"/>
      <c r="BE749" s="857"/>
      <c r="BF749" s="857"/>
      <c r="BG749" s="857"/>
    </row>
    <row r="750" spans="1:59" ht="15.75" customHeight="1">
      <c r="A750" s="857"/>
      <c r="B750" s="857"/>
      <c r="C750" s="857"/>
      <c r="D750" s="857"/>
      <c r="E750" s="857"/>
      <c r="F750" s="857"/>
      <c r="G750" s="857"/>
      <c r="H750" s="857"/>
      <c r="I750" s="857"/>
      <c r="J750" s="857"/>
      <c r="K750" s="857"/>
      <c r="L750" s="857"/>
      <c r="M750" s="857"/>
      <c r="N750" s="857"/>
      <c r="O750" s="857"/>
      <c r="P750" s="857"/>
      <c r="Q750" s="857"/>
      <c r="R750" s="857"/>
      <c r="S750" s="857"/>
      <c r="T750" s="857"/>
      <c r="U750" s="857"/>
      <c r="V750" s="857"/>
      <c r="W750" s="857"/>
      <c r="X750" s="857"/>
      <c r="Y750" s="857"/>
      <c r="Z750" s="857"/>
      <c r="AA750" s="857"/>
      <c r="AB750" s="857"/>
      <c r="AC750" s="857"/>
      <c r="AD750" s="857"/>
      <c r="AE750" s="857"/>
      <c r="AF750" s="857"/>
      <c r="AG750" s="857"/>
      <c r="AH750" s="857"/>
      <c r="AI750" s="857"/>
      <c r="AJ750" s="857"/>
      <c r="AK750" s="857"/>
      <c r="AL750" s="857"/>
      <c r="AM750" s="857"/>
      <c r="AN750" s="857"/>
      <c r="AO750" s="857"/>
      <c r="AP750" s="857"/>
      <c r="AQ750" s="857"/>
      <c r="AR750" s="857"/>
      <c r="AS750" s="857"/>
      <c r="AT750" s="855"/>
      <c r="AV750" s="857"/>
      <c r="AW750" s="857"/>
      <c r="AX750" s="857"/>
      <c r="AY750" s="857"/>
      <c r="AZ750" s="857"/>
      <c r="BA750" s="857"/>
      <c r="BB750" s="857"/>
      <c r="BC750" s="857"/>
      <c r="BD750" s="857"/>
      <c r="BE750" s="857"/>
      <c r="BF750" s="857"/>
      <c r="BG750" s="857"/>
    </row>
    <row r="751" spans="1:59" ht="15.75" customHeight="1">
      <c r="A751" s="857"/>
      <c r="B751" s="857"/>
      <c r="C751" s="857"/>
      <c r="D751" s="857"/>
      <c r="E751" s="857"/>
      <c r="F751" s="857"/>
      <c r="G751" s="857"/>
      <c r="H751" s="857"/>
      <c r="I751" s="857"/>
      <c r="J751" s="857"/>
      <c r="K751" s="857"/>
      <c r="L751" s="857"/>
      <c r="M751" s="857"/>
      <c r="N751" s="857"/>
      <c r="O751" s="857"/>
      <c r="P751" s="857"/>
      <c r="Q751" s="857"/>
      <c r="R751" s="857"/>
      <c r="S751" s="857"/>
      <c r="T751" s="857"/>
      <c r="U751" s="857"/>
      <c r="V751" s="857"/>
      <c r="W751" s="857"/>
      <c r="X751" s="857"/>
      <c r="Y751" s="857"/>
      <c r="Z751" s="857"/>
      <c r="AA751" s="857"/>
      <c r="AB751" s="857"/>
      <c r="AC751" s="857"/>
      <c r="AD751" s="857"/>
      <c r="AE751" s="857"/>
      <c r="AF751" s="857"/>
      <c r="AG751" s="857"/>
      <c r="AH751" s="857"/>
      <c r="AI751" s="857"/>
      <c r="AJ751" s="857"/>
      <c r="AK751" s="857"/>
      <c r="AL751" s="857"/>
      <c r="AM751" s="857"/>
      <c r="AN751" s="857"/>
      <c r="AO751" s="857"/>
      <c r="AP751" s="857"/>
      <c r="AQ751" s="857"/>
      <c r="AR751" s="857"/>
      <c r="AS751" s="857"/>
      <c r="AT751" s="855"/>
      <c r="AV751" s="857"/>
      <c r="AW751" s="857"/>
      <c r="AX751" s="857"/>
      <c r="AY751" s="857"/>
      <c r="AZ751" s="857"/>
      <c r="BA751" s="857"/>
      <c r="BB751" s="857"/>
      <c r="BC751" s="857"/>
      <c r="BD751" s="857"/>
      <c r="BE751" s="857"/>
      <c r="BF751" s="857"/>
      <c r="BG751" s="857"/>
    </row>
    <row r="752" spans="1:59" ht="15.75" customHeight="1">
      <c r="A752" s="857"/>
      <c r="B752" s="857"/>
      <c r="C752" s="857"/>
      <c r="D752" s="857"/>
      <c r="E752" s="857"/>
      <c r="F752" s="857"/>
      <c r="G752" s="857"/>
      <c r="H752" s="857"/>
      <c r="I752" s="857"/>
      <c r="J752" s="857"/>
      <c r="K752" s="857"/>
      <c r="L752" s="857"/>
      <c r="M752" s="857"/>
      <c r="N752" s="857"/>
      <c r="O752" s="857"/>
      <c r="P752" s="857"/>
      <c r="Q752" s="857"/>
      <c r="R752" s="857"/>
      <c r="S752" s="857"/>
      <c r="T752" s="857"/>
      <c r="U752" s="857"/>
      <c r="V752" s="857"/>
      <c r="W752" s="857"/>
      <c r="X752" s="857"/>
      <c r="Y752" s="857"/>
      <c r="Z752" s="857"/>
      <c r="AA752" s="857"/>
      <c r="AB752" s="857"/>
      <c r="AC752" s="857"/>
      <c r="AD752" s="857"/>
      <c r="AE752" s="857"/>
      <c r="AF752" s="857"/>
      <c r="AG752" s="857"/>
      <c r="AH752" s="857"/>
      <c r="AI752" s="857"/>
      <c r="AJ752" s="857"/>
      <c r="AK752" s="857"/>
      <c r="AL752" s="857"/>
      <c r="AM752" s="857"/>
      <c r="AN752" s="857"/>
      <c r="AO752" s="857"/>
      <c r="AP752" s="857"/>
      <c r="AQ752" s="857"/>
      <c r="AR752" s="857"/>
      <c r="AS752" s="857"/>
      <c r="AT752" s="855"/>
      <c r="AV752" s="857"/>
      <c r="AW752" s="857"/>
      <c r="AX752" s="857"/>
      <c r="AY752" s="857"/>
      <c r="AZ752" s="857"/>
      <c r="BA752" s="857"/>
      <c r="BB752" s="857"/>
      <c r="BC752" s="857"/>
      <c r="BD752" s="857"/>
      <c r="BE752" s="857"/>
      <c r="BF752" s="857"/>
      <c r="BG752" s="857"/>
    </row>
    <row r="753" spans="1:59" ht="15.75" customHeight="1">
      <c r="A753" s="857"/>
      <c r="B753" s="857"/>
      <c r="C753" s="857"/>
      <c r="D753" s="857"/>
      <c r="E753" s="857"/>
      <c r="F753" s="857"/>
      <c r="G753" s="857"/>
      <c r="H753" s="857"/>
      <c r="I753" s="857"/>
      <c r="J753" s="857"/>
      <c r="K753" s="857"/>
      <c r="L753" s="857"/>
      <c r="M753" s="857"/>
      <c r="N753" s="857"/>
      <c r="O753" s="857"/>
      <c r="P753" s="857"/>
      <c r="Q753" s="857"/>
      <c r="R753" s="857"/>
      <c r="S753" s="857"/>
      <c r="T753" s="857"/>
      <c r="U753" s="857"/>
      <c r="V753" s="857"/>
      <c r="W753" s="857"/>
      <c r="X753" s="857"/>
      <c r="Y753" s="857"/>
      <c r="Z753" s="857"/>
      <c r="AA753" s="857"/>
      <c r="AB753" s="857"/>
      <c r="AC753" s="857"/>
      <c r="AD753" s="857"/>
      <c r="AE753" s="857"/>
      <c r="AF753" s="857"/>
      <c r="AG753" s="857"/>
      <c r="AH753" s="857"/>
      <c r="AI753" s="857"/>
      <c r="AJ753" s="857"/>
      <c r="AK753" s="857"/>
      <c r="AL753" s="857"/>
      <c r="AM753" s="857"/>
      <c r="AN753" s="857"/>
      <c r="AO753" s="857"/>
      <c r="AP753" s="857"/>
      <c r="AQ753" s="857"/>
      <c r="AR753" s="857"/>
      <c r="AS753" s="857"/>
      <c r="AT753" s="855"/>
      <c r="AV753" s="857"/>
      <c r="AW753" s="857"/>
      <c r="AX753" s="857"/>
      <c r="AY753" s="857"/>
      <c r="AZ753" s="857"/>
      <c r="BA753" s="857"/>
      <c r="BB753" s="857"/>
      <c r="BC753" s="857"/>
      <c r="BD753" s="857"/>
      <c r="BE753" s="857"/>
      <c r="BF753" s="857"/>
      <c r="BG753" s="857"/>
    </row>
    <row r="754" spans="1:59" ht="15.75" customHeight="1">
      <c r="A754" s="857"/>
      <c r="B754" s="857"/>
      <c r="C754" s="857"/>
      <c r="D754" s="857"/>
      <c r="E754" s="857"/>
      <c r="F754" s="857"/>
      <c r="G754" s="857"/>
      <c r="H754" s="857"/>
      <c r="I754" s="857"/>
      <c r="J754" s="857"/>
      <c r="K754" s="857"/>
      <c r="L754" s="857"/>
      <c r="M754" s="857"/>
      <c r="N754" s="857"/>
      <c r="O754" s="857"/>
      <c r="P754" s="857"/>
      <c r="Q754" s="857"/>
      <c r="R754" s="857"/>
      <c r="S754" s="857"/>
      <c r="T754" s="857"/>
      <c r="U754" s="857"/>
      <c r="V754" s="857"/>
      <c r="W754" s="857"/>
      <c r="X754" s="857"/>
      <c r="Y754" s="857"/>
      <c r="Z754" s="857"/>
      <c r="AA754" s="857"/>
      <c r="AB754" s="857"/>
      <c r="AC754" s="857"/>
      <c r="AD754" s="857"/>
      <c r="AE754" s="857"/>
      <c r="AF754" s="857"/>
      <c r="AG754" s="857"/>
      <c r="AH754" s="857"/>
      <c r="AI754" s="857"/>
      <c r="AJ754" s="857"/>
      <c r="AK754" s="857"/>
      <c r="AL754" s="857"/>
      <c r="AM754" s="857"/>
      <c r="AN754" s="857"/>
      <c r="AO754" s="857"/>
      <c r="AP754" s="857"/>
      <c r="AQ754" s="857"/>
      <c r="AR754" s="857"/>
      <c r="AS754" s="857"/>
      <c r="AT754" s="855"/>
      <c r="AV754" s="857"/>
      <c r="AW754" s="857"/>
      <c r="AX754" s="857"/>
      <c r="AY754" s="857"/>
      <c r="AZ754" s="857"/>
      <c r="BA754" s="857"/>
      <c r="BB754" s="857"/>
      <c r="BC754" s="857"/>
      <c r="BD754" s="857"/>
      <c r="BE754" s="857"/>
      <c r="BF754" s="857"/>
      <c r="BG754" s="857"/>
    </row>
    <row r="755" spans="1:59" ht="15.75" customHeight="1">
      <c r="A755" s="857"/>
      <c r="B755" s="857"/>
      <c r="C755" s="857"/>
      <c r="D755" s="857"/>
      <c r="E755" s="857"/>
      <c r="F755" s="857"/>
      <c r="G755" s="857"/>
      <c r="H755" s="857"/>
      <c r="I755" s="857"/>
      <c r="J755" s="857"/>
      <c r="K755" s="857"/>
      <c r="L755" s="857"/>
      <c r="M755" s="857"/>
      <c r="N755" s="857"/>
      <c r="O755" s="857"/>
      <c r="P755" s="857"/>
      <c r="Q755" s="857"/>
      <c r="R755" s="857"/>
      <c r="S755" s="857"/>
      <c r="T755" s="857"/>
      <c r="U755" s="857"/>
      <c r="V755" s="857"/>
      <c r="W755" s="857"/>
      <c r="X755" s="857"/>
      <c r="Y755" s="857"/>
      <c r="Z755" s="857"/>
      <c r="AA755" s="857"/>
      <c r="AB755" s="857"/>
      <c r="AC755" s="857"/>
      <c r="AD755" s="857"/>
      <c r="AE755" s="857"/>
      <c r="AF755" s="857"/>
      <c r="AG755" s="857"/>
      <c r="AH755" s="857"/>
      <c r="AI755" s="857"/>
      <c r="AJ755" s="857"/>
      <c r="AK755" s="857"/>
      <c r="AL755" s="857"/>
      <c r="AM755" s="857"/>
      <c r="AN755" s="857"/>
      <c r="AO755" s="857"/>
      <c r="AP755" s="857"/>
      <c r="AQ755" s="857"/>
      <c r="AR755" s="857"/>
      <c r="AS755" s="857"/>
      <c r="AT755" s="855"/>
      <c r="AV755" s="857"/>
      <c r="AW755" s="857"/>
      <c r="AX755" s="857"/>
      <c r="AY755" s="857"/>
      <c r="AZ755" s="857"/>
      <c r="BA755" s="857"/>
      <c r="BB755" s="857"/>
      <c r="BC755" s="857"/>
      <c r="BD755" s="857"/>
      <c r="BE755" s="857"/>
      <c r="BF755" s="857"/>
      <c r="BG755" s="857"/>
    </row>
    <row r="756" spans="1:59" ht="15.75" customHeight="1">
      <c r="A756" s="857"/>
      <c r="B756" s="857"/>
      <c r="C756" s="857"/>
      <c r="D756" s="857"/>
      <c r="E756" s="857"/>
      <c r="F756" s="857"/>
      <c r="G756" s="857"/>
      <c r="H756" s="857"/>
      <c r="I756" s="857"/>
      <c r="J756" s="857"/>
      <c r="K756" s="857"/>
      <c r="L756" s="857"/>
      <c r="M756" s="857"/>
      <c r="N756" s="857"/>
      <c r="O756" s="857"/>
      <c r="P756" s="857"/>
      <c r="Q756" s="857"/>
      <c r="R756" s="857"/>
      <c r="S756" s="857"/>
      <c r="T756" s="857"/>
      <c r="U756" s="857"/>
      <c r="V756" s="857"/>
      <c r="W756" s="857"/>
      <c r="X756" s="857"/>
      <c r="Y756" s="857"/>
      <c r="Z756" s="857"/>
      <c r="AA756" s="857"/>
      <c r="AB756" s="857"/>
      <c r="AC756" s="857"/>
      <c r="AD756" s="857"/>
      <c r="AE756" s="857"/>
      <c r="AF756" s="857"/>
      <c r="AG756" s="857"/>
      <c r="AH756" s="857"/>
      <c r="AI756" s="857"/>
      <c r="AJ756" s="857"/>
      <c r="AK756" s="857"/>
      <c r="AL756" s="857"/>
      <c r="AM756" s="857"/>
      <c r="AN756" s="857"/>
      <c r="AO756" s="857"/>
      <c r="AP756" s="857"/>
      <c r="AQ756" s="857"/>
      <c r="AR756" s="857"/>
      <c r="AS756" s="857"/>
      <c r="AT756" s="855"/>
      <c r="AV756" s="857"/>
      <c r="AW756" s="857"/>
      <c r="AX756" s="857"/>
      <c r="AY756" s="857"/>
      <c r="AZ756" s="857"/>
      <c r="BA756" s="857"/>
      <c r="BB756" s="857"/>
      <c r="BC756" s="857"/>
      <c r="BD756" s="857"/>
      <c r="BE756" s="857"/>
      <c r="BF756" s="857"/>
      <c r="BG756" s="857"/>
    </row>
    <row r="757" spans="1:59" ht="15.75" customHeight="1">
      <c r="A757" s="857"/>
      <c r="B757" s="857"/>
      <c r="C757" s="857"/>
      <c r="D757" s="857"/>
      <c r="E757" s="857"/>
      <c r="F757" s="857"/>
      <c r="G757" s="857"/>
      <c r="H757" s="857"/>
      <c r="I757" s="857"/>
      <c r="J757" s="857"/>
      <c r="K757" s="857"/>
      <c r="L757" s="857"/>
      <c r="M757" s="857"/>
      <c r="N757" s="857"/>
      <c r="O757" s="857"/>
      <c r="P757" s="857"/>
      <c r="Q757" s="857"/>
      <c r="R757" s="857"/>
      <c r="S757" s="857"/>
      <c r="T757" s="857"/>
      <c r="U757" s="857"/>
      <c r="V757" s="857"/>
      <c r="W757" s="857"/>
      <c r="X757" s="857"/>
      <c r="Y757" s="857"/>
      <c r="Z757" s="857"/>
      <c r="AA757" s="857"/>
      <c r="AB757" s="857"/>
      <c r="AC757" s="857"/>
      <c r="AD757" s="857"/>
      <c r="AE757" s="857"/>
      <c r="AF757" s="857"/>
      <c r="AG757" s="857"/>
      <c r="AH757" s="857"/>
      <c r="AI757" s="857"/>
      <c r="AJ757" s="857"/>
      <c r="AK757" s="857"/>
      <c r="AL757" s="857"/>
      <c r="AM757" s="857"/>
      <c r="AN757" s="857"/>
      <c r="AO757" s="857"/>
      <c r="AP757" s="857"/>
      <c r="AQ757" s="857"/>
      <c r="AR757" s="857"/>
      <c r="AS757" s="857"/>
      <c r="AT757" s="855"/>
      <c r="AV757" s="857"/>
      <c r="AW757" s="857"/>
      <c r="AX757" s="857"/>
      <c r="AY757" s="857"/>
      <c r="AZ757" s="857"/>
      <c r="BA757" s="857"/>
      <c r="BB757" s="857"/>
      <c r="BC757" s="857"/>
      <c r="BD757" s="857"/>
      <c r="BE757" s="857"/>
      <c r="BF757" s="857"/>
      <c r="BG757" s="857"/>
    </row>
    <row r="758" spans="1:59" ht="15.75" customHeight="1">
      <c r="A758" s="857"/>
      <c r="B758" s="857"/>
      <c r="C758" s="857"/>
      <c r="D758" s="857"/>
      <c r="E758" s="857"/>
      <c r="F758" s="857"/>
      <c r="G758" s="857"/>
      <c r="H758" s="857"/>
      <c r="I758" s="857"/>
      <c r="J758" s="857"/>
      <c r="K758" s="857"/>
      <c r="L758" s="857"/>
      <c r="M758" s="857"/>
      <c r="N758" s="857"/>
      <c r="O758" s="857"/>
      <c r="P758" s="857"/>
      <c r="Q758" s="857"/>
      <c r="R758" s="857"/>
      <c r="S758" s="857"/>
      <c r="T758" s="857"/>
      <c r="U758" s="857"/>
      <c r="V758" s="857"/>
      <c r="W758" s="857"/>
      <c r="X758" s="857"/>
      <c r="Y758" s="857"/>
      <c r="Z758" s="857"/>
      <c r="AA758" s="857"/>
      <c r="AB758" s="857"/>
      <c r="AC758" s="857"/>
      <c r="AD758" s="857"/>
      <c r="AE758" s="857"/>
      <c r="AF758" s="857"/>
      <c r="AG758" s="857"/>
      <c r="AH758" s="857"/>
      <c r="AI758" s="857"/>
      <c r="AJ758" s="857"/>
      <c r="AK758" s="857"/>
      <c r="AL758" s="857"/>
      <c r="AM758" s="857"/>
      <c r="AN758" s="857"/>
      <c r="AO758" s="857"/>
      <c r="AP758" s="857"/>
      <c r="AQ758" s="857"/>
      <c r="AR758" s="857"/>
      <c r="AS758" s="857"/>
      <c r="AT758" s="855"/>
      <c r="AV758" s="857"/>
      <c r="AW758" s="857"/>
      <c r="AX758" s="857"/>
      <c r="AY758" s="857"/>
      <c r="AZ758" s="857"/>
      <c r="BA758" s="857"/>
      <c r="BB758" s="857"/>
      <c r="BC758" s="857"/>
      <c r="BD758" s="857"/>
      <c r="BE758" s="857"/>
      <c r="BF758" s="857"/>
      <c r="BG758" s="857"/>
    </row>
    <row r="759" spans="1:59" ht="15.75" customHeight="1">
      <c r="A759" s="857"/>
      <c r="B759" s="857"/>
      <c r="C759" s="857"/>
      <c r="D759" s="857"/>
      <c r="E759" s="857"/>
      <c r="F759" s="857"/>
      <c r="G759" s="857"/>
      <c r="H759" s="857"/>
      <c r="I759" s="857"/>
      <c r="J759" s="857"/>
      <c r="K759" s="857"/>
      <c r="L759" s="857"/>
      <c r="M759" s="857"/>
      <c r="N759" s="857"/>
      <c r="O759" s="857"/>
      <c r="P759" s="857"/>
      <c r="Q759" s="857"/>
      <c r="R759" s="857"/>
      <c r="S759" s="857"/>
      <c r="T759" s="857"/>
      <c r="U759" s="857"/>
      <c r="V759" s="857"/>
      <c r="W759" s="857"/>
      <c r="X759" s="857"/>
      <c r="Y759" s="857"/>
      <c r="Z759" s="857"/>
      <c r="AA759" s="857"/>
      <c r="AB759" s="857"/>
      <c r="AC759" s="857"/>
      <c r="AD759" s="857"/>
      <c r="AE759" s="857"/>
      <c r="AF759" s="857"/>
      <c r="AG759" s="857"/>
      <c r="AH759" s="857"/>
      <c r="AI759" s="857"/>
      <c r="AJ759" s="857"/>
      <c r="AK759" s="857"/>
      <c r="AL759" s="857"/>
      <c r="AM759" s="857"/>
      <c r="AN759" s="857"/>
      <c r="AO759" s="857"/>
      <c r="AP759" s="857"/>
      <c r="AQ759" s="857"/>
      <c r="AR759" s="857"/>
      <c r="AS759" s="857"/>
      <c r="AT759" s="855"/>
      <c r="AV759" s="857"/>
      <c r="AW759" s="857"/>
      <c r="AX759" s="857"/>
      <c r="AY759" s="857"/>
      <c r="AZ759" s="857"/>
      <c r="BA759" s="857"/>
      <c r="BB759" s="857"/>
      <c r="BC759" s="857"/>
      <c r="BD759" s="857"/>
      <c r="BE759" s="857"/>
      <c r="BF759" s="857"/>
      <c r="BG759" s="857"/>
    </row>
    <row r="760" spans="1:59" ht="15.75" customHeight="1">
      <c r="A760" s="857"/>
      <c r="B760" s="857"/>
      <c r="C760" s="857"/>
      <c r="D760" s="857"/>
      <c r="E760" s="857"/>
      <c r="F760" s="857"/>
      <c r="G760" s="857"/>
      <c r="H760" s="857"/>
      <c r="I760" s="857"/>
      <c r="J760" s="857"/>
      <c r="K760" s="857"/>
      <c r="L760" s="857"/>
      <c r="M760" s="857"/>
      <c r="N760" s="857"/>
      <c r="O760" s="857"/>
      <c r="P760" s="857"/>
      <c r="Q760" s="857"/>
      <c r="R760" s="857"/>
      <c r="S760" s="857"/>
      <c r="T760" s="857"/>
      <c r="U760" s="857"/>
      <c r="V760" s="857"/>
      <c r="W760" s="857"/>
      <c r="X760" s="857"/>
      <c r="Y760" s="857"/>
      <c r="Z760" s="857"/>
      <c r="AA760" s="857"/>
      <c r="AB760" s="857"/>
      <c r="AC760" s="857"/>
      <c r="AD760" s="857"/>
      <c r="AE760" s="857"/>
      <c r="AF760" s="857"/>
      <c r="AG760" s="857"/>
      <c r="AH760" s="857"/>
      <c r="AI760" s="857"/>
      <c r="AJ760" s="857"/>
      <c r="AK760" s="857"/>
      <c r="AL760" s="857"/>
      <c r="AM760" s="857"/>
      <c r="AN760" s="857"/>
      <c r="AO760" s="857"/>
      <c r="AP760" s="857"/>
      <c r="AQ760" s="857"/>
      <c r="AR760" s="857"/>
      <c r="AS760" s="857"/>
      <c r="AT760" s="855"/>
      <c r="AV760" s="857"/>
      <c r="AW760" s="857"/>
      <c r="AX760" s="857"/>
      <c r="AY760" s="857"/>
      <c r="AZ760" s="857"/>
      <c r="BA760" s="857"/>
      <c r="BB760" s="857"/>
      <c r="BC760" s="857"/>
      <c r="BD760" s="857"/>
      <c r="BE760" s="857"/>
      <c r="BF760" s="857"/>
      <c r="BG760" s="857"/>
    </row>
    <row r="761" spans="1:59" ht="15.75" customHeight="1">
      <c r="A761" s="857"/>
      <c r="B761" s="857"/>
      <c r="C761" s="857"/>
      <c r="D761" s="857"/>
      <c r="E761" s="857"/>
      <c r="F761" s="857"/>
      <c r="G761" s="857"/>
      <c r="H761" s="857"/>
      <c r="I761" s="857"/>
      <c r="J761" s="857"/>
      <c r="K761" s="857"/>
      <c r="L761" s="857"/>
      <c r="M761" s="857"/>
      <c r="N761" s="857"/>
      <c r="O761" s="857"/>
      <c r="P761" s="857"/>
      <c r="Q761" s="857"/>
      <c r="R761" s="857"/>
      <c r="S761" s="857"/>
      <c r="T761" s="857"/>
      <c r="U761" s="857"/>
      <c r="V761" s="857"/>
      <c r="W761" s="857"/>
      <c r="X761" s="857"/>
      <c r="Y761" s="857"/>
      <c r="Z761" s="857"/>
      <c r="AA761" s="857"/>
      <c r="AB761" s="857"/>
      <c r="AC761" s="857"/>
      <c r="AD761" s="857"/>
      <c r="AE761" s="857"/>
      <c r="AF761" s="857"/>
      <c r="AG761" s="857"/>
      <c r="AH761" s="857"/>
      <c r="AI761" s="857"/>
      <c r="AJ761" s="857"/>
      <c r="AK761" s="857"/>
      <c r="AL761" s="857"/>
      <c r="AM761" s="857"/>
      <c r="AN761" s="857"/>
      <c r="AO761" s="857"/>
      <c r="AP761" s="857"/>
      <c r="AQ761" s="857"/>
      <c r="AR761" s="857"/>
      <c r="AS761" s="857"/>
      <c r="AT761" s="855"/>
      <c r="AV761" s="857"/>
      <c r="AW761" s="857"/>
      <c r="AX761" s="857"/>
      <c r="AY761" s="857"/>
      <c r="AZ761" s="857"/>
      <c r="BA761" s="857"/>
      <c r="BB761" s="857"/>
      <c r="BC761" s="857"/>
      <c r="BD761" s="857"/>
      <c r="BE761" s="857"/>
      <c r="BF761" s="857"/>
      <c r="BG761" s="857"/>
    </row>
    <row r="762" spans="1:59" ht="15.75" customHeight="1">
      <c r="A762" s="857"/>
      <c r="B762" s="857"/>
      <c r="C762" s="857"/>
      <c r="D762" s="857"/>
      <c r="E762" s="857"/>
      <c r="F762" s="857"/>
      <c r="G762" s="857"/>
      <c r="H762" s="857"/>
      <c r="I762" s="857"/>
      <c r="J762" s="857"/>
      <c r="K762" s="857"/>
      <c r="L762" s="857"/>
      <c r="M762" s="857"/>
      <c r="N762" s="857"/>
      <c r="O762" s="857"/>
      <c r="P762" s="857"/>
      <c r="Q762" s="857"/>
      <c r="R762" s="857"/>
      <c r="S762" s="857"/>
      <c r="T762" s="857"/>
      <c r="U762" s="857"/>
      <c r="V762" s="857"/>
      <c r="W762" s="857"/>
      <c r="X762" s="857"/>
      <c r="Y762" s="857"/>
      <c r="Z762" s="857"/>
      <c r="AA762" s="857"/>
      <c r="AB762" s="857"/>
      <c r="AC762" s="857"/>
      <c r="AD762" s="857"/>
      <c r="AE762" s="857"/>
      <c r="AF762" s="857"/>
      <c r="AG762" s="857"/>
      <c r="AH762" s="857"/>
      <c r="AI762" s="857"/>
      <c r="AJ762" s="857"/>
      <c r="AK762" s="857"/>
      <c r="AL762" s="857"/>
      <c r="AM762" s="857"/>
      <c r="AN762" s="857"/>
      <c r="AO762" s="857"/>
      <c r="AP762" s="857"/>
      <c r="AQ762" s="857"/>
      <c r="AR762" s="857"/>
      <c r="AS762" s="857"/>
      <c r="AT762" s="855"/>
      <c r="AV762" s="857"/>
      <c r="AW762" s="857"/>
      <c r="AX762" s="857"/>
      <c r="AY762" s="857"/>
      <c r="AZ762" s="857"/>
      <c r="BA762" s="857"/>
      <c r="BB762" s="857"/>
      <c r="BC762" s="857"/>
      <c r="BD762" s="857"/>
      <c r="BE762" s="857"/>
      <c r="BF762" s="857"/>
      <c r="BG762" s="857"/>
    </row>
    <row r="763" spans="1:59" ht="15.75" customHeight="1">
      <c r="A763" s="857"/>
      <c r="B763" s="857"/>
      <c r="C763" s="857"/>
      <c r="D763" s="857"/>
      <c r="E763" s="857"/>
      <c r="F763" s="857"/>
      <c r="G763" s="857"/>
      <c r="H763" s="857"/>
      <c r="I763" s="857"/>
      <c r="J763" s="857"/>
      <c r="K763" s="857"/>
      <c r="L763" s="857"/>
      <c r="M763" s="857"/>
      <c r="N763" s="857"/>
      <c r="O763" s="857"/>
      <c r="P763" s="857"/>
      <c r="Q763" s="857"/>
      <c r="R763" s="857"/>
      <c r="S763" s="857"/>
      <c r="T763" s="857"/>
      <c r="U763" s="857"/>
      <c r="V763" s="857"/>
      <c r="W763" s="857"/>
      <c r="X763" s="857"/>
      <c r="Y763" s="857"/>
      <c r="Z763" s="857"/>
      <c r="AA763" s="857"/>
      <c r="AB763" s="857"/>
      <c r="AC763" s="857"/>
      <c r="AD763" s="857"/>
      <c r="AE763" s="857"/>
      <c r="AF763" s="857"/>
      <c r="AG763" s="857"/>
      <c r="AH763" s="857"/>
      <c r="AI763" s="857"/>
      <c r="AJ763" s="857"/>
      <c r="AK763" s="857"/>
      <c r="AL763" s="857"/>
      <c r="AM763" s="857"/>
      <c r="AN763" s="857"/>
      <c r="AO763" s="857"/>
      <c r="AP763" s="857"/>
      <c r="AQ763" s="857"/>
      <c r="AR763" s="857"/>
      <c r="AS763" s="857"/>
      <c r="AT763" s="855"/>
      <c r="AV763" s="857"/>
      <c r="AW763" s="857"/>
      <c r="AX763" s="857"/>
      <c r="AY763" s="857"/>
      <c r="AZ763" s="857"/>
      <c r="BA763" s="857"/>
      <c r="BB763" s="857"/>
      <c r="BC763" s="857"/>
      <c r="BD763" s="857"/>
      <c r="BE763" s="857"/>
      <c r="BF763" s="857"/>
      <c r="BG763" s="857"/>
    </row>
    <row r="764" spans="1:59" ht="15.75" customHeight="1">
      <c r="A764" s="857"/>
      <c r="B764" s="857"/>
      <c r="C764" s="857"/>
      <c r="D764" s="857"/>
      <c r="E764" s="857"/>
      <c r="F764" s="857"/>
      <c r="G764" s="857"/>
      <c r="H764" s="857"/>
      <c r="I764" s="857"/>
      <c r="J764" s="857"/>
      <c r="K764" s="857"/>
      <c r="L764" s="857"/>
      <c r="M764" s="857"/>
      <c r="N764" s="857"/>
      <c r="O764" s="857"/>
      <c r="P764" s="857"/>
      <c r="Q764" s="857"/>
      <c r="R764" s="857"/>
      <c r="S764" s="857"/>
      <c r="T764" s="857"/>
      <c r="U764" s="857"/>
      <c r="V764" s="857"/>
      <c r="W764" s="857"/>
      <c r="X764" s="857"/>
      <c r="Y764" s="857"/>
      <c r="Z764" s="857"/>
      <c r="AA764" s="857"/>
      <c r="AB764" s="857"/>
      <c r="AC764" s="857"/>
      <c r="AD764" s="857"/>
      <c r="AE764" s="857"/>
      <c r="AF764" s="857"/>
      <c r="AG764" s="857"/>
      <c r="AH764" s="857"/>
      <c r="AI764" s="857"/>
      <c r="AJ764" s="857"/>
      <c r="AK764" s="857"/>
      <c r="AL764" s="857"/>
      <c r="AM764" s="857"/>
      <c r="AN764" s="857"/>
      <c r="AO764" s="857"/>
      <c r="AP764" s="857"/>
      <c r="AQ764" s="857"/>
      <c r="AR764" s="857"/>
      <c r="AS764" s="857"/>
      <c r="AT764" s="855"/>
      <c r="AV764" s="857"/>
      <c r="AW764" s="857"/>
      <c r="AX764" s="857"/>
      <c r="AY764" s="857"/>
      <c r="AZ764" s="857"/>
      <c r="BA764" s="857"/>
      <c r="BB764" s="857"/>
      <c r="BC764" s="857"/>
      <c r="BD764" s="857"/>
      <c r="BE764" s="857"/>
      <c r="BF764" s="857"/>
      <c r="BG764" s="857"/>
    </row>
    <row r="765" spans="1:59" ht="15.75" customHeight="1">
      <c r="A765" s="857"/>
      <c r="B765" s="857"/>
      <c r="C765" s="857"/>
      <c r="D765" s="857"/>
      <c r="E765" s="857"/>
      <c r="F765" s="857"/>
      <c r="G765" s="857"/>
      <c r="H765" s="857"/>
      <c r="I765" s="857"/>
      <c r="J765" s="857"/>
      <c r="K765" s="857"/>
      <c r="L765" s="857"/>
      <c r="M765" s="857"/>
      <c r="N765" s="857"/>
      <c r="O765" s="857"/>
      <c r="P765" s="857"/>
      <c r="Q765" s="857"/>
      <c r="R765" s="857"/>
      <c r="S765" s="857"/>
      <c r="T765" s="857"/>
      <c r="U765" s="857"/>
      <c r="V765" s="857"/>
      <c r="W765" s="857"/>
      <c r="X765" s="857"/>
      <c r="Y765" s="857"/>
      <c r="Z765" s="857"/>
      <c r="AA765" s="857"/>
      <c r="AB765" s="857"/>
      <c r="AC765" s="857"/>
      <c r="AD765" s="857"/>
      <c r="AE765" s="857"/>
      <c r="AF765" s="857"/>
      <c r="AG765" s="857"/>
      <c r="AH765" s="857"/>
      <c r="AI765" s="857"/>
      <c r="AJ765" s="857"/>
      <c r="AK765" s="857"/>
      <c r="AL765" s="857"/>
      <c r="AM765" s="857"/>
      <c r="AN765" s="857"/>
      <c r="AO765" s="857"/>
      <c r="AP765" s="857"/>
      <c r="AQ765" s="857"/>
      <c r="AR765" s="857"/>
      <c r="AS765" s="857"/>
      <c r="AT765" s="855"/>
      <c r="AV765" s="857"/>
      <c r="AW765" s="857"/>
      <c r="AX765" s="857"/>
      <c r="AY765" s="857"/>
      <c r="AZ765" s="857"/>
      <c r="BA765" s="857"/>
      <c r="BB765" s="857"/>
      <c r="BC765" s="857"/>
      <c r="BD765" s="857"/>
      <c r="BE765" s="857"/>
      <c r="BF765" s="857"/>
      <c r="BG765" s="857"/>
    </row>
    <row r="766" spans="1:59" ht="15.75" customHeight="1">
      <c r="A766" s="857"/>
      <c r="B766" s="857"/>
      <c r="C766" s="857"/>
      <c r="D766" s="857"/>
      <c r="E766" s="857"/>
      <c r="F766" s="857"/>
      <c r="G766" s="857"/>
      <c r="H766" s="857"/>
      <c r="I766" s="857"/>
      <c r="J766" s="857"/>
      <c r="K766" s="857"/>
      <c r="L766" s="857"/>
      <c r="M766" s="857"/>
      <c r="N766" s="857"/>
      <c r="O766" s="857"/>
      <c r="P766" s="857"/>
      <c r="Q766" s="857"/>
      <c r="R766" s="857"/>
      <c r="S766" s="857"/>
      <c r="T766" s="857"/>
      <c r="U766" s="857"/>
      <c r="V766" s="857"/>
      <c r="W766" s="857"/>
      <c r="X766" s="857"/>
      <c r="Y766" s="857"/>
      <c r="Z766" s="857"/>
      <c r="AA766" s="857"/>
      <c r="AB766" s="857"/>
      <c r="AC766" s="857"/>
      <c r="AD766" s="857"/>
      <c r="AE766" s="857"/>
      <c r="AF766" s="857"/>
      <c r="AG766" s="857"/>
      <c r="AH766" s="857"/>
      <c r="AI766" s="857"/>
      <c r="AJ766" s="857"/>
      <c r="AK766" s="857"/>
      <c r="AL766" s="857"/>
      <c r="AM766" s="857"/>
      <c r="AN766" s="857"/>
      <c r="AO766" s="857"/>
      <c r="AP766" s="857"/>
      <c r="AQ766" s="857"/>
      <c r="AR766" s="857"/>
      <c r="AS766" s="857"/>
      <c r="AT766" s="855"/>
      <c r="AV766" s="857"/>
      <c r="AW766" s="857"/>
      <c r="AX766" s="857"/>
      <c r="AY766" s="857"/>
      <c r="AZ766" s="857"/>
      <c r="BA766" s="857"/>
      <c r="BB766" s="857"/>
      <c r="BC766" s="857"/>
      <c r="BD766" s="857"/>
      <c r="BE766" s="857"/>
      <c r="BF766" s="857"/>
      <c r="BG766" s="857"/>
    </row>
    <row r="767" spans="1:59" ht="15.75" customHeight="1">
      <c r="A767" s="857"/>
      <c r="B767" s="857"/>
      <c r="C767" s="857"/>
      <c r="D767" s="857"/>
      <c r="E767" s="857"/>
      <c r="F767" s="857"/>
      <c r="G767" s="857"/>
      <c r="H767" s="857"/>
      <c r="I767" s="857"/>
      <c r="J767" s="857"/>
      <c r="K767" s="857"/>
      <c r="L767" s="857"/>
      <c r="M767" s="857"/>
      <c r="N767" s="857"/>
      <c r="O767" s="857"/>
      <c r="P767" s="857"/>
      <c r="Q767" s="857"/>
      <c r="R767" s="857"/>
      <c r="S767" s="857"/>
      <c r="T767" s="857"/>
      <c r="U767" s="857"/>
      <c r="V767" s="857"/>
      <c r="W767" s="857"/>
      <c r="X767" s="857"/>
      <c r="Y767" s="857"/>
      <c r="Z767" s="857"/>
      <c r="AA767" s="857"/>
      <c r="AB767" s="857"/>
      <c r="AC767" s="857"/>
      <c r="AD767" s="857"/>
      <c r="AE767" s="857"/>
      <c r="AF767" s="857"/>
      <c r="AG767" s="857"/>
      <c r="AH767" s="857"/>
      <c r="AI767" s="857"/>
      <c r="AJ767" s="857"/>
      <c r="AK767" s="857"/>
      <c r="AL767" s="857"/>
      <c r="AM767" s="857"/>
      <c r="AN767" s="857"/>
      <c r="AO767" s="857"/>
      <c r="AP767" s="857"/>
      <c r="AQ767" s="857"/>
      <c r="AR767" s="857"/>
      <c r="AS767" s="857"/>
      <c r="AT767" s="855"/>
      <c r="AV767" s="857"/>
      <c r="AW767" s="857"/>
      <c r="AX767" s="857"/>
      <c r="AY767" s="857"/>
      <c r="AZ767" s="857"/>
      <c r="BA767" s="857"/>
      <c r="BB767" s="857"/>
      <c r="BC767" s="857"/>
      <c r="BD767" s="857"/>
      <c r="BE767" s="857"/>
      <c r="BF767" s="857"/>
      <c r="BG767" s="857"/>
    </row>
    <row r="768" spans="1:59" ht="15.75" customHeight="1">
      <c r="A768" s="857"/>
      <c r="B768" s="857"/>
      <c r="C768" s="857"/>
      <c r="D768" s="857"/>
      <c r="E768" s="857"/>
      <c r="F768" s="857"/>
      <c r="G768" s="857"/>
      <c r="H768" s="857"/>
      <c r="I768" s="857"/>
      <c r="J768" s="857"/>
      <c r="K768" s="857"/>
      <c r="L768" s="857"/>
      <c r="M768" s="857"/>
      <c r="N768" s="857"/>
      <c r="O768" s="857"/>
      <c r="P768" s="857"/>
      <c r="Q768" s="857"/>
      <c r="R768" s="857"/>
      <c r="S768" s="857"/>
      <c r="T768" s="857"/>
      <c r="U768" s="857"/>
      <c r="V768" s="857"/>
      <c r="W768" s="857"/>
      <c r="X768" s="857"/>
      <c r="Y768" s="857"/>
      <c r="Z768" s="857"/>
      <c r="AA768" s="857"/>
      <c r="AB768" s="857"/>
      <c r="AC768" s="857"/>
      <c r="AD768" s="857"/>
      <c r="AE768" s="857"/>
      <c r="AF768" s="857"/>
      <c r="AG768" s="857"/>
      <c r="AH768" s="857"/>
      <c r="AI768" s="857"/>
      <c r="AJ768" s="857"/>
      <c r="AK768" s="857"/>
      <c r="AL768" s="857"/>
      <c r="AM768" s="857"/>
      <c r="AN768" s="857"/>
      <c r="AO768" s="857"/>
      <c r="AP768" s="857"/>
      <c r="AQ768" s="857"/>
      <c r="AR768" s="857"/>
      <c r="AS768" s="857"/>
      <c r="AT768" s="855"/>
      <c r="AV768" s="857"/>
      <c r="AW768" s="857"/>
      <c r="AX768" s="857"/>
      <c r="AY768" s="857"/>
      <c r="AZ768" s="857"/>
      <c r="BA768" s="857"/>
      <c r="BB768" s="857"/>
      <c r="BC768" s="857"/>
      <c r="BD768" s="857"/>
      <c r="BE768" s="857"/>
      <c r="BF768" s="857"/>
      <c r="BG768" s="857"/>
    </row>
    <row r="769" spans="1:59" ht="15.75" customHeight="1">
      <c r="A769" s="857"/>
      <c r="B769" s="857"/>
      <c r="C769" s="857"/>
      <c r="D769" s="857"/>
      <c r="E769" s="857"/>
      <c r="F769" s="857"/>
      <c r="G769" s="857"/>
      <c r="H769" s="857"/>
      <c r="I769" s="857"/>
      <c r="J769" s="857"/>
      <c r="K769" s="857"/>
      <c r="L769" s="857"/>
      <c r="M769" s="857"/>
      <c r="N769" s="857"/>
      <c r="O769" s="857"/>
      <c r="P769" s="857"/>
      <c r="Q769" s="857"/>
      <c r="R769" s="857"/>
      <c r="S769" s="857"/>
      <c r="T769" s="857"/>
      <c r="U769" s="857"/>
      <c r="V769" s="857"/>
      <c r="W769" s="857"/>
      <c r="X769" s="857"/>
      <c r="Y769" s="857"/>
      <c r="Z769" s="857"/>
      <c r="AA769" s="857"/>
      <c r="AB769" s="857"/>
      <c r="AC769" s="857"/>
      <c r="AD769" s="857"/>
      <c r="AE769" s="857"/>
      <c r="AF769" s="857"/>
      <c r="AG769" s="857"/>
      <c r="AH769" s="857"/>
      <c r="AI769" s="857"/>
      <c r="AJ769" s="857"/>
      <c r="AK769" s="857"/>
      <c r="AL769" s="857"/>
      <c r="AM769" s="857"/>
      <c r="AN769" s="857"/>
      <c r="AO769" s="857"/>
      <c r="AP769" s="857"/>
      <c r="AQ769" s="857"/>
      <c r="AR769" s="857"/>
      <c r="AS769" s="857"/>
      <c r="AT769" s="855"/>
      <c r="AV769" s="857"/>
      <c r="AW769" s="857"/>
      <c r="AX769" s="857"/>
      <c r="AY769" s="857"/>
      <c r="AZ769" s="857"/>
      <c r="BA769" s="857"/>
      <c r="BB769" s="857"/>
      <c r="BC769" s="857"/>
      <c r="BD769" s="857"/>
      <c r="BE769" s="857"/>
      <c r="BF769" s="857"/>
      <c r="BG769" s="857"/>
    </row>
    <row r="770" spans="1:59" ht="15.75" customHeight="1">
      <c r="A770" s="857"/>
      <c r="B770" s="857"/>
      <c r="C770" s="857"/>
      <c r="D770" s="857"/>
      <c r="E770" s="857"/>
      <c r="F770" s="857"/>
      <c r="G770" s="857"/>
      <c r="H770" s="857"/>
      <c r="I770" s="857"/>
      <c r="J770" s="857"/>
      <c r="K770" s="857"/>
      <c r="L770" s="857"/>
      <c r="M770" s="857"/>
      <c r="N770" s="857"/>
      <c r="O770" s="857"/>
      <c r="P770" s="857"/>
      <c r="Q770" s="857"/>
      <c r="R770" s="857"/>
      <c r="S770" s="857"/>
      <c r="T770" s="857"/>
      <c r="U770" s="857"/>
      <c r="V770" s="857"/>
      <c r="W770" s="857"/>
      <c r="X770" s="857"/>
      <c r="Y770" s="857"/>
      <c r="Z770" s="857"/>
      <c r="AA770" s="857"/>
      <c r="AB770" s="857"/>
      <c r="AC770" s="857"/>
      <c r="AD770" s="857"/>
      <c r="AE770" s="857"/>
      <c r="AF770" s="857"/>
      <c r="AG770" s="857"/>
      <c r="AH770" s="857"/>
      <c r="AI770" s="857"/>
      <c r="AJ770" s="857"/>
      <c r="AK770" s="857"/>
      <c r="AL770" s="857"/>
      <c r="AM770" s="857"/>
      <c r="AN770" s="857"/>
      <c r="AO770" s="857"/>
      <c r="AP770" s="857"/>
      <c r="AQ770" s="857"/>
      <c r="AR770" s="857"/>
      <c r="AS770" s="857"/>
      <c r="AT770" s="855"/>
      <c r="AV770" s="857"/>
      <c r="AW770" s="857"/>
      <c r="AX770" s="857"/>
      <c r="AY770" s="857"/>
      <c r="AZ770" s="857"/>
      <c r="BA770" s="857"/>
      <c r="BB770" s="857"/>
      <c r="BC770" s="857"/>
      <c r="BD770" s="857"/>
      <c r="BE770" s="857"/>
      <c r="BF770" s="857"/>
      <c r="BG770" s="857"/>
    </row>
    <row r="771" spans="1:59" ht="15.75" customHeight="1">
      <c r="A771" s="857"/>
      <c r="B771" s="857"/>
      <c r="C771" s="857"/>
      <c r="D771" s="857"/>
      <c r="E771" s="857"/>
      <c r="F771" s="857"/>
      <c r="G771" s="857"/>
      <c r="H771" s="857"/>
      <c r="I771" s="857"/>
      <c r="J771" s="857"/>
      <c r="K771" s="857"/>
      <c r="L771" s="857"/>
      <c r="M771" s="857"/>
      <c r="N771" s="857"/>
      <c r="O771" s="857"/>
      <c r="P771" s="857"/>
      <c r="Q771" s="857"/>
      <c r="R771" s="857"/>
      <c r="S771" s="857"/>
      <c r="T771" s="857"/>
      <c r="U771" s="857"/>
      <c r="V771" s="857"/>
      <c r="W771" s="857"/>
      <c r="X771" s="857"/>
      <c r="Y771" s="857"/>
      <c r="Z771" s="857"/>
      <c r="AA771" s="857"/>
      <c r="AB771" s="857"/>
      <c r="AC771" s="857"/>
      <c r="AD771" s="857"/>
      <c r="AE771" s="857"/>
      <c r="AF771" s="857"/>
      <c r="AG771" s="857"/>
      <c r="AH771" s="857"/>
      <c r="AI771" s="857"/>
      <c r="AJ771" s="857"/>
      <c r="AK771" s="857"/>
      <c r="AL771" s="857"/>
      <c r="AM771" s="857"/>
      <c r="AN771" s="857"/>
      <c r="AO771" s="857"/>
      <c r="AP771" s="857"/>
      <c r="AQ771" s="857"/>
      <c r="AR771" s="857"/>
      <c r="AS771" s="857"/>
      <c r="AT771" s="855"/>
      <c r="AV771" s="857"/>
      <c r="AW771" s="857"/>
      <c r="AX771" s="857"/>
      <c r="AY771" s="857"/>
      <c r="AZ771" s="857"/>
      <c r="BA771" s="857"/>
      <c r="BB771" s="857"/>
      <c r="BC771" s="857"/>
      <c r="BD771" s="857"/>
      <c r="BE771" s="857"/>
      <c r="BF771" s="857"/>
      <c r="BG771" s="857"/>
    </row>
    <row r="772" spans="1:59" ht="15.75" customHeight="1">
      <c r="A772" s="857"/>
      <c r="B772" s="857"/>
      <c r="C772" s="857"/>
      <c r="D772" s="857"/>
      <c r="E772" s="857"/>
      <c r="F772" s="857"/>
      <c r="G772" s="857"/>
      <c r="H772" s="857"/>
      <c r="I772" s="857"/>
      <c r="J772" s="857"/>
      <c r="K772" s="857"/>
      <c r="L772" s="857"/>
      <c r="M772" s="857"/>
      <c r="N772" s="857"/>
      <c r="O772" s="857"/>
      <c r="P772" s="857"/>
      <c r="Q772" s="857"/>
      <c r="R772" s="857"/>
      <c r="S772" s="857"/>
      <c r="T772" s="857"/>
      <c r="U772" s="857"/>
      <c r="V772" s="857"/>
      <c r="W772" s="857"/>
      <c r="X772" s="857"/>
      <c r="Y772" s="857"/>
      <c r="Z772" s="857"/>
      <c r="AA772" s="857"/>
      <c r="AB772" s="857"/>
      <c r="AC772" s="857"/>
      <c r="AD772" s="857"/>
      <c r="AE772" s="857"/>
      <c r="AF772" s="857"/>
      <c r="AG772" s="857"/>
      <c r="AH772" s="857"/>
      <c r="AI772" s="857"/>
      <c r="AJ772" s="857"/>
      <c r="AK772" s="857"/>
      <c r="AL772" s="857"/>
      <c r="AM772" s="857"/>
      <c r="AN772" s="857"/>
      <c r="AO772" s="857"/>
      <c r="AP772" s="857"/>
      <c r="AQ772" s="857"/>
      <c r="AR772" s="857"/>
      <c r="AS772" s="857"/>
      <c r="AT772" s="855"/>
      <c r="AV772" s="857"/>
      <c r="AW772" s="857"/>
      <c r="AX772" s="857"/>
      <c r="AY772" s="857"/>
      <c r="AZ772" s="857"/>
      <c r="BA772" s="857"/>
      <c r="BB772" s="857"/>
      <c r="BC772" s="857"/>
      <c r="BD772" s="857"/>
      <c r="BE772" s="857"/>
      <c r="BF772" s="857"/>
      <c r="BG772" s="857"/>
    </row>
    <row r="773" spans="1:59" ht="15.75" customHeight="1">
      <c r="A773" s="857"/>
      <c r="B773" s="857"/>
      <c r="C773" s="857"/>
      <c r="D773" s="857"/>
      <c r="E773" s="857"/>
      <c r="F773" s="857"/>
      <c r="G773" s="857"/>
      <c r="H773" s="857"/>
      <c r="I773" s="857"/>
      <c r="J773" s="857"/>
      <c r="K773" s="857"/>
      <c r="L773" s="857"/>
      <c r="M773" s="857"/>
      <c r="N773" s="857"/>
      <c r="O773" s="857"/>
      <c r="P773" s="857"/>
      <c r="Q773" s="857"/>
      <c r="R773" s="857"/>
      <c r="S773" s="857"/>
      <c r="T773" s="857"/>
      <c r="U773" s="857"/>
      <c r="V773" s="857"/>
      <c r="W773" s="857"/>
      <c r="X773" s="857"/>
      <c r="Y773" s="857"/>
      <c r="Z773" s="857"/>
      <c r="AA773" s="857"/>
      <c r="AB773" s="857"/>
      <c r="AC773" s="857"/>
      <c r="AD773" s="857"/>
      <c r="AE773" s="857"/>
      <c r="AF773" s="857"/>
      <c r="AG773" s="857"/>
      <c r="AH773" s="857"/>
      <c r="AI773" s="857"/>
      <c r="AJ773" s="857"/>
      <c r="AK773" s="857"/>
      <c r="AL773" s="857"/>
      <c r="AM773" s="857"/>
      <c r="AN773" s="857"/>
      <c r="AO773" s="857"/>
      <c r="AP773" s="857"/>
      <c r="AQ773" s="857"/>
      <c r="AR773" s="857"/>
      <c r="AS773" s="857"/>
      <c r="AT773" s="855"/>
      <c r="AV773" s="857"/>
      <c r="AW773" s="857"/>
      <c r="AX773" s="857"/>
      <c r="AY773" s="857"/>
      <c r="AZ773" s="857"/>
      <c r="BA773" s="857"/>
      <c r="BB773" s="857"/>
      <c r="BC773" s="857"/>
      <c r="BD773" s="857"/>
      <c r="BE773" s="857"/>
      <c r="BF773" s="857"/>
      <c r="BG773" s="857"/>
    </row>
    <row r="774" spans="1:59" ht="15.75" customHeight="1">
      <c r="A774" s="857"/>
      <c r="B774" s="857"/>
      <c r="C774" s="857"/>
      <c r="D774" s="857"/>
      <c r="E774" s="857"/>
      <c r="F774" s="857"/>
      <c r="G774" s="857"/>
      <c r="H774" s="857"/>
      <c r="I774" s="857"/>
      <c r="J774" s="857"/>
      <c r="K774" s="857"/>
      <c r="L774" s="857"/>
      <c r="M774" s="857"/>
      <c r="N774" s="857"/>
      <c r="O774" s="857"/>
      <c r="P774" s="857"/>
      <c r="Q774" s="857"/>
      <c r="R774" s="857"/>
      <c r="S774" s="857"/>
      <c r="T774" s="857"/>
      <c r="U774" s="857"/>
      <c r="V774" s="857"/>
      <c r="W774" s="857"/>
      <c r="X774" s="857"/>
      <c r="Y774" s="857"/>
      <c r="Z774" s="857"/>
      <c r="AA774" s="857"/>
      <c r="AB774" s="857"/>
      <c r="AC774" s="857"/>
      <c r="AD774" s="857"/>
      <c r="AE774" s="857"/>
      <c r="AF774" s="857"/>
      <c r="AG774" s="857"/>
      <c r="AH774" s="857"/>
      <c r="AI774" s="857"/>
      <c r="AJ774" s="857"/>
      <c r="AK774" s="857"/>
      <c r="AL774" s="857"/>
      <c r="AM774" s="857"/>
      <c r="AN774" s="857"/>
      <c r="AO774" s="857"/>
      <c r="AP774" s="857"/>
      <c r="AQ774" s="857"/>
      <c r="AR774" s="857"/>
      <c r="AS774" s="857"/>
      <c r="AT774" s="855"/>
      <c r="AV774" s="857"/>
      <c r="AW774" s="857"/>
      <c r="AX774" s="857"/>
      <c r="AY774" s="857"/>
      <c r="AZ774" s="857"/>
      <c r="BA774" s="857"/>
      <c r="BB774" s="857"/>
      <c r="BC774" s="857"/>
      <c r="BD774" s="857"/>
      <c r="BE774" s="857"/>
      <c r="BF774" s="857"/>
      <c r="BG774" s="857"/>
    </row>
    <row r="775" spans="1:59" ht="15.75" customHeight="1">
      <c r="A775" s="857"/>
      <c r="B775" s="857"/>
      <c r="C775" s="857"/>
      <c r="D775" s="857"/>
      <c r="E775" s="857"/>
      <c r="F775" s="857"/>
      <c r="G775" s="857"/>
      <c r="H775" s="857"/>
      <c r="I775" s="857"/>
      <c r="J775" s="857"/>
      <c r="K775" s="857"/>
      <c r="L775" s="857"/>
      <c r="M775" s="857"/>
      <c r="N775" s="857"/>
      <c r="O775" s="857"/>
      <c r="P775" s="857"/>
      <c r="Q775" s="857"/>
      <c r="R775" s="857"/>
      <c r="S775" s="857"/>
      <c r="T775" s="857"/>
      <c r="U775" s="857"/>
      <c r="V775" s="857"/>
      <c r="W775" s="857"/>
      <c r="X775" s="857"/>
      <c r="Y775" s="857"/>
      <c r="Z775" s="857"/>
      <c r="AA775" s="857"/>
      <c r="AB775" s="857"/>
      <c r="AC775" s="857"/>
      <c r="AD775" s="857"/>
      <c r="AE775" s="857"/>
      <c r="AF775" s="857"/>
      <c r="AG775" s="857"/>
      <c r="AH775" s="857"/>
      <c r="AI775" s="857"/>
      <c r="AJ775" s="857"/>
      <c r="AK775" s="857"/>
      <c r="AL775" s="857"/>
      <c r="AM775" s="857"/>
      <c r="AN775" s="857"/>
      <c r="AO775" s="857"/>
      <c r="AP775" s="857"/>
      <c r="AQ775" s="857"/>
      <c r="AR775" s="857"/>
      <c r="AS775" s="857"/>
      <c r="AT775" s="855"/>
      <c r="AV775" s="857"/>
      <c r="AW775" s="857"/>
      <c r="AX775" s="857"/>
      <c r="AY775" s="857"/>
      <c r="AZ775" s="857"/>
      <c r="BA775" s="857"/>
      <c r="BB775" s="857"/>
      <c r="BC775" s="857"/>
      <c r="BD775" s="857"/>
      <c r="BE775" s="857"/>
      <c r="BF775" s="857"/>
      <c r="BG775" s="857"/>
    </row>
    <row r="776" spans="1:59" ht="15.75" customHeight="1">
      <c r="A776" s="857"/>
      <c r="B776" s="857"/>
      <c r="C776" s="857"/>
      <c r="D776" s="857"/>
      <c r="E776" s="857"/>
      <c r="F776" s="857"/>
      <c r="G776" s="857"/>
      <c r="H776" s="857"/>
      <c r="I776" s="857"/>
      <c r="J776" s="857"/>
      <c r="K776" s="857"/>
      <c r="L776" s="857"/>
      <c r="M776" s="857"/>
      <c r="N776" s="857"/>
      <c r="O776" s="857"/>
      <c r="P776" s="857"/>
      <c r="Q776" s="857"/>
      <c r="R776" s="857"/>
      <c r="S776" s="857"/>
      <c r="T776" s="857"/>
      <c r="U776" s="857"/>
      <c r="V776" s="857"/>
      <c r="W776" s="857"/>
      <c r="X776" s="857"/>
      <c r="Y776" s="857"/>
      <c r="Z776" s="857"/>
      <c r="AA776" s="857"/>
      <c r="AB776" s="857"/>
      <c r="AC776" s="857"/>
      <c r="AD776" s="857"/>
      <c r="AE776" s="857"/>
      <c r="AF776" s="857"/>
      <c r="AG776" s="857"/>
      <c r="AH776" s="857"/>
      <c r="AI776" s="857"/>
      <c r="AJ776" s="857"/>
      <c r="AK776" s="857"/>
      <c r="AL776" s="857"/>
      <c r="AM776" s="857"/>
      <c r="AN776" s="857"/>
      <c r="AO776" s="857"/>
      <c r="AP776" s="857"/>
      <c r="AQ776" s="857"/>
      <c r="AR776" s="857"/>
      <c r="AS776" s="857"/>
      <c r="AT776" s="855"/>
      <c r="AV776" s="857"/>
      <c r="AW776" s="857"/>
      <c r="AX776" s="857"/>
      <c r="AY776" s="857"/>
      <c r="AZ776" s="857"/>
      <c r="BA776" s="857"/>
      <c r="BB776" s="857"/>
      <c r="BC776" s="857"/>
      <c r="BD776" s="857"/>
      <c r="BE776" s="857"/>
      <c r="BF776" s="857"/>
      <c r="BG776" s="857"/>
    </row>
    <row r="777" spans="1:59" ht="15.75" customHeight="1">
      <c r="A777" s="857"/>
      <c r="B777" s="857"/>
      <c r="C777" s="857"/>
      <c r="D777" s="857"/>
      <c r="E777" s="857"/>
      <c r="F777" s="857"/>
      <c r="G777" s="857"/>
      <c r="H777" s="857"/>
      <c r="I777" s="857"/>
      <c r="J777" s="857"/>
      <c r="K777" s="857"/>
      <c r="L777" s="857"/>
      <c r="M777" s="857"/>
      <c r="N777" s="857"/>
      <c r="O777" s="857"/>
      <c r="P777" s="857"/>
      <c r="Q777" s="857"/>
      <c r="R777" s="857"/>
      <c r="S777" s="857"/>
      <c r="T777" s="857"/>
      <c r="U777" s="857"/>
      <c r="V777" s="857"/>
      <c r="W777" s="857"/>
      <c r="X777" s="857"/>
      <c r="Y777" s="857"/>
      <c r="Z777" s="857"/>
      <c r="AA777" s="857"/>
      <c r="AB777" s="857"/>
      <c r="AC777" s="857"/>
      <c r="AD777" s="857"/>
      <c r="AE777" s="857"/>
      <c r="AF777" s="857"/>
      <c r="AG777" s="857"/>
      <c r="AH777" s="857"/>
      <c r="AI777" s="857"/>
      <c r="AJ777" s="857"/>
      <c r="AK777" s="857"/>
      <c r="AL777" s="857"/>
      <c r="AM777" s="857"/>
      <c r="AN777" s="857"/>
      <c r="AO777" s="857"/>
      <c r="AP777" s="857"/>
      <c r="AQ777" s="857"/>
      <c r="AR777" s="857"/>
      <c r="AS777" s="857"/>
      <c r="AT777" s="855"/>
      <c r="AV777" s="857"/>
      <c r="AW777" s="857"/>
      <c r="AX777" s="857"/>
      <c r="AY777" s="857"/>
      <c r="AZ777" s="857"/>
      <c r="BA777" s="857"/>
      <c r="BB777" s="857"/>
      <c r="BC777" s="857"/>
      <c r="BD777" s="857"/>
      <c r="BE777" s="857"/>
      <c r="BF777" s="857"/>
      <c r="BG777" s="857"/>
    </row>
    <row r="778" spans="1:59" ht="15.75" customHeight="1">
      <c r="A778" s="857"/>
      <c r="B778" s="857"/>
      <c r="C778" s="857"/>
      <c r="D778" s="857"/>
      <c r="E778" s="857"/>
      <c r="F778" s="857"/>
      <c r="G778" s="857"/>
      <c r="H778" s="857"/>
      <c r="I778" s="857"/>
      <c r="J778" s="857"/>
      <c r="K778" s="857"/>
      <c r="L778" s="857"/>
      <c r="M778" s="857"/>
      <c r="N778" s="857"/>
      <c r="O778" s="857"/>
      <c r="P778" s="857"/>
      <c r="Q778" s="857"/>
      <c r="R778" s="857"/>
      <c r="S778" s="857"/>
      <c r="T778" s="857"/>
      <c r="U778" s="857"/>
      <c r="V778" s="857"/>
      <c r="W778" s="857"/>
      <c r="X778" s="857"/>
      <c r="Y778" s="857"/>
      <c r="Z778" s="857"/>
      <c r="AA778" s="857"/>
      <c r="AB778" s="857"/>
      <c r="AC778" s="857"/>
      <c r="AD778" s="857"/>
      <c r="AE778" s="857"/>
      <c r="AF778" s="857"/>
      <c r="AG778" s="857"/>
      <c r="AH778" s="857"/>
      <c r="AI778" s="857"/>
      <c r="AJ778" s="857"/>
      <c r="AK778" s="857"/>
      <c r="AL778" s="857"/>
      <c r="AM778" s="857"/>
      <c r="AN778" s="857"/>
      <c r="AO778" s="857"/>
      <c r="AP778" s="857"/>
      <c r="AQ778" s="857"/>
      <c r="AR778" s="857"/>
      <c r="AS778" s="857"/>
      <c r="AT778" s="855"/>
      <c r="AV778" s="857"/>
      <c r="AW778" s="857"/>
      <c r="AX778" s="857"/>
      <c r="AY778" s="857"/>
      <c r="AZ778" s="857"/>
      <c r="BA778" s="857"/>
      <c r="BB778" s="857"/>
      <c r="BC778" s="857"/>
      <c r="BD778" s="857"/>
      <c r="BE778" s="857"/>
      <c r="BF778" s="857"/>
      <c r="BG778" s="857"/>
    </row>
    <row r="779" spans="1:59" ht="15.75" customHeight="1">
      <c r="A779" s="857"/>
      <c r="B779" s="857"/>
      <c r="C779" s="857"/>
      <c r="D779" s="857"/>
      <c r="E779" s="857"/>
      <c r="F779" s="857"/>
      <c r="G779" s="857"/>
      <c r="H779" s="857"/>
      <c r="I779" s="857"/>
      <c r="J779" s="857"/>
      <c r="K779" s="857"/>
      <c r="L779" s="857"/>
      <c r="M779" s="857"/>
      <c r="N779" s="857"/>
      <c r="O779" s="857"/>
      <c r="P779" s="857"/>
      <c r="Q779" s="857"/>
      <c r="R779" s="857"/>
      <c r="S779" s="857"/>
      <c r="T779" s="857"/>
      <c r="U779" s="857"/>
      <c r="V779" s="857"/>
      <c r="W779" s="857"/>
      <c r="X779" s="857"/>
      <c r="Y779" s="857"/>
      <c r="Z779" s="857"/>
      <c r="AA779" s="857"/>
      <c r="AB779" s="857"/>
      <c r="AC779" s="857"/>
      <c r="AD779" s="857"/>
      <c r="AE779" s="857"/>
      <c r="AF779" s="857"/>
      <c r="AG779" s="857"/>
      <c r="AH779" s="857"/>
      <c r="AI779" s="857"/>
      <c r="AJ779" s="857"/>
      <c r="AK779" s="857"/>
      <c r="AL779" s="857"/>
      <c r="AM779" s="857"/>
      <c r="AN779" s="857"/>
      <c r="AO779" s="857"/>
      <c r="AP779" s="857"/>
      <c r="AQ779" s="857"/>
      <c r="AR779" s="857"/>
      <c r="AS779" s="857"/>
      <c r="AT779" s="855"/>
      <c r="AV779" s="857"/>
      <c r="AW779" s="857"/>
      <c r="AX779" s="857"/>
      <c r="AY779" s="857"/>
      <c r="AZ779" s="857"/>
      <c r="BA779" s="857"/>
      <c r="BB779" s="857"/>
      <c r="BC779" s="857"/>
      <c r="BD779" s="857"/>
      <c r="BE779" s="857"/>
      <c r="BF779" s="857"/>
      <c r="BG779" s="857"/>
    </row>
    <row r="780" spans="1:59" ht="15.75" customHeight="1">
      <c r="A780" s="857"/>
      <c r="B780" s="857"/>
      <c r="C780" s="857"/>
      <c r="D780" s="857"/>
      <c r="E780" s="857"/>
      <c r="F780" s="857"/>
      <c r="G780" s="857"/>
      <c r="H780" s="857"/>
      <c r="I780" s="857"/>
      <c r="J780" s="857"/>
      <c r="K780" s="857"/>
      <c r="L780" s="857"/>
      <c r="M780" s="857"/>
      <c r="N780" s="857"/>
      <c r="O780" s="857"/>
      <c r="P780" s="857"/>
      <c r="Q780" s="857"/>
      <c r="R780" s="857"/>
      <c r="S780" s="857"/>
      <c r="T780" s="857"/>
      <c r="U780" s="857"/>
      <c r="V780" s="857"/>
      <c r="W780" s="857"/>
      <c r="X780" s="857"/>
      <c r="Y780" s="857"/>
      <c r="Z780" s="857"/>
      <c r="AA780" s="857"/>
      <c r="AB780" s="857"/>
      <c r="AC780" s="857"/>
      <c r="AD780" s="857"/>
      <c r="AE780" s="857"/>
      <c r="AF780" s="857"/>
      <c r="AG780" s="857"/>
      <c r="AH780" s="857"/>
      <c r="AI780" s="857"/>
      <c r="AJ780" s="857"/>
      <c r="AK780" s="857"/>
      <c r="AL780" s="857"/>
      <c r="AM780" s="857"/>
      <c r="AN780" s="857"/>
      <c r="AO780" s="857"/>
      <c r="AP780" s="857"/>
      <c r="AQ780" s="857"/>
      <c r="AR780" s="857"/>
      <c r="AS780" s="857"/>
      <c r="AT780" s="855"/>
      <c r="AV780" s="857"/>
      <c r="AW780" s="857"/>
      <c r="AX780" s="857"/>
      <c r="AY780" s="857"/>
      <c r="AZ780" s="857"/>
      <c r="BA780" s="857"/>
      <c r="BB780" s="857"/>
      <c r="BC780" s="857"/>
      <c r="BD780" s="857"/>
      <c r="BE780" s="857"/>
      <c r="BF780" s="857"/>
      <c r="BG780" s="857"/>
    </row>
    <row r="781" spans="1:59" ht="15.75" customHeight="1">
      <c r="A781" s="857"/>
      <c r="B781" s="857"/>
      <c r="C781" s="857"/>
      <c r="D781" s="857"/>
      <c r="E781" s="857"/>
      <c r="F781" s="857"/>
      <c r="G781" s="857"/>
      <c r="H781" s="857"/>
      <c r="I781" s="857"/>
      <c r="J781" s="857"/>
      <c r="K781" s="857"/>
      <c r="L781" s="857"/>
      <c r="M781" s="857"/>
      <c r="N781" s="857"/>
      <c r="O781" s="857"/>
      <c r="P781" s="857"/>
      <c r="Q781" s="857"/>
      <c r="R781" s="857"/>
      <c r="S781" s="857"/>
      <c r="T781" s="857"/>
      <c r="U781" s="857"/>
      <c r="V781" s="857"/>
      <c r="W781" s="857"/>
      <c r="X781" s="857"/>
      <c r="Y781" s="857"/>
      <c r="Z781" s="857"/>
      <c r="AA781" s="857"/>
      <c r="AB781" s="857"/>
      <c r="AC781" s="857"/>
      <c r="AD781" s="857"/>
      <c r="AE781" s="857"/>
      <c r="AF781" s="857"/>
      <c r="AG781" s="857"/>
      <c r="AH781" s="857"/>
      <c r="AI781" s="857"/>
      <c r="AJ781" s="857"/>
      <c r="AK781" s="857"/>
      <c r="AL781" s="857"/>
      <c r="AM781" s="857"/>
      <c r="AN781" s="857"/>
      <c r="AO781" s="857"/>
      <c r="AP781" s="857"/>
      <c r="AQ781" s="857"/>
      <c r="AR781" s="857"/>
      <c r="AS781" s="857"/>
      <c r="AT781" s="855"/>
      <c r="AV781" s="857"/>
      <c r="AW781" s="857"/>
      <c r="AX781" s="857"/>
      <c r="AY781" s="857"/>
      <c r="AZ781" s="857"/>
      <c r="BA781" s="857"/>
      <c r="BB781" s="857"/>
      <c r="BC781" s="857"/>
      <c r="BD781" s="857"/>
      <c r="BE781" s="857"/>
      <c r="BF781" s="857"/>
      <c r="BG781" s="857"/>
    </row>
    <row r="782" spans="1:59" ht="15.75" customHeight="1">
      <c r="A782" s="857"/>
      <c r="B782" s="857"/>
      <c r="C782" s="857"/>
      <c r="D782" s="857"/>
      <c r="E782" s="857"/>
      <c r="F782" s="857"/>
      <c r="G782" s="857"/>
      <c r="H782" s="857"/>
      <c r="I782" s="857"/>
      <c r="J782" s="857"/>
      <c r="K782" s="857"/>
      <c r="L782" s="857"/>
      <c r="M782" s="857"/>
      <c r="N782" s="857"/>
      <c r="O782" s="857"/>
      <c r="P782" s="857"/>
      <c r="Q782" s="857"/>
      <c r="R782" s="857"/>
      <c r="S782" s="857"/>
      <c r="T782" s="857"/>
      <c r="U782" s="857"/>
      <c r="V782" s="857"/>
      <c r="W782" s="857"/>
      <c r="X782" s="857"/>
      <c r="Y782" s="857"/>
      <c r="Z782" s="857"/>
      <c r="AA782" s="857"/>
      <c r="AB782" s="857"/>
      <c r="AC782" s="857"/>
      <c r="AD782" s="857"/>
      <c r="AE782" s="857"/>
      <c r="AF782" s="857"/>
      <c r="AG782" s="857"/>
      <c r="AH782" s="857"/>
      <c r="AI782" s="857"/>
      <c r="AJ782" s="857"/>
      <c r="AK782" s="857"/>
      <c r="AL782" s="857"/>
      <c r="AM782" s="857"/>
      <c r="AN782" s="857"/>
      <c r="AO782" s="857"/>
      <c r="AP782" s="857"/>
      <c r="AQ782" s="857"/>
      <c r="AR782" s="857"/>
      <c r="AS782" s="857"/>
      <c r="AT782" s="855"/>
      <c r="AV782" s="857"/>
      <c r="AW782" s="857"/>
      <c r="AX782" s="857"/>
      <c r="AY782" s="857"/>
      <c r="AZ782" s="857"/>
      <c r="BA782" s="857"/>
      <c r="BB782" s="857"/>
      <c r="BC782" s="857"/>
      <c r="BD782" s="857"/>
      <c r="BE782" s="857"/>
      <c r="BF782" s="857"/>
      <c r="BG782" s="857"/>
    </row>
    <row r="783" spans="1:59" ht="15.75" customHeight="1">
      <c r="A783" s="857"/>
      <c r="B783" s="857"/>
      <c r="C783" s="857"/>
      <c r="D783" s="857"/>
      <c r="E783" s="857"/>
      <c r="F783" s="857"/>
      <c r="G783" s="857"/>
      <c r="H783" s="857"/>
      <c r="I783" s="857"/>
      <c r="J783" s="857"/>
      <c r="K783" s="857"/>
      <c r="L783" s="857"/>
      <c r="M783" s="857"/>
      <c r="N783" s="857"/>
      <c r="O783" s="857"/>
      <c r="P783" s="857"/>
      <c r="Q783" s="857"/>
      <c r="R783" s="857"/>
      <c r="S783" s="857"/>
      <c r="T783" s="857"/>
      <c r="U783" s="857"/>
      <c r="V783" s="857"/>
      <c r="W783" s="857"/>
      <c r="X783" s="857"/>
      <c r="Y783" s="857"/>
      <c r="Z783" s="857"/>
      <c r="AA783" s="857"/>
      <c r="AB783" s="857"/>
      <c r="AC783" s="857"/>
      <c r="AD783" s="857"/>
      <c r="AE783" s="857"/>
      <c r="AF783" s="857"/>
      <c r="AG783" s="857"/>
      <c r="AH783" s="857"/>
      <c r="AI783" s="857"/>
      <c r="AJ783" s="857"/>
      <c r="AK783" s="857"/>
      <c r="AL783" s="857"/>
      <c r="AM783" s="857"/>
      <c r="AN783" s="857"/>
      <c r="AO783" s="857"/>
      <c r="AP783" s="857"/>
      <c r="AQ783" s="857"/>
      <c r="AR783" s="857"/>
      <c r="AS783" s="857"/>
      <c r="AT783" s="855"/>
      <c r="AV783" s="857"/>
      <c r="AW783" s="857"/>
      <c r="AX783" s="857"/>
      <c r="AY783" s="857"/>
      <c r="AZ783" s="857"/>
      <c r="BA783" s="857"/>
      <c r="BB783" s="857"/>
      <c r="BC783" s="857"/>
      <c r="BD783" s="857"/>
      <c r="BE783" s="857"/>
      <c r="BF783" s="857"/>
      <c r="BG783" s="857"/>
    </row>
    <row r="784" spans="1:59" ht="15.75" customHeight="1">
      <c r="A784" s="857"/>
      <c r="B784" s="857"/>
      <c r="C784" s="857"/>
      <c r="D784" s="857"/>
      <c r="E784" s="857"/>
      <c r="F784" s="857"/>
      <c r="G784" s="857"/>
      <c r="H784" s="857"/>
      <c r="I784" s="857"/>
      <c r="J784" s="857"/>
      <c r="K784" s="857"/>
      <c r="L784" s="857"/>
      <c r="M784" s="857"/>
      <c r="N784" s="857"/>
      <c r="O784" s="857"/>
      <c r="P784" s="857"/>
      <c r="Q784" s="857"/>
      <c r="R784" s="857"/>
      <c r="S784" s="857"/>
      <c r="T784" s="857"/>
      <c r="U784" s="857"/>
      <c r="V784" s="857"/>
      <c r="W784" s="857"/>
      <c r="X784" s="857"/>
      <c r="Y784" s="857"/>
      <c r="Z784" s="857"/>
      <c r="AA784" s="857"/>
      <c r="AB784" s="857"/>
      <c r="AC784" s="857"/>
      <c r="AD784" s="857"/>
      <c r="AE784" s="857"/>
      <c r="AF784" s="857"/>
      <c r="AG784" s="857"/>
      <c r="AH784" s="857"/>
      <c r="AI784" s="857"/>
      <c r="AJ784" s="857"/>
      <c r="AK784" s="857"/>
      <c r="AL784" s="857"/>
      <c r="AM784" s="857"/>
      <c r="AN784" s="857"/>
      <c r="AO784" s="857"/>
      <c r="AP784" s="857"/>
      <c r="AQ784" s="857"/>
      <c r="AR784" s="857"/>
      <c r="AS784" s="857"/>
      <c r="AT784" s="855"/>
      <c r="AV784" s="857"/>
      <c r="AW784" s="857"/>
      <c r="AX784" s="857"/>
      <c r="AY784" s="857"/>
      <c r="AZ784" s="857"/>
      <c r="BA784" s="857"/>
      <c r="BB784" s="857"/>
      <c r="BC784" s="857"/>
      <c r="BD784" s="857"/>
      <c r="BE784" s="857"/>
      <c r="BF784" s="857"/>
      <c r="BG784" s="857"/>
    </row>
    <row r="785" spans="1:59" ht="15.75" customHeight="1">
      <c r="A785" s="857"/>
      <c r="B785" s="857"/>
      <c r="C785" s="857"/>
      <c r="D785" s="857"/>
      <c r="E785" s="857"/>
      <c r="F785" s="857"/>
      <c r="G785" s="857"/>
      <c r="H785" s="857"/>
      <c r="I785" s="857"/>
      <c r="J785" s="857"/>
      <c r="K785" s="857"/>
      <c r="L785" s="857"/>
      <c r="M785" s="857"/>
      <c r="N785" s="857"/>
      <c r="O785" s="857"/>
      <c r="P785" s="857"/>
      <c r="Q785" s="857"/>
      <c r="R785" s="857"/>
      <c r="S785" s="857"/>
      <c r="T785" s="857"/>
      <c r="U785" s="857"/>
      <c r="V785" s="857"/>
      <c r="W785" s="857"/>
      <c r="X785" s="857"/>
      <c r="Y785" s="857"/>
      <c r="Z785" s="857"/>
      <c r="AA785" s="857"/>
      <c r="AB785" s="857"/>
      <c r="AC785" s="857"/>
      <c r="AD785" s="857"/>
      <c r="AE785" s="857"/>
      <c r="AF785" s="857"/>
      <c r="AG785" s="857"/>
      <c r="AH785" s="857"/>
      <c r="AI785" s="857"/>
      <c r="AJ785" s="857"/>
      <c r="AK785" s="857"/>
      <c r="AL785" s="857"/>
      <c r="AM785" s="857"/>
      <c r="AN785" s="857"/>
      <c r="AO785" s="857"/>
      <c r="AP785" s="857"/>
      <c r="AQ785" s="857"/>
      <c r="AR785" s="857"/>
      <c r="AS785" s="857"/>
      <c r="AT785" s="855"/>
      <c r="AV785" s="857"/>
      <c r="AW785" s="857"/>
      <c r="AX785" s="857"/>
      <c r="AY785" s="857"/>
      <c r="AZ785" s="857"/>
      <c r="BA785" s="857"/>
      <c r="BB785" s="857"/>
      <c r="BC785" s="857"/>
      <c r="BD785" s="857"/>
      <c r="BE785" s="857"/>
      <c r="BF785" s="857"/>
      <c r="BG785" s="857"/>
    </row>
    <row r="786" spans="1:59" ht="15.75" customHeight="1">
      <c r="A786" s="857"/>
      <c r="B786" s="857"/>
      <c r="C786" s="857"/>
      <c r="D786" s="857"/>
      <c r="E786" s="857"/>
      <c r="F786" s="857"/>
      <c r="G786" s="857"/>
      <c r="H786" s="857"/>
      <c r="I786" s="857"/>
      <c r="J786" s="857"/>
      <c r="K786" s="857"/>
      <c r="L786" s="857"/>
      <c r="M786" s="857"/>
      <c r="N786" s="857"/>
      <c r="O786" s="857"/>
      <c r="P786" s="857"/>
      <c r="Q786" s="857"/>
      <c r="R786" s="857"/>
      <c r="S786" s="857"/>
      <c r="T786" s="857"/>
      <c r="U786" s="857"/>
      <c r="V786" s="857"/>
      <c r="W786" s="857"/>
      <c r="X786" s="857"/>
      <c r="Y786" s="857"/>
      <c r="Z786" s="857"/>
      <c r="AA786" s="857"/>
      <c r="AB786" s="857"/>
      <c r="AC786" s="857"/>
      <c r="AD786" s="857"/>
      <c r="AE786" s="857"/>
      <c r="AF786" s="857"/>
      <c r="AG786" s="857"/>
      <c r="AH786" s="857"/>
      <c r="AI786" s="857"/>
      <c r="AJ786" s="857"/>
      <c r="AK786" s="857"/>
      <c r="AL786" s="857"/>
      <c r="AM786" s="857"/>
      <c r="AN786" s="857"/>
      <c r="AO786" s="857"/>
      <c r="AP786" s="857"/>
      <c r="AQ786" s="857"/>
      <c r="AR786" s="857"/>
      <c r="AS786" s="857"/>
      <c r="AT786" s="855"/>
      <c r="AV786" s="857"/>
      <c r="AW786" s="857"/>
      <c r="AX786" s="857"/>
      <c r="AY786" s="857"/>
      <c r="AZ786" s="857"/>
      <c r="BA786" s="857"/>
      <c r="BB786" s="857"/>
      <c r="BC786" s="857"/>
      <c r="BD786" s="857"/>
      <c r="BE786" s="857"/>
      <c r="BF786" s="857"/>
      <c r="BG786" s="857"/>
    </row>
    <row r="787" spans="1:59" ht="15.75" customHeight="1">
      <c r="A787" s="857"/>
      <c r="B787" s="857"/>
      <c r="C787" s="857"/>
      <c r="D787" s="857"/>
      <c r="E787" s="857"/>
      <c r="F787" s="857"/>
      <c r="G787" s="857"/>
      <c r="H787" s="857"/>
      <c r="I787" s="857"/>
      <c r="J787" s="857"/>
      <c r="K787" s="857"/>
      <c r="L787" s="857"/>
      <c r="M787" s="857"/>
      <c r="N787" s="857"/>
      <c r="O787" s="857"/>
      <c r="P787" s="857"/>
      <c r="Q787" s="857"/>
      <c r="R787" s="857"/>
      <c r="S787" s="857"/>
      <c r="T787" s="857"/>
      <c r="U787" s="857"/>
      <c r="V787" s="857"/>
      <c r="W787" s="857"/>
      <c r="X787" s="857"/>
      <c r="Y787" s="857"/>
      <c r="Z787" s="857"/>
      <c r="AA787" s="857"/>
      <c r="AB787" s="857"/>
      <c r="AC787" s="857"/>
      <c r="AD787" s="857"/>
      <c r="AE787" s="857"/>
      <c r="AF787" s="857"/>
      <c r="AG787" s="857"/>
      <c r="AH787" s="857"/>
      <c r="AI787" s="857"/>
      <c r="AJ787" s="857"/>
      <c r="AK787" s="857"/>
      <c r="AL787" s="857"/>
      <c r="AM787" s="857"/>
      <c r="AN787" s="857"/>
      <c r="AO787" s="857"/>
      <c r="AP787" s="857"/>
      <c r="AQ787" s="857"/>
      <c r="AR787" s="857"/>
      <c r="AS787" s="857"/>
      <c r="AT787" s="855"/>
      <c r="AV787" s="857"/>
      <c r="AW787" s="857"/>
      <c r="AX787" s="857"/>
      <c r="AY787" s="857"/>
      <c r="AZ787" s="857"/>
      <c r="BA787" s="857"/>
      <c r="BB787" s="857"/>
      <c r="BC787" s="857"/>
      <c r="BD787" s="857"/>
      <c r="BE787" s="857"/>
      <c r="BF787" s="857"/>
      <c r="BG787" s="857"/>
    </row>
    <row r="788" spans="1:59" ht="15.75" customHeight="1">
      <c r="A788" s="857"/>
      <c r="B788" s="857"/>
      <c r="C788" s="857"/>
      <c r="D788" s="857"/>
      <c r="E788" s="857"/>
      <c r="F788" s="857"/>
      <c r="G788" s="857"/>
      <c r="H788" s="857"/>
      <c r="I788" s="857"/>
      <c r="J788" s="857"/>
      <c r="K788" s="857"/>
      <c r="L788" s="857"/>
      <c r="M788" s="857"/>
      <c r="N788" s="857"/>
      <c r="O788" s="857"/>
      <c r="P788" s="857"/>
      <c r="Q788" s="857"/>
      <c r="R788" s="857"/>
      <c r="S788" s="857"/>
      <c r="T788" s="857"/>
      <c r="U788" s="857"/>
      <c r="V788" s="857"/>
      <c r="W788" s="857"/>
      <c r="X788" s="857"/>
      <c r="Y788" s="857"/>
      <c r="Z788" s="857"/>
      <c r="AA788" s="857"/>
      <c r="AB788" s="857"/>
      <c r="AC788" s="857"/>
      <c r="AD788" s="857"/>
      <c r="AE788" s="857"/>
      <c r="AF788" s="857"/>
      <c r="AG788" s="857"/>
      <c r="AH788" s="857"/>
      <c r="AI788" s="857"/>
      <c r="AJ788" s="857"/>
      <c r="AK788" s="857"/>
      <c r="AL788" s="857"/>
      <c r="AM788" s="857"/>
      <c r="AN788" s="857"/>
      <c r="AO788" s="857"/>
      <c r="AP788" s="857"/>
      <c r="AQ788" s="857"/>
      <c r="AR788" s="857"/>
      <c r="AS788" s="857"/>
      <c r="AT788" s="855"/>
      <c r="AV788" s="857"/>
      <c r="AW788" s="857"/>
      <c r="AX788" s="857"/>
      <c r="AY788" s="857"/>
      <c r="AZ788" s="857"/>
      <c r="BA788" s="857"/>
      <c r="BB788" s="857"/>
      <c r="BC788" s="857"/>
      <c r="BD788" s="857"/>
      <c r="BE788" s="857"/>
      <c r="BF788" s="857"/>
      <c r="BG788" s="857"/>
    </row>
    <row r="789" spans="1:59" ht="15.75" customHeight="1">
      <c r="A789" s="857"/>
      <c r="B789" s="857"/>
      <c r="C789" s="857"/>
      <c r="D789" s="857"/>
      <c r="E789" s="857"/>
      <c r="F789" s="857"/>
      <c r="G789" s="857"/>
      <c r="H789" s="857"/>
      <c r="I789" s="857"/>
      <c r="J789" s="857"/>
      <c r="K789" s="857"/>
      <c r="L789" s="857"/>
      <c r="M789" s="857"/>
      <c r="N789" s="857"/>
      <c r="O789" s="857"/>
      <c r="P789" s="857"/>
      <c r="Q789" s="857"/>
      <c r="R789" s="857"/>
      <c r="S789" s="857"/>
      <c r="T789" s="857"/>
      <c r="U789" s="857"/>
      <c r="V789" s="857"/>
      <c r="W789" s="857"/>
      <c r="X789" s="857"/>
      <c r="Y789" s="857"/>
      <c r="Z789" s="857"/>
      <c r="AA789" s="857"/>
      <c r="AB789" s="857"/>
      <c r="AC789" s="857"/>
      <c r="AD789" s="857"/>
      <c r="AE789" s="857"/>
      <c r="AF789" s="857"/>
      <c r="AG789" s="857"/>
      <c r="AH789" s="857"/>
      <c r="AI789" s="857"/>
      <c r="AJ789" s="857"/>
      <c r="AK789" s="857"/>
      <c r="AL789" s="857"/>
      <c r="AM789" s="857"/>
      <c r="AN789" s="857"/>
      <c r="AO789" s="857"/>
      <c r="AP789" s="857"/>
      <c r="AQ789" s="857"/>
      <c r="AR789" s="857"/>
      <c r="AS789" s="857"/>
      <c r="AT789" s="855"/>
      <c r="AV789" s="857"/>
      <c r="AW789" s="857"/>
      <c r="AX789" s="857"/>
      <c r="AY789" s="857"/>
      <c r="AZ789" s="857"/>
      <c r="BA789" s="857"/>
      <c r="BB789" s="857"/>
      <c r="BC789" s="857"/>
      <c r="BD789" s="857"/>
      <c r="BE789" s="857"/>
      <c r="BF789" s="857"/>
      <c r="BG789" s="857"/>
    </row>
    <row r="790" spans="1:59" ht="15.75" customHeight="1">
      <c r="A790" s="857"/>
      <c r="B790" s="857"/>
      <c r="C790" s="857"/>
      <c r="D790" s="857"/>
      <c r="E790" s="857"/>
      <c r="F790" s="857"/>
      <c r="G790" s="857"/>
      <c r="H790" s="857"/>
      <c r="I790" s="857"/>
      <c r="J790" s="857"/>
      <c r="K790" s="857"/>
      <c r="L790" s="857"/>
      <c r="M790" s="857"/>
      <c r="N790" s="857"/>
      <c r="O790" s="857"/>
      <c r="P790" s="857"/>
      <c r="Q790" s="857"/>
      <c r="R790" s="857"/>
      <c r="S790" s="857"/>
      <c r="T790" s="857"/>
      <c r="U790" s="857"/>
      <c r="V790" s="857"/>
      <c r="W790" s="857"/>
      <c r="X790" s="857"/>
      <c r="Y790" s="857"/>
      <c r="Z790" s="857"/>
      <c r="AA790" s="857"/>
      <c r="AB790" s="857"/>
      <c r="AC790" s="857"/>
      <c r="AD790" s="857"/>
      <c r="AE790" s="857"/>
      <c r="AF790" s="857"/>
      <c r="AG790" s="857"/>
      <c r="AH790" s="857"/>
      <c r="AI790" s="857"/>
      <c r="AJ790" s="857"/>
      <c r="AK790" s="857"/>
      <c r="AL790" s="857"/>
      <c r="AM790" s="857"/>
      <c r="AN790" s="857"/>
      <c r="AO790" s="857"/>
      <c r="AP790" s="857"/>
      <c r="AQ790" s="857"/>
      <c r="AR790" s="857"/>
      <c r="AS790" s="857"/>
      <c r="AT790" s="855"/>
      <c r="AV790" s="857"/>
      <c r="AW790" s="857"/>
      <c r="AX790" s="857"/>
      <c r="AY790" s="857"/>
      <c r="AZ790" s="857"/>
      <c r="BA790" s="857"/>
      <c r="BB790" s="857"/>
      <c r="BC790" s="857"/>
      <c r="BD790" s="857"/>
      <c r="BE790" s="857"/>
      <c r="BF790" s="857"/>
      <c r="BG790" s="857"/>
    </row>
    <row r="791" spans="1:59" ht="15.75" customHeight="1">
      <c r="A791" s="857"/>
      <c r="B791" s="857"/>
      <c r="C791" s="857"/>
      <c r="D791" s="857"/>
      <c r="E791" s="857"/>
      <c r="F791" s="857"/>
      <c r="G791" s="857"/>
      <c r="H791" s="857"/>
      <c r="I791" s="857"/>
      <c r="J791" s="857"/>
      <c r="K791" s="857"/>
      <c r="L791" s="857"/>
      <c r="M791" s="857"/>
      <c r="N791" s="857"/>
      <c r="O791" s="857"/>
      <c r="P791" s="857"/>
      <c r="Q791" s="857"/>
      <c r="R791" s="857"/>
      <c r="S791" s="857"/>
      <c r="T791" s="857"/>
      <c r="U791" s="857"/>
      <c r="V791" s="857"/>
      <c r="W791" s="857"/>
      <c r="X791" s="857"/>
      <c r="Y791" s="857"/>
      <c r="Z791" s="857"/>
      <c r="AA791" s="857"/>
      <c r="AB791" s="857"/>
      <c r="AC791" s="857"/>
      <c r="AD791" s="857"/>
      <c r="AE791" s="857"/>
      <c r="AF791" s="857"/>
      <c r="AG791" s="857"/>
      <c r="AH791" s="857"/>
      <c r="AI791" s="857"/>
      <c r="AJ791" s="857"/>
      <c r="AK791" s="857"/>
      <c r="AL791" s="857"/>
      <c r="AM791" s="857"/>
      <c r="AN791" s="857"/>
      <c r="AO791" s="857"/>
      <c r="AP791" s="857"/>
      <c r="AQ791" s="857"/>
      <c r="AR791" s="857"/>
      <c r="AS791" s="857"/>
      <c r="AT791" s="855"/>
      <c r="AV791" s="857"/>
      <c r="AW791" s="857"/>
      <c r="AX791" s="857"/>
      <c r="AY791" s="857"/>
      <c r="AZ791" s="857"/>
      <c r="BA791" s="857"/>
      <c r="BB791" s="857"/>
      <c r="BC791" s="857"/>
      <c r="BD791" s="857"/>
      <c r="BE791" s="857"/>
      <c r="BF791" s="857"/>
      <c r="BG791" s="857"/>
    </row>
    <row r="792" spans="1:59" ht="15.75" customHeight="1">
      <c r="A792" s="857"/>
      <c r="B792" s="857"/>
      <c r="C792" s="857"/>
      <c r="D792" s="857"/>
      <c r="E792" s="857"/>
      <c r="F792" s="857"/>
      <c r="G792" s="857"/>
      <c r="H792" s="857"/>
      <c r="I792" s="857"/>
      <c r="J792" s="857"/>
      <c r="K792" s="857"/>
      <c r="L792" s="857"/>
      <c r="M792" s="857"/>
      <c r="N792" s="857"/>
      <c r="O792" s="857"/>
      <c r="P792" s="857"/>
      <c r="Q792" s="857"/>
      <c r="R792" s="857"/>
      <c r="S792" s="857"/>
      <c r="T792" s="857"/>
      <c r="U792" s="857"/>
      <c r="V792" s="857"/>
      <c r="W792" s="857"/>
      <c r="X792" s="857"/>
      <c r="Y792" s="857"/>
      <c r="Z792" s="857"/>
      <c r="AA792" s="857"/>
      <c r="AB792" s="857"/>
      <c r="AC792" s="857"/>
      <c r="AD792" s="857"/>
      <c r="AE792" s="857"/>
      <c r="AF792" s="857"/>
      <c r="AG792" s="857"/>
      <c r="AH792" s="857"/>
      <c r="AI792" s="857"/>
      <c r="AJ792" s="857"/>
      <c r="AK792" s="857"/>
      <c r="AL792" s="857"/>
      <c r="AM792" s="857"/>
      <c r="AN792" s="857"/>
      <c r="AO792" s="857"/>
      <c r="AP792" s="857"/>
      <c r="AQ792" s="857"/>
      <c r="AR792" s="857"/>
      <c r="AS792" s="857"/>
      <c r="AT792" s="855"/>
      <c r="AV792" s="857"/>
      <c r="AW792" s="857"/>
      <c r="AX792" s="857"/>
      <c r="AY792" s="857"/>
      <c r="AZ792" s="857"/>
      <c r="BA792" s="857"/>
      <c r="BB792" s="857"/>
      <c r="BC792" s="857"/>
      <c r="BD792" s="857"/>
      <c r="BE792" s="857"/>
      <c r="BF792" s="857"/>
      <c r="BG792" s="857"/>
    </row>
    <row r="793" spans="1:59" ht="15.75" customHeight="1">
      <c r="A793" s="857"/>
      <c r="B793" s="857"/>
      <c r="C793" s="857"/>
      <c r="D793" s="857"/>
      <c r="E793" s="857"/>
      <c r="F793" s="857"/>
      <c r="G793" s="857"/>
      <c r="H793" s="857"/>
      <c r="I793" s="857"/>
      <c r="J793" s="857"/>
      <c r="K793" s="857"/>
      <c r="L793" s="857"/>
      <c r="M793" s="857"/>
      <c r="N793" s="857"/>
      <c r="O793" s="857"/>
      <c r="P793" s="857"/>
      <c r="Q793" s="857"/>
      <c r="R793" s="857"/>
      <c r="S793" s="857"/>
      <c r="T793" s="857"/>
      <c r="U793" s="857"/>
      <c r="V793" s="857"/>
      <c r="W793" s="857"/>
      <c r="X793" s="857"/>
      <c r="Y793" s="857"/>
      <c r="Z793" s="857"/>
      <c r="AA793" s="857"/>
      <c r="AB793" s="857"/>
      <c r="AC793" s="857"/>
      <c r="AD793" s="857"/>
      <c r="AE793" s="857"/>
      <c r="AF793" s="857"/>
      <c r="AG793" s="857"/>
      <c r="AH793" s="857"/>
      <c r="AI793" s="857"/>
      <c r="AJ793" s="857"/>
      <c r="AK793" s="857"/>
      <c r="AL793" s="857"/>
      <c r="AM793" s="857"/>
      <c r="AN793" s="857"/>
      <c r="AO793" s="857"/>
      <c r="AP793" s="857"/>
      <c r="AQ793" s="857"/>
      <c r="AR793" s="857"/>
      <c r="AS793" s="857"/>
      <c r="AT793" s="855"/>
      <c r="AV793" s="857"/>
      <c r="AW793" s="857"/>
      <c r="AX793" s="857"/>
      <c r="AY793" s="857"/>
      <c r="AZ793" s="857"/>
      <c r="BA793" s="857"/>
      <c r="BB793" s="857"/>
      <c r="BC793" s="857"/>
      <c r="BD793" s="857"/>
      <c r="BE793" s="857"/>
      <c r="BF793" s="857"/>
      <c r="BG793" s="857"/>
    </row>
    <row r="794" spans="1:59" ht="15.75" customHeight="1">
      <c r="A794" s="857"/>
      <c r="B794" s="857"/>
      <c r="C794" s="857"/>
      <c r="D794" s="857"/>
      <c r="E794" s="857"/>
      <c r="F794" s="857"/>
      <c r="G794" s="857"/>
      <c r="H794" s="857"/>
      <c r="I794" s="857"/>
      <c r="J794" s="857"/>
      <c r="K794" s="857"/>
      <c r="L794" s="857"/>
      <c r="M794" s="857"/>
      <c r="N794" s="857"/>
      <c r="O794" s="857"/>
      <c r="P794" s="857"/>
      <c r="Q794" s="857"/>
      <c r="R794" s="857"/>
      <c r="S794" s="857"/>
      <c r="T794" s="857"/>
      <c r="U794" s="857"/>
      <c r="V794" s="857"/>
      <c r="W794" s="857"/>
      <c r="X794" s="857"/>
      <c r="Y794" s="857"/>
      <c r="Z794" s="857"/>
      <c r="AA794" s="857"/>
      <c r="AB794" s="857"/>
      <c r="AC794" s="857"/>
      <c r="AD794" s="857"/>
      <c r="AE794" s="857"/>
      <c r="AF794" s="857"/>
      <c r="AG794" s="857"/>
      <c r="AH794" s="857"/>
      <c r="AI794" s="857"/>
      <c r="AJ794" s="857"/>
      <c r="AK794" s="857"/>
      <c r="AL794" s="857"/>
      <c r="AM794" s="857"/>
      <c r="AN794" s="857"/>
      <c r="AO794" s="857"/>
      <c r="AP794" s="857"/>
      <c r="AQ794" s="857"/>
      <c r="AR794" s="857"/>
      <c r="AS794" s="857"/>
      <c r="AT794" s="855"/>
      <c r="AV794" s="857"/>
      <c r="AW794" s="857"/>
      <c r="AX794" s="857"/>
      <c r="AY794" s="857"/>
      <c r="AZ794" s="857"/>
      <c r="BA794" s="857"/>
      <c r="BB794" s="857"/>
      <c r="BC794" s="857"/>
      <c r="BD794" s="857"/>
      <c r="BE794" s="857"/>
      <c r="BF794" s="857"/>
      <c r="BG794" s="857"/>
    </row>
    <row r="795" spans="1:59" ht="15.75" customHeight="1">
      <c r="A795" s="857"/>
      <c r="B795" s="857"/>
      <c r="C795" s="857"/>
      <c r="D795" s="857"/>
      <c r="E795" s="857"/>
      <c r="F795" s="857"/>
      <c r="G795" s="857"/>
      <c r="H795" s="857"/>
      <c r="I795" s="857"/>
      <c r="J795" s="857"/>
      <c r="K795" s="857"/>
      <c r="L795" s="857"/>
      <c r="M795" s="857"/>
      <c r="N795" s="857"/>
      <c r="O795" s="857"/>
      <c r="P795" s="857"/>
      <c r="Q795" s="857"/>
      <c r="R795" s="857"/>
      <c r="S795" s="857"/>
      <c r="T795" s="857"/>
      <c r="U795" s="857"/>
      <c r="V795" s="857"/>
      <c r="W795" s="857"/>
      <c r="X795" s="857"/>
      <c r="Y795" s="857"/>
      <c r="Z795" s="857"/>
      <c r="AA795" s="857"/>
      <c r="AB795" s="857"/>
      <c r="AC795" s="857"/>
      <c r="AD795" s="857"/>
      <c r="AE795" s="857"/>
      <c r="AF795" s="857"/>
      <c r="AG795" s="857"/>
      <c r="AH795" s="857"/>
      <c r="AI795" s="857"/>
      <c r="AJ795" s="857"/>
      <c r="AK795" s="857"/>
      <c r="AL795" s="857"/>
      <c r="AM795" s="857"/>
      <c r="AN795" s="857"/>
      <c r="AO795" s="857"/>
      <c r="AP795" s="857"/>
      <c r="AQ795" s="857"/>
      <c r="AR795" s="857"/>
      <c r="AS795" s="857"/>
      <c r="AT795" s="855"/>
      <c r="AV795" s="857"/>
      <c r="AW795" s="857"/>
      <c r="AX795" s="857"/>
      <c r="AY795" s="857"/>
      <c r="AZ795" s="857"/>
      <c r="BA795" s="857"/>
      <c r="BB795" s="857"/>
      <c r="BC795" s="857"/>
      <c r="BD795" s="857"/>
      <c r="BE795" s="857"/>
      <c r="BF795" s="857"/>
      <c r="BG795" s="857"/>
    </row>
    <row r="796" spans="1:59" ht="15.75" customHeight="1">
      <c r="A796" s="857"/>
      <c r="B796" s="857"/>
      <c r="C796" s="857"/>
      <c r="D796" s="857"/>
      <c r="E796" s="857"/>
      <c r="F796" s="857"/>
      <c r="G796" s="857"/>
      <c r="H796" s="857"/>
      <c r="I796" s="857"/>
      <c r="J796" s="857"/>
      <c r="K796" s="857"/>
      <c r="L796" s="857"/>
      <c r="M796" s="857"/>
      <c r="N796" s="857"/>
      <c r="O796" s="857"/>
      <c r="P796" s="857"/>
      <c r="Q796" s="857"/>
      <c r="R796" s="857"/>
      <c r="S796" s="857"/>
      <c r="T796" s="857"/>
      <c r="U796" s="857"/>
      <c r="V796" s="857"/>
      <c r="W796" s="857"/>
      <c r="X796" s="857"/>
      <c r="Y796" s="857"/>
      <c r="Z796" s="857"/>
      <c r="AA796" s="857"/>
      <c r="AB796" s="857"/>
      <c r="AC796" s="857"/>
      <c r="AD796" s="857"/>
      <c r="AE796" s="857"/>
      <c r="AF796" s="857"/>
      <c r="AG796" s="857"/>
      <c r="AH796" s="857"/>
      <c r="AI796" s="857"/>
      <c r="AJ796" s="857"/>
      <c r="AK796" s="857"/>
      <c r="AL796" s="857"/>
      <c r="AM796" s="857"/>
      <c r="AN796" s="857"/>
      <c r="AO796" s="857"/>
      <c r="AP796" s="857"/>
      <c r="AQ796" s="857"/>
      <c r="AR796" s="857"/>
      <c r="AS796" s="857"/>
      <c r="AT796" s="855"/>
      <c r="AV796" s="857"/>
      <c r="AW796" s="857"/>
      <c r="AX796" s="857"/>
      <c r="AY796" s="857"/>
      <c r="AZ796" s="857"/>
      <c r="BA796" s="857"/>
      <c r="BB796" s="857"/>
      <c r="BC796" s="857"/>
      <c r="BD796" s="857"/>
      <c r="BE796" s="857"/>
      <c r="BF796" s="857"/>
      <c r="BG796" s="857"/>
    </row>
    <row r="797" spans="1:59" ht="15.75" customHeight="1">
      <c r="A797" s="857"/>
      <c r="B797" s="857"/>
      <c r="C797" s="857"/>
      <c r="D797" s="857"/>
      <c r="E797" s="857"/>
      <c r="F797" s="857"/>
      <c r="G797" s="857"/>
      <c r="H797" s="857"/>
      <c r="I797" s="857"/>
      <c r="J797" s="857"/>
      <c r="K797" s="857"/>
      <c r="L797" s="857"/>
      <c r="M797" s="857"/>
      <c r="N797" s="857"/>
      <c r="O797" s="857"/>
      <c r="P797" s="857"/>
      <c r="Q797" s="857"/>
      <c r="R797" s="857"/>
      <c r="S797" s="857"/>
      <c r="T797" s="857"/>
      <c r="U797" s="857"/>
      <c r="V797" s="857"/>
      <c r="W797" s="857"/>
      <c r="X797" s="857"/>
      <c r="Y797" s="857"/>
      <c r="Z797" s="857"/>
      <c r="AA797" s="857"/>
      <c r="AB797" s="857"/>
      <c r="AC797" s="857"/>
      <c r="AD797" s="857"/>
      <c r="AE797" s="857"/>
      <c r="AF797" s="857"/>
      <c r="AG797" s="857"/>
      <c r="AH797" s="857"/>
      <c r="AI797" s="857"/>
      <c r="AJ797" s="857"/>
      <c r="AK797" s="857"/>
      <c r="AL797" s="857"/>
      <c r="AM797" s="857"/>
      <c r="AN797" s="857"/>
      <c r="AO797" s="857"/>
      <c r="AP797" s="857"/>
      <c r="AQ797" s="857"/>
      <c r="AR797" s="857"/>
      <c r="AS797" s="857"/>
      <c r="AT797" s="855"/>
      <c r="AV797" s="857"/>
      <c r="AW797" s="857"/>
      <c r="AX797" s="857"/>
      <c r="AY797" s="857"/>
      <c r="AZ797" s="857"/>
      <c r="BA797" s="857"/>
      <c r="BB797" s="857"/>
      <c r="BC797" s="857"/>
      <c r="BD797" s="857"/>
      <c r="BE797" s="857"/>
      <c r="BF797" s="857"/>
      <c r="BG797" s="857"/>
    </row>
    <row r="798" spans="1:59" ht="15.75" customHeight="1">
      <c r="A798" s="857"/>
      <c r="B798" s="857"/>
      <c r="C798" s="857"/>
      <c r="D798" s="857"/>
      <c r="E798" s="857"/>
      <c r="F798" s="857"/>
      <c r="G798" s="857"/>
      <c r="H798" s="857"/>
      <c r="I798" s="857"/>
      <c r="J798" s="857"/>
      <c r="K798" s="857"/>
      <c r="L798" s="857"/>
      <c r="M798" s="857"/>
      <c r="N798" s="857"/>
      <c r="O798" s="857"/>
      <c r="P798" s="857"/>
      <c r="Q798" s="857"/>
      <c r="R798" s="857"/>
      <c r="S798" s="857"/>
      <c r="T798" s="857"/>
      <c r="U798" s="857"/>
      <c r="V798" s="857"/>
      <c r="W798" s="857"/>
      <c r="X798" s="857"/>
      <c r="Y798" s="857"/>
      <c r="Z798" s="857"/>
      <c r="AA798" s="857"/>
      <c r="AB798" s="857"/>
      <c r="AC798" s="857"/>
      <c r="AD798" s="857"/>
      <c r="AE798" s="857"/>
      <c r="AF798" s="857"/>
      <c r="AG798" s="857"/>
      <c r="AH798" s="857"/>
      <c r="AI798" s="857"/>
      <c r="AJ798" s="857"/>
      <c r="AK798" s="857"/>
      <c r="AL798" s="857"/>
      <c r="AM798" s="857"/>
      <c r="AN798" s="857"/>
      <c r="AO798" s="857"/>
      <c r="AP798" s="857"/>
      <c r="AQ798" s="857"/>
      <c r="AR798" s="857"/>
      <c r="AS798" s="857"/>
      <c r="AT798" s="855"/>
      <c r="AV798" s="857"/>
      <c r="AW798" s="857"/>
      <c r="AX798" s="857"/>
      <c r="AY798" s="857"/>
      <c r="AZ798" s="857"/>
      <c r="BA798" s="857"/>
      <c r="BB798" s="857"/>
      <c r="BC798" s="857"/>
      <c r="BD798" s="857"/>
      <c r="BE798" s="857"/>
      <c r="BF798" s="857"/>
      <c r="BG798" s="857"/>
    </row>
    <row r="799" spans="1:59" ht="15.75" customHeight="1">
      <c r="A799" s="857"/>
      <c r="B799" s="857"/>
      <c r="C799" s="857"/>
      <c r="D799" s="857"/>
      <c r="E799" s="857"/>
      <c r="F799" s="857"/>
      <c r="G799" s="857"/>
      <c r="H799" s="857"/>
      <c r="I799" s="857"/>
      <c r="J799" s="857"/>
      <c r="K799" s="857"/>
      <c r="L799" s="857"/>
      <c r="M799" s="857"/>
      <c r="N799" s="857"/>
      <c r="O799" s="857"/>
      <c r="P799" s="857"/>
      <c r="Q799" s="857"/>
      <c r="R799" s="857"/>
      <c r="S799" s="857"/>
      <c r="T799" s="857"/>
      <c r="U799" s="857"/>
      <c r="V799" s="857"/>
      <c r="W799" s="857"/>
      <c r="X799" s="857"/>
      <c r="Y799" s="857"/>
      <c r="Z799" s="857"/>
      <c r="AA799" s="857"/>
      <c r="AB799" s="857"/>
      <c r="AC799" s="857"/>
      <c r="AD799" s="857"/>
      <c r="AE799" s="857"/>
      <c r="AF799" s="857"/>
      <c r="AG799" s="857"/>
      <c r="AH799" s="857"/>
      <c r="AI799" s="857"/>
      <c r="AJ799" s="857"/>
      <c r="AK799" s="857"/>
      <c r="AL799" s="857"/>
      <c r="AM799" s="857"/>
      <c r="AN799" s="857"/>
      <c r="AO799" s="857"/>
      <c r="AP799" s="857"/>
      <c r="AQ799" s="857"/>
      <c r="AR799" s="857"/>
      <c r="AS799" s="857"/>
      <c r="AT799" s="855"/>
      <c r="AV799" s="857"/>
      <c r="AW799" s="857"/>
      <c r="AX799" s="857"/>
      <c r="AY799" s="857"/>
      <c r="AZ799" s="857"/>
      <c r="BA799" s="857"/>
      <c r="BB799" s="857"/>
      <c r="BC799" s="857"/>
      <c r="BD799" s="857"/>
      <c r="BE799" s="857"/>
      <c r="BF799" s="857"/>
      <c r="BG799" s="857"/>
    </row>
    <row r="800" spans="1:59" ht="15.75" customHeight="1">
      <c r="A800" s="857"/>
      <c r="B800" s="857"/>
      <c r="C800" s="857"/>
      <c r="D800" s="857"/>
      <c r="E800" s="857"/>
      <c r="F800" s="857"/>
      <c r="G800" s="857"/>
      <c r="H800" s="857"/>
      <c r="I800" s="857"/>
      <c r="J800" s="857"/>
      <c r="K800" s="857"/>
      <c r="L800" s="857"/>
      <c r="M800" s="857"/>
      <c r="N800" s="857"/>
      <c r="O800" s="857"/>
      <c r="P800" s="857"/>
      <c r="Q800" s="857"/>
      <c r="R800" s="857"/>
      <c r="S800" s="857"/>
      <c r="T800" s="857"/>
      <c r="U800" s="857"/>
      <c r="V800" s="857"/>
      <c r="W800" s="857"/>
      <c r="X800" s="857"/>
      <c r="Y800" s="857"/>
      <c r="Z800" s="857"/>
      <c r="AA800" s="857"/>
      <c r="AB800" s="857"/>
      <c r="AC800" s="857"/>
      <c r="AD800" s="857"/>
      <c r="AE800" s="857"/>
      <c r="AF800" s="857"/>
      <c r="AG800" s="857"/>
      <c r="AH800" s="857"/>
      <c r="AI800" s="857"/>
      <c r="AJ800" s="857"/>
      <c r="AK800" s="857"/>
      <c r="AL800" s="857"/>
      <c r="AM800" s="857"/>
      <c r="AN800" s="857"/>
      <c r="AO800" s="857"/>
      <c r="AP800" s="857"/>
      <c r="AQ800" s="857"/>
      <c r="AR800" s="857"/>
      <c r="AS800" s="857"/>
      <c r="AT800" s="855"/>
      <c r="AV800" s="857"/>
      <c r="AW800" s="857"/>
      <c r="AX800" s="857"/>
      <c r="AY800" s="857"/>
      <c r="AZ800" s="857"/>
      <c r="BA800" s="857"/>
      <c r="BB800" s="857"/>
      <c r="BC800" s="857"/>
      <c r="BD800" s="857"/>
      <c r="BE800" s="857"/>
      <c r="BF800" s="857"/>
      <c r="BG800" s="857"/>
    </row>
    <row r="801" spans="1:59" ht="15.75" customHeight="1">
      <c r="A801" s="857"/>
      <c r="B801" s="857"/>
      <c r="C801" s="857"/>
      <c r="D801" s="857"/>
      <c r="E801" s="857"/>
      <c r="F801" s="857"/>
      <c r="G801" s="857"/>
      <c r="H801" s="857"/>
      <c r="I801" s="857"/>
      <c r="J801" s="857"/>
      <c r="K801" s="857"/>
      <c r="L801" s="857"/>
      <c r="M801" s="857"/>
      <c r="N801" s="857"/>
      <c r="O801" s="857"/>
      <c r="P801" s="857"/>
      <c r="Q801" s="857"/>
      <c r="R801" s="857"/>
      <c r="S801" s="857"/>
      <c r="T801" s="857"/>
      <c r="U801" s="857"/>
      <c r="V801" s="857"/>
      <c r="W801" s="857"/>
      <c r="X801" s="857"/>
      <c r="Y801" s="857"/>
      <c r="Z801" s="857"/>
      <c r="AA801" s="857"/>
      <c r="AB801" s="857"/>
      <c r="AC801" s="857"/>
      <c r="AD801" s="857"/>
      <c r="AE801" s="857"/>
      <c r="AF801" s="857"/>
      <c r="AG801" s="857"/>
      <c r="AH801" s="857"/>
      <c r="AI801" s="857"/>
      <c r="AJ801" s="857"/>
      <c r="AK801" s="857"/>
      <c r="AL801" s="857"/>
      <c r="AM801" s="857"/>
      <c r="AN801" s="857"/>
      <c r="AO801" s="857"/>
      <c r="AP801" s="857"/>
      <c r="AQ801" s="857"/>
      <c r="AR801" s="857"/>
      <c r="AS801" s="857"/>
      <c r="AT801" s="855"/>
      <c r="AV801" s="857"/>
      <c r="AW801" s="857"/>
      <c r="AX801" s="857"/>
      <c r="AY801" s="857"/>
      <c r="AZ801" s="857"/>
      <c r="BA801" s="857"/>
      <c r="BB801" s="857"/>
      <c r="BC801" s="857"/>
      <c r="BD801" s="857"/>
      <c r="BE801" s="857"/>
      <c r="BF801" s="857"/>
      <c r="BG801" s="857"/>
    </row>
    <row r="802" spans="1:59" ht="15.75" customHeight="1">
      <c r="A802" s="857"/>
      <c r="B802" s="857"/>
      <c r="C802" s="857"/>
      <c r="D802" s="857"/>
      <c r="E802" s="857"/>
      <c r="F802" s="857"/>
      <c r="G802" s="857"/>
      <c r="H802" s="857"/>
      <c r="I802" s="857"/>
      <c r="J802" s="857"/>
      <c r="K802" s="857"/>
      <c r="L802" s="857"/>
      <c r="M802" s="857"/>
      <c r="N802" s="857"/>
      <c r="O802" s="857"/>
      <c r="P802" s="857"/>
      <c r="Q802" s="857"/>
      <c r="R802" s="857"/>
      <c r="S802" s="857"/>
      <c r="T802" s="857"/>
      <c r="U802" s="857"/>
      <c r="V802" s="857"/>
      <c r="W802" s="857"/>
      <c r="X802" s="857"/>
      <c r="Y802" s="857"/>
      <c r="Z802" s="857"/>
      <c r="AA802" s="857"/>
      <c r="AB802" s="857"/>
      <c r="AC802" s="857"/>
      <c r="AD802" s="857"/>
      <c r="AE802" s="857"/>
      <c r="AF802" s="857"/>
      <c r="AG802" s="857"/>
      <c r="AH802" s="857"/>
      <c r="AI802" s="857"/>
      <c r="AJ802" s="857"/>
      <c r="AK802" s="857"/>
      <c r="AL802" s="857"/>
      <c r="AM802" s="857"/>
      <c r="AN802" s="857"/>
      <c r="AO802" s="857"/>
      <c r="AP802" s="857"/>
      <c r="AQ802" s="857"/>
      <c r="AR802" s="857"/>
      <c r="AS802" s="857"/>
      <c r="AT802" s="855"/>
      <c r="AV802" s="857"/>
      <c r="AW802" s="857"/>
      <c r="AX802" s="857"/>
      <c r="AY802" s="857"/>
      <c r="AZ802" s="857"/>
      <c r="BA802" s="857"/>
      <c r="BB802" s="857"/>
      <c r="BC802" s="857"/>
      <c r="BD802" s="857"/>
      <c r="BE802" s="857"/>
      <c r="BF802" s="857"/>
      <c r="BG802" s="857"/>
    </row>
    <row r="803" spans="1:59" ht="15.75" customHeight="1">
      <c r="A803" s="857"/>
      <c r="B803" s="857"/>
      <c r="C803" s="857"/>
      <c r="D803" s="857"/>
      <c r="E803" s="857"/>
      <c r="F803" s="857"/>
      <c r="G803" s="857"/>
      <c r="H803" s="857"/>
      <c r="I803" s="857"/>
      <c r="J803" s="857"/>
      <c r="K803" s="857"/>
      <c r="L803" s="857"/>
      <c r="M803" s="857"/>
      <c r="N803" s="857"/>
      <c r="O803" s="857"/>
      <c r="P803" s="857"/>
      <c r="Q803" s="857"/>
      <c r="R803" s="857"/>
      <c r="S803" s="857"/>
      <c r="T803" s="857"/>
      <c r="U803" s="857"/>
      <c r="V803" s="857"/>
      <c r="W803" s="857"/>
      <c r="X803" s="857"/>
      <c r="Y803" s="857"/>
      <c r="Z803" s="857"/>
      <c r="AA803" s="857"/>
      <c r="AB803" s="857"/>
      <c r="AC803" s="857"/>
      <c r="AD803" s="857"/>
      <c r="AE803" s="857"/>
      <c r="AF803" s="857"/>
      <c r="AG803" s="857"/>
      <c r="AH803" s="857"/>
      <c r="AI803" s="857"/>
      <c r="AJ803" s="857"/>
      <c r="AK803" s="857"/>
      <c r="AL803" s="857"/>
      <c r="AM803" s="857"/>
      <c r="AN803" s="857"/>
      <c r="AO803" s="857"/>
      <c r="AP803" s="857"/>
      <c r="AQ803" s="857"/>
      <c r="AR803" s="857"/>
      <c r="AS803" s="857"/>
      <c r="AT803" s="855"/>
      <c r="AV803" s="857"/>
      <c r="AW803" s="857"/>
      <c r="AX803" s="857"/>
      <c r="AY803" s="857"/>
      <c r="AZ803" s="857"/>
      <c r="BA803" s="857"/>
      <c r="BB803" s="857"/>
      <c r="BC803" s="857"/>
      <c r="BD803" s="857"/>
      <c r="BE803" s="857"/>
      <c r="BF803" s="857"/>
      <c r="BG803" s="857"/>
    </row>
    <row r="804" spans="1:59" ht="15.75" customHeight="1">
      <c r="A804" s="857"/>
      <c r="B804" s="857"/>
      <c r="C804" s="857"/>
      <c r="D804" s="857"/>
      <c r="E804" s="857"/>
      <c r="F804" s="857"/>
      <c r="G804" s="857"/>
      <c r="H804" s="857"/>
      <c r="I804" s="857"/>
      <c r="J804" s="857"/>
      <c r="K804" s="857"/>
      <c r="L804" s="857"/>
      <c r="M804" s="857"/>
      <c r="N804" s="857"/>
      <c r="O804" s="857"/>
      <c r="P804" s="857"/>
      <c r="Q804" s="857"/>
      <c r="R804" s="857"/>
      <c r="S804" s="857"/>
      <c r="T804" s="857"/>
      <c r="U804" s="857"/>
      <c r="V804" s="857"/>
      <c r="W804" s="857"/>
      <c r="X804" s="857"/>
      <c r="Y804" s="857"/>
      <c r="Z804" s="857"/>
      <c r="AA804" s="857"/>
      <c r="AB804" s="857"/>
      <c r="AC804" s="857"/>
      <c r="AD804" s="857"/>
      <c r="AE804" s="857"/>
      <c r="AF804" s="857"/>
      <c r="AG804" s="857"/>
      <c r="AH804" s="857"/>
      <c r="AI804" s="857"/>
      <c r="AJ804" s="857"/>
      <c r="AK804" s="857"/>
      <c r="AL804" s="857"/>
      <c r="AM804" s="857"/>
      <c r="AN804" s="857"/>
      <c r="AO804" s="857"/>
      <c r="AP804" s="857"/>
      <c r="AQ804" s="857"/>
      <c r="AR804" s="857"/>
      <c r="AS804" s="857"/>
      <c r="AT804" s="855"/>
      <c r="AV804" s="857"/>
      <c r="AW804" s="857"/>
      <c r="AX804" s="857"/>
      <c r="AY804" s="857"/>
      <c r="AZ804" s="857"/>
      <c r="BA804" s="857"/>
      <c r="BB804" s="857"/>
      <c r="BC804" s="857"/>
      <c r="BD804" s="857"/>
      <c r="BE804" s="857"/>
      <c r="BF804" s="857"/>
      <c r="BG804" s="857"/>
    </row>
    <row r="805" spans="1:59" ht="15.75" customHeight="1">
      <c r="A805" s="857"/>
      <c r="B805" s="857"/>
      <c r="C805" s="857"/>
      <c r="D805" s="857"/>
      <c r="E805" s="857"/>
      <c r="F805" s="857"/>
      <c r="G805" s="857"/>
      <c r="H805" s="857"/>
      <c r="I805" s="857"/>
      <c r="J805" s="857"/>
      <c r="K805" s="857"/>
      <c r="L805" s="857"/>
      <c r="M805" s="857"/>
      <c r="N805" s="857"/>
      <c r="O805" s="857"/>
      <c r="P805" s="857"/>
      <c r="Q805" s="857"/>
      <c r="R805" s="857"/>
      <c r="S805" s="857"/>
      <c r="T805" s="857"/>
      <c r="U805" s="857"/>
      <c r="V805" s="857"/>
      <c r="W805" s="857"/>
      <c r="X805" s="857"/>
      <c r="Y805" s="857"/>
      <c r="Z805" s="857"/>
      <c r="AA805" s="857"/>
      <c r="AB805" s="857"/>
      <c r="AC805" s="857"/>
      <c r="AD805" s="857"/>
      <c r="AE805" s="857"/>
      <c r="AF805" s="857"/>
      <c r="AG805" s="857"/>
      <c r="AH805" s="857"/>
      <c r="AI805" s="857"/>
      <c r="AJ805" s="857"/>
      <c r="AK805" s="857"/>
      <c r="AL805" s="857"/>
      <c r="AM805" s="857"/>
      <c r="AN805" s="857"/>
      <c r="AO805" s="857"/>
      <c r="AP805" s="857"/>
      <c r="AQ805" s="857"/>
      <c r="AR805" s="857"/>
      <c r="AS805" s="857"/>
      <c r="AT805" s="855"/>
      <c r="AV805" s="857"/>
      <c r="AW805" s="857"/>
      <c r="AX805" s="857"/>
      <c r="AY805" s="857"/>
      <c r="AZ805" s="857"/>
      <c r="BA805" s="857"/>
      <c r="BB805" s="857"/>
      <c r="BC805" s="857"/>
      <c r="BD805" s="857"/>
      <c r="BE805" s="857"/>
      <c r="BF805" s="857"/>
      <c r="BG805" s="857"/>
    </row>
    <row r="806" spans="1:59" ht="15.75" customHeight="1">
      <c r="A806" s="857"/>
      <c r="B806" s="857"/>
      <c r="C806" s="857"/>
      <c r="D806" s="857"/>
      <c r="E806" s="857"/>
      <c r="F806" s="857"/>
      <c r="G806" s="857"/>
      <c r="H806" s="857"/>
      <c r="I806" s="857"/>
      <c r="J806" s="857"/>
      <c r="K806" s="857"/>
      <c r="L806" s="857"/>
      <c r="M806" s="857"/>
      <c r="N806" s="857"/>
      <c r="O806" s="857"/>
      <c r="P806" s="857"/>
      <c r="Q806" s="857"/>
      <c r="R806" s="857"/>
      <c r="S806" s="857"/>
      <c r="T806" s="857"/>
      <c r="U806" s="857"/>
      <c r="V806" s="857"/>
      <c r="W806" s="857"/>
      <c r="X806" s="857"/>
      <c r="Y806" s="857"/>
      <c r="Z806" s="857"/>
      <c r="AA806" s="857"/>
      <c r="AB806" s="857"/>
      <c r="AC806" s="857"/>
      <c r="AD806" s="857"/>
      <c r="AE806" s="857"/>
      <c r="AF806" s="857"/>
      <c r="AG806" s="857"/>
      <c r="AH806" s="857"/>
      <c r="AI806" s="857"/>
      <c r="AJ806" s="857"/>
      <c r="AK806" s="857"/>
      <c r="AL806" s="857"/>
      <c r="AM806" s="857"/>
      <c r="AN806" s="857"/>
      <c r="AO806" s="857"/>
      <c r="AP806" s="857"/>
      <c r="AQ806" s="857"/>
      <c r="AR806" s="857"/>
      <c r="AS806" s="857"/>
      <c r="AT806" s="855"/>
      <c r="AV806" s="857"/>
      <c r="AW806" s="857"/>
      <c r="AX806" s="857"/>
      <c r="AY806" s="857"/>
      <c r="AZ806" s="857"/>
      <c r="BA806" s="857"/>
      <c r="BB806" s="857"/>
      <c r="BC806" s="857"/>
      <c r="BD806" s="857"/>
      <c r="BE806" s="857"/>
      <c r="BF806" s="857"/>
      <c r="BG806" s="857"/>
    </row>
    <row r="807" spans="1:59" ht="15.75" customHeight="1">
      <c r="A807" s="857"/>
      <c r="B807" s="857"/>
      <c r="C807" s="857"/>
      <c r="D807" s="857"/>
      <c r="E807" s="857"/>
      <c r="F807" s="857"/>
      <c r="G807" s="857"/>
      <c r="H807" s="857"/>
      <c r="I807" s="857"/>
      <c r="J807" s="857"/>
      <c r="K807" s="857"/>
      <c r="L807" s="857"/>
      <c r="M807" s="857"/>
      <c r="N807" s="857"/>
      <c r="O807" s="857"/>
      <c r="P807" s="857"/>
      <c r="Q807" s="857"/>
      <c r="R807" s="857"/>
      <c r="S807" s="857"/>
      <c r="T807" s="857"/>
      <c r="U807" s="857"/>
      <c r="V807" s="857"/>
      <c r="W807" s="857"/>
      <c r="X807" s="857"/>
      <c r="Y807" s="857"/>
      <c r="Z807" s="857"/>
      <c r="AA807" s="857"/>
      <c r="AB807" s="857"/>
      <c r="AC807" s="857"/>
      <c r="AD807" s="857"/>
      <c r="AE807" s="857"/>
      <c r="AF807" s="857"/>
      <c r="AG807" s="857"/>
      <c r="AH807" s="857"/>
      <c r="AI807" s="857"/>
      <c r="AJ807" s="857"/>
      <c r="AK807" s="857"/>
      <c r="AL807" s="857"/>
      <c r="AM807" s="857"/>
      <c r="AN807" s="857"/>
      <c r="AO807" s="857"/>
      <c r="AP807" s="857"/>
      <c r="AQ807" s="857"/>
      <c r="AR807" s="857"/>
      <c r="AS807" s="857"/>
      <c r="AT807" s="855"/>
      <c r="AV807" s="857"/>
      <c r="AW807" s="857"/>
      <c r="AX807" s="857"/>
      <c r="AY807" s="857"/>
      <c r="AZ807" s="857"/>
      <c r="BA807" s="857"/>
      <c r="BB807" s="857"/>
      <c r="BC807" s="857"/>
      <c r="BD807" s="857"/>
      <c r="BE807" s="857"/>
      <c r="BF807" s="857"/>
      <c r="BG807" s="857"/>
    </row>
    <row r="808" spans="1:59" ht="15.75" customHeight="1">
      <c r="A808" s="857"/>
      <c r="B808" s="857"/>
      <c r="C808" s="857"/>
      <c r="D808" s="857"/>
      <c r="E808" s="857"/>
      <c r="F808" s="857"/>
      <c r="G808" s="857"/>
      <c r="H808" s="857"/>
      <c r="I808" s="857"/>
      <c r="J808" s="857"/>
      <c r="K808" s="857"/>
      <c r="L808" s="857"/>
      <c r="M808" s="857"/>
      <c r="N808" s="857"/>
      <c r="O808" s="857"/>
      <c r="P808" s="857"/>
      <c r="Q808" s="857"/>
      <c r="R808" s="857"/>
      <c r="S808" s="857"/>
      <c r="T808" s="857"/>
      <c r="U808" s="857"/>
      <c r="V808" s="857"/>
      <c r="W808" s="857"/>
      <c r="X808" s="857"/>
      <c r="Y808" s="857"/>
      <c r="Z808" s="857"/>
      <c r="AA808" s="857"/>
      <c r="AB808" s="857"/>
      <c r="AC808" s="857"/>
      <c r="AD808" s="857"/>
      <c r="AE808" s="857"/>
      <c r="AF808" s="857"/>
      <c r="AG808" s="857"/>
      <c r="AH808" s="857"/>
      <c r="AI808" s="857"/>
      <c r="AJ808" s="857"/>
      <c r="AK808" s="857"/>
      <c r="AL808" s="857"/>
      <c r="AM808" s="857"/>
      <c r="AN808" s="857"/>
      <c r="AO808" s="857"/>
      <c r="AP808" s="857"/>
      <c r="AQ808" s="857"/>
      <c r="AR808" s="857"/>
      <c r="AS808" s="857"/>
      <c r="AT808" s="855"/>
      <c r="AV808" s="857"/>
      <c r="AW808" s="857"/>
      <c r="AX808" s="857"/>
      <c r="AY808" s="857"/>
      <c r="AZ808" s="857"/>
      <c r="BA808" s="857"/>
      <c r="BB808" s="857"/>
      <c r="BC808" s="857"/>
      <c r="BD808" s="857"/>
      <c r="BE808" s="857"/>
      <c r="BF808" s="857"/>
      <c r="BG808" s="857"/>
    </row>
    <row r="809" spans="1:59" ht="15.75" customHeight="1">
      <c r="A809" s="857"/>
      <c r="B809" s="857"/>
      <c r="C809" s="857"/>
      <c r="D809" s="857"/>
      <c r="E809" s="857"/>
      <c r="F809" s="857"/>
      <c r="G809" s="857"/>
      <c r="H809" s="857"/>
      <c r="I809" s="857"/>
      <c r="J809" s="857"/>
      <c r="K809" s="857"/>
      <c r="L809" s="857"/>
      <c r="M809" s="857"/>
      <c r="N809" s="857"/>
      <c r="O809" s="857"/>
      <c r="P809" s="857"/>
      <c r="Q809" s="857"/>
      <c r="R809" s="857"/>
      <c r="S809" s="857"/>
      <c r="T809" s="857"/>
      <c r="U809" s="857"/>
      <c r="V809" s="857"/>
      <c r="W809" s="857"/>
      <c r="X809" s="857"/>
      <c r="Y809" s="857"/>
      <c r="Z809" s="857"/>
      <c r="AA809" s="857"/>
      <c r="AB809" s="857"/>
      <c r="AC809" s="857"/>
      <c r="AD809" s="857"/>
      <c r="AE809" s="857"/>
      <c r="AF809" s="857"/>
      <c r="AG809" s="857"/>
      <c r="AH809" s="857"/>
      <c r="AI809" s="857"/>
      <c r="AJ809" s="857"/>
      <c r="AK809" s="857"/>
      <c r="AL809" s="857"/>
      <c r="AM809" s="857"/>
      <c r="AN809" s="857"/>
      <c r="AO809" s="857"/>
      <c r="AP809" s="857"/>
      <c r="AQ809" s="857"/>
      <c r="AR809" s="857"/>
      <c r="AS809" s="857"/>
      <c r="AT809" s="855"/>
      <c r="AV809" s="857"/>
      <c r="AW809" s="857"/>
      <c r="AX809" s="857"/>
      <c r="AY809" s="857"/>
      <c r="AZ809" s="857"/>
      <c r="BA809" s="857"/>
      <c r="BB809" s="857"/>
      <c r="BC809" s="857"/>
      <c r="BD809" s="857"/>
      <c r="BE809" s="857"/>
      <c r="BF809" s="857"/>
      <c r="BG809" s="857"/>
    </row>
    <row r="810" spans="1:59" ht="15.75" customHeight="1">
      <c r="A810" s="857"/>
      <c r="B810" s="857"/>
      <c r="C810" s="857"/>
      <c r="D810" s="857"/>
      <c r="E810" s="857"/>
      <c r="F810" s="857"/>
      <c r="G810" s="857"/>
      <c r="H810" s="857"/>
      <c r="I810" s="857"/>
      <c r="J810" s="857"/>
      <c r="K810" s="857"/>
      <c r="L810" s="857"/>
      <c r="M810" s="857"/>
      <c r="N810" s="857"/>
      <c r="O810" s="857"/>
      <c r="P810" s="857"/>
      <c r="Q810" s="857"/>
      <c r="R810" s="857"/>
      <c r="S810" s="857"/>
      <c r="T810" s="857"/>
      <c r="U810" s="857"/>
      <c r="V810" s="857"/>
      <c r="W810" s="857"/>
      <c r="X810" s="857"/>
      <c r="Y810" s="857"/>
      <c r="Z810" s="857"/>
      <c r="AA810" s="857"/>
      <c r="AB810" s="857"/>
      <c r="AC810" s="857"/>
      <c r="AD810" s="857"/>
      <c r="AE810" s="857"/>
      <c r="AF810" s="857"/>
      <c r="AG810" s="857"/>
      <c r="AH810" s="857"/>
      <c r="AI810" s="857"/>
      <c r="AJ810" s="857"/>
      <c r="AK810" s="857"/>
      <c r="AL810" s="857"/>
      <c r="AM810" s="857"/>
      <c r="AN810" s="857"/>
      <c r="AO810" s="857"/>
      <c r="AP810" s="857"/>
      <c r="AQ810" s="857"/>
      <c r="AR810" s="857"/>
      <c r="AS810" s="857"/>
      <c r="AT810" s="855"/>
      <c r="AV810" s="857"/>
      <c r="AW810" s="857"/>
      <c r="AX810" s="857"/>
      <c r="AY810" s="857"/>
      <c r="AZ810" s="857"/>
      <c r="BA810" s="857"/>
      <c r="BB810" s="857"/>
      <c r="BC810" s="857"/>
      <c r="BD810" s="857"/>
      <c r="BE810" s="857"/>
      <c r="BF810" s="857"/>
      <c r="BG810" s="857"/>
    </row>
    <row r="811" spans="1:59" ht="15.75" customHeight="1">
      <c r="A811" s="857"/>
      <c r="B811" s="857"/>
      <c r="C811" s="857"/>
      <c r="D811" s="857"/>
      <c r="E811" s="857"/>
      <c r="F811" s="857"/>
      <c r="G811" s="857"/>
      <c r="H811" s="857"/>
      <c r="I811" s="857"/>
      <c r="J811" s="857"/>
      <c r="K811" s="857"/>
      <c r="L811" s="857"/>
      <c r="M811" s="857"/>
      <c r="N811" s="857"/>
      <c r="O811" s="857"/>
      <c r="P811" s="857"/>
      <c r="Q811" s="857"/>
      <c r="R811" s="857"/>
      <c r="S811" s="857"/>
      <c r="T811" s="857"/>
      <c r="U811" s="857"/>
      <c r="V811" s="857"/>
      <c r="W811" s="857"/>
      <c r="X811" s="857"/>
      <c r="Y811" s="857"/>
      <c r="Z811" s="857"/>
      <c r="AA811" s="857"/>
      <c r="AB811" s="857"/>
      <c r="AC811" s="857"/>
      <c r="AD811" s="857"/>
      <c r="AE811" s="857"/>
      <c r="AF811" s="857"/>
      <c r="AG811" s="857"/>
      <c r="AH811" s="857"/>
      <c r="AI811" s="857"/>
      <c r="AJ811" s="857"/>
      <c r="AK811" s="857"/>
      <c r="AL811" s="857"/>
      <c r="AM811" s="857"/>
      <c r="AN811" s="857"/>
      <c r="AO811" s="857"/>
      <c r="AP811" s="857"/>
      <c r="AQ811" s="857"/>
      <c r="AR811" s="857"/>
      <c r="AS811" s="857"/>
      <c r="AT811" s="855"/>
      <c r="AV811" s="857"/>
      <c r="AW811" s="857"/>
      <c r="AX811" s="857"/>
      <c r="AY811" s="857"/>
      <c r="AZ811" s="857"/>
      <c r="BA811" s="857"/>
      <c r="BB811" s="857"/>
      <c r="BC811" s="857"/>
      <c r="BD811" s="857"/>
      <c r="BE811" s="857"/>
      <c r="BF811" s="857"/>
      <c r="BG811" s="857"/>
    </row>
    <row r="812" spans="1:59" ht="15.75" customHeight="1">
      <c r="A812" s="857"/>
      <c r="B812" s="857"/>
      <c r="C812" s="857"/>
      <c r="D812" s="857"/>
      <c r="E812" s="857"/>
      <c r="F812" s="857"/>
      <c r="G812" s="857"/>
      <c r="H812" s="857"/>
      <c r="I812" s="857"/>
      <c r="J812" s="857"/>
      <c r="K812" s="857"/>
      <c r="L812" s="857"/>
      <c r="M812" s="857"/>
      <c r="N812" s="857"/>
      <c r="O812" s="857"/>
      <c r="P812" s="857"/>
      <c r="Q812" s="857"/>
      <c r="R812" s="857"/>
      <c r="S812" s="857"/>
      <c r="T812" s="857"/>
      <c r="U812" s="857"/>
      <c r="V812" s="857"/>
      <c r="W812" s="857"/>
      <c r="X812" s="857"/>
      <c r="Y812" s="857"/>
      <c r="Z812" s="857"/>
      <c r="AA812" s="857"/>
      <c r="AB812" s="857"/>
      <c r="AC812" s="857"/>
      <c r="AD812" s="857"/>
      <c r="AE812" s="857"/>
      <c r="AF812" s="857"/>
      <c r="AG812" s="857"/>
      <c r="AH812" s="857"/>
      <c r="AI812" s="857"/>
      <c r="AJ812" s="857"/>
      <c r="AK812" s="857"/>
      <c r="AL812" s="857"/>
      <c r="AM812" s="857"/>
      <c r="AN812" s="857"/>
      <c r="AO812" s="857"/>
      <c r="AP812" s="857"/>
      <c r="AQ812" s="857"/>
      <c r="AR812" s="857"/>
      <c r="AS812" s="857"/>
      <c r="AT812" s="855"/>
      <c r="AV812" s="857"/>
      <c r="AW812" s="857"/>
      <c r="AX812" s="857"/>
      <c r="AY812" s="857"/>
      <c r="AZ812" s="857"/>
      <c r="BA812" s="857"/>
      <c r="BB812" s="857"/>
      <c r="BC812" s="857"/>
      <c r="BD812" s="857"/>
      <c r="BE812" s="857"/>
      <c r="BF812" s="857"/>
      <c r="BG812" s="857"/>
    </row>
    <row r="813" spans="1:59" ht="15.75" customHeight="1">
      <c r="A813" s="857"/>
      <c r="B813" s="857"/>
      <c r="C813" s="857"/>
      <c r="D813" s="857"/>
      <c r="E813" s="857"/>
      <c r="F813" s="857"/>
      <c r="G813" s="857"/>
      <c r="H813" s="857"/>
      <c r="I813" s="857"/>
      <c r="J813" s="857"/>
      <c r="K813" s="857"/>
      <c r="L813" s="857"/>
      <c r="M813" s="857"/>
      <c r="N813" s="857"/>
      <c r="O813" s="857"/>
      <c r="P813" s="857"/>
      <c r="Q813" s="857"/>
      <c r="R813" s="857"/>
      <c r="S813" s="857"/>
      <c r="T813" s="857"/>
      <c r="U813" s="857"/>
      <c r="V813" s="857"/>
      <c r="W813" s="857"/>
      <c r="X813" s="857"/>
      <c r="Y813" s="857"/>
      <c r="Z813" s="857"/>
      <c r="AA813" s="857"/>
      <c r="AB813" s="857"/>
      <c r="AC813" s="857"/>
      <c r="AD813" s="857"/>
      <c r="AE813" s="857"/>
      <c r="AF813" s="857"/>
      <c r="AG813" s="857"/>
      <c r="AH813" s="857"/>
      <c r="AI813" s="857"/>
      <c r="AJ813" s="857"/>
      <c r="AK813" s="857"/>
      <c r="AL813" s="857"/>
      <c r="AM813" s="857"/>
      <c r="AN813" s="857"/>
      <c r="AO813" s="857"/>
      <c r="AP813" s="857"/>
      <c r="AQ813" s="857"/>
      <c r="AR813" s="857"/>
      <c r="AS813" s="857"/>
      <c r="AT813" s="855"/>
      <c r="AV813" s="857"/>
      <c r="AW813" s="857"/>
      <c r="AX813" s="857"/>
      <c r="AY813" s="857"/>
      <c r="AZ813" s="857"/>
      <c r="BA813" s="857"/>
      <c r="BB813" s="857"/>
      <c r="BC813" s="857"/>
      <c r="BD813" s="857"/>
      <c r="BE813" s="857"/>
      <c r="BF813" s="857"/>
      <c r="BG813" s="857"/>
    </row>
    <row r="814" spans="1:59" ht="15.75" customHeight="1">
      <c r="A814" s="857"/>
      <c r="B814" s="857"/>
      <c r="C814" s="857"/>
      <c r="D814" s="857"/>
      <c r="E814" s="857"/>
      <c r="F814" s="857"/>
      <c r="G814" s="857"/>
      <c r="H814" s="857"/>
      <c r="I814" s="857"/>
      <c r="J814" s="857"/>
      <c r="K814" s="857"/>
      <c r="L814" s="857"/>
      <c r="M814" s="857"/>
      <c r="N814" s="857"/>
      <c r="O814" s="857"/>
      <c r="P814" s="857"/>
      <c r="Q814" s="857"/>
      <c r="R814" s="857"/>
      <c r="S814" s="857"/>
      <c r="T814" s="857"/>
      <c r="U814" s="857"/>
      <c r="V814" s="857"/>
      <c r="W814" s="857"/>
      <c r="X814" s="857"/>
      <c r="Y814" s="857"/>
      <c r="Z814" s="857"/>
      <c r="AA814" s="857"/>
      <c r="AB814" s="857"/>
      <c r="AC814" s="857"/>
      <c r="AD814" s="857"/>
      <c r="AE814" s="857"/>
      <c r="AF814" s="857"/>
      <c r="AG814" s="857"/>
      <c r="AH814" s="857"/>
      <c r="AI814" s="857"/>
      <c r="AJ814" s="857"/>
      <c r="AK814" s="857"/>
      <c r="AL814" s="857"/>
      <c r="AM814" s="857"/>
      <c r="AN814" s="857"/>
      <c r="AO814" s="857"/>
      <c r="AP814" s="857"/>
      <c r="AQ814" s="857"/>
      <c r="AR814" s="857"/>
      <c r="AS814" s="857"/>
      <c r="AT814" s="855"/>
      <c r="AV814" s="857"/>
      <c r="AW814" s="857"/>
      <c r="AX814" s="857"/>
      <c r="AY814" s="857"/>
      <c r="AZ814" s="857"/>
      <c r="BA814" s="857"/>
      <c r="BB814" s="857"/>
      <c r="BC814" s="857"/>
      <c r="BD814" s="857"/>
      <c r="BE814" s="857"/>
      <c r="BF814" s="857"/>
      <c r="BG814" s="857"/>
    </row>
    <row r="815" spans="1:59" ht="15.75" customHeight="1">
      <c r="A815" s="857"/>
      <c r="B815" s="857"/>
      <c r="C815" s="857"/>
      <c r="D815" s="857"/>
      <c r="E815" s="857"/>
      <c r="F815" s="857"/>
      <c r="G815" s="857"/>
      <c r="H815" s="857"/>
      <c r="I815" s="857"/>
      <c r="J815" s="857"/>
      <c r="K815" s="857"/>
      <c r="L815" s="857"/>
      <c r="M815" s="857"/>
      <c r="N815" s="857"/>
      <c r="O815" s="857"/>
      <c r="P815" s="857"/>
      <c r="Q815" s="857"/>
      <c r="R815" s="857"/>
      <c r="S815" s="857"/>
      <c r="T815" s="857"/>
      <c r="U815" s="857"/>
      <c r="V815" s="857"/>
      <c r="W815" s="857"/>
      <c r="X815" s="857"/>
      <c r="Y815" s="857"/>
      <c r="Z815" s="857"/>
      <c r="AA815" s="857"/>
      <c r="AB815" s="857"/>
      <c r="AC815" s="857"/>
      <c r="AD815" s="857"/>
      <c r="AE815" s="857"/>
      <c r="AF815" s="857"/>
      <c r="AG815" s="857"/>
      <c r="AH815" s="857"/>
      <c r="AI815" s="857"/>
      <c r="AJ815" s="857"/>
      <c r="AK815" s="857"/>
      <c r="AL815" s="857"/>
      <c r="AM815" s="857"/>
      <c r="AN815" s="857"/>
      <c r="AO815" s="857"/>
      <c r="AP815" s="857"/>
      <c r="AQ815" s="857"/>
      <c r="AR815" s="857"/>
      <c r="AS815" s="857"/>
      <c r="AT815" s="855"/>
      <c r="AV815" s="857"/>
      <c r="AW815" s="857"/>
      <c r="AX815" s="857"/>
      <c r="AY815" s="857"/>
      <c r="AZ815" s="857"/>
      <c r="BA815" s="857"/>
      <c r="BB815" s="857"/>
      <c r="BC815" s="857"/>
      <c r="BD815" s="857"/>
      <c r="BE815" s="857"/>
      <c r="BF815" s="857"/>
      <c r="BG815" s="857"/>
    </row>
    <row r="816" spans="1:59" ht="15.75" customHeight="1">
      <c r="A816" s="857"/>
      <c r="B816" s="857"/>
      <c r="C816" s="857"/>
      <c r="D816" s="857"/>
      <c r="E816" s="857"/>
      <c r="F816" s="857"/>
      <c r="G816" s="857"/>
      <c r="H816" s="857"/>
      <c r="I816" s="857"/>
      <c r="J816" s="857"/>
      <c r="K816" s="857"/>
      <c r="L816" s="857"/>
      <c r="M816" s="857"/>
      <c r="N816" s="857"/>
      <c r="O816" s="857"/>
      <c r="P816" s="857"/>
      <c r="Q816" s="857"/>
      <c r="R816" s="857"/>
      <c r="S816" s="857"/>
      <c r="T816" s="857"/>
      <c r="U816" s="857"/>
      <c r="V816" s="857"/>
      <c r="W816" s="857"/>
      <c r="X816" s="857"/>
      <c r="Y816" s="857"/>
      <c r="Z816" s="857"/>
      <c r="AA816" s="857"/>
      <c r="AB816" s="857"/>
      <c r="AC816" s="857"/>
      <c r="AD816" s="857"/>
      <c r="AE816" s="857"/>
      <c r="AF816" s="857"/>
      <c r="AG816" s="857"/>
      <c r="AH816" s="857"/>
      <c r="AI816" s="857"/>
      <c r="AJ816" s="857"/>
      <c r="AK816" s="857"/>
      <c r="AL816" s="857"/>
      <c r="AM816" s="857"/>
      <c r="AN816" s="857"/>
      <c r="AO816" s="857"/>
      <c r="AP816" s="857"/>
      <c r="AQ816" s="857"/>
      <c r="AR816" s="857"/>
      <c r="AS816" s="857"/>
      <c r="AT816" s="855"/>
      <c r="AV816" s="857"/>
      <c r="AW816" s="857"/>
      <c r="AX816" s="857"/>
      <c r="AY816" s="857"/>
      <c r="AZ816" s="857"/>
      <c r="BA816" s="857"/>
      <c r="BB816" s="857"/>
      <c r="BC816" s="857"/>
      <c r="BD816" s="857"/>
      <c r="BE816" s="857"/>
      <c r="BF816" s="857"/>
      <c r="BG816" s="857"/>
    </row>
    <row r="817" spans="1:59" ht="15.75" customHeight="1">
      <c r="A817" s="857"/>
      <c r="B817" s="857"/>
      <c r="C817" s="857"/>
      <c r="D817" s="857"/>
      <c r="E817" s="857"/>
      <c r="F817" s="857"/>
      <c r="G817" s="857"/>
      <c r="H817" s="857"/>
      <c r="I817" s="857"/>
      <c r="J817" s="857"/>
      <c r="K817" s="857"/>
      <c r="L817" s="857"/>
      <c r="M817" s="857"/>
      <c r="N817" s="857"/>
      <c r="O817" s="857"/>
      <c r="P817" s="857"/>
      <c r="Q817" s="857"/>
      <c r="R817" s="857"/>
      <c r="S817" s="857"/>
      <c r="T817" s="857"/>
      <c r="U817" s="857"/>
      <c r="V817" s="857"/>
      <c r="W817" s="857"/>
      <c r="X817" s="857"/>
      <c r="Y817" s="857"/>
      <c r="Z817" s="857"/>
      <c r="AA817" s="857"/>
      <c r="AB817" s="857"/>
      <c r="AC817" s="857"/>
      <c r="AD817" s="857"/>
      <c r="AE817" s="857"/>
      <c r="AF817" s="857"/>
      <c r="AG817" s="857"/>
      <c r="AH817" s="857"/>
      <c r="AI817" s="857"/>
      <c r="AJ817" s="857"/>
      <c r="AK817" s="857"/>
      <c r="AL817" s="857"/>
      <c r="AM817" s="857"/>
      <c r="AN817" s="857"/>
      <c r="AO817" s="857"/>
      <c r="AP817" s="857"/>
      <c r="AQ817" s="857"/>
      <c r="AR817" s="857"/>
      <c r="AS817" s="857"/>
      <c r="AT817" s="855"/>
      <c r="AV817" s="857"/>
      <c r="AW817" s="857"/>
      <c r="AX817" s="857"/>
      <c r="AY817" s="857"/>
      <c r="AZ817" s="857"/>
      <c r="BA817" s="857"/>
      <c r="BB817" s="857"/>
      <c r="BC817" s="857"/>
      <c r="BD817" s="857"/>
      <c r="BE817" s="857"/>
      <c r="BF817" s="857"/>
      <c r="BG817" s="857"/>
    </row>
    <row r="818" spans="1:59" ht="15.75" customHeight="1">
      <c r="A818" s="857"/>
      <c r="B818" s="857"/>
      <c r="C818" s="857"/>
      <c r="D818" s="857"/>
      <c r="E818" s="857"/>
      <c r="F818" s="857"/>
      <c r="G818" s="857"/>
      <c r="H818" s="857"/>
      <c r="I818" s="857"/>
      <c r="J818" s="857"/>
      <c r="K818" s="857"/>
      <c r="L818" s="857"/>
      <c r="M818" s="857"/>
      <c r="N818" s="857"/>
      <c r="O818" s="857"/>
      <c r="P818" s="857"/>
      <c r="Q818" s="857"/>
      <c r="R818" s="857"/>
      <c r="S818" s="857"/>
      <c r="T818" s="857"/>
      <c r="U818" s="857"/>
      <c r="V818" s="857"/>
      <c r="W818" s="857"/>
      <c r="X818" s="857"/>
      <c r="Y818" s="857"/>
      <c r="Z818" s="857"/>
      <c r="AA818" s="857"/>
      <c r="AB818" s="857"/>
      <c r="AC818" s="857"/>
      <c r="AD818" s="857"/>
      <c r="AE818" s="857"/>
      <c r="AF818" s="857"/>
      <c r="AG818" s="857"/>
      <c r="AH818" s="857"/>
      <c r="AI818" s="857"/>
      <c r="AJ818" s="857"/>
      <c r="AK818" s="857"/>
      <c r="AL818" s="857"/>
      <c r="AM818" s="857"/>
      <c r="AN818" s="857"/>
      <c r="AO818" s="857"/>
      <c r="AP818" s="857"/>
      <c r="AQ818" s="857"/>
      <c r="AR818" s="857"/>
      <c r="AS818" s="857"/>
      <c r="AT818" s="855"/>
      <c r="AV818" s="857"/>
      <c r="AW818" s="857"/>
      <c r="AX818" s="857"/>
      <c r="AY818" s="857"/>
      <c r="AZ818" s="857"/>
      <c r="BA818" s="857"/>
      <c r="BB818" s="857"/>
      <c r="BC818" s="857"/>
      <c r="BD818" s="857"/>
      <c r="BE818" s="857"/>
      <c r="BF818" s="857"/>
      <c r="BG818" s="857"/>
    </row>
    <row r="819" spans="1:59" ht="15.75" customHeight="1">
      <c r="A819" s="857"/>
      <c r="B819" s="857"/>
      <c r="C819" s="857"/>
      <c r="D819" s="857"/>
      <c r="E819" s="857"/>
      <c r="F819" s="857"/>
      <c r="G819" s="857"/>
      <c r="H819" s="857"/>
      <c r="I819" s="857"/>
      <c r="J819" s="857"/>
      <c r="K819" s="857"/>
      <c r="L819" s="857"/>
      <c r="M819" s="857"/>
      <c r="N819" s="857"/>
      <c r="O819" s="857"/>
      <c r="P819" s="857"/>
      <c r="Q819" s="857"/>
      <c r="R819" s="857"/>
      <c r="S819" s="857"/>
      <c r="T819" s="857"/>
      <c r="U819" s="857"/>
      <c r="V819" s="857"/>
      <c r="W819" s="857"/>
      <c r="X819" s="857"/>
      <c r="Y819" s="857"/>
      <c r="Z819" s="857"/>
      <c r="AA819" s="857"/>
      <c r="AB819" s="857"/>
      <c r="AC819" s="857"/>
      <c r="AD819" s="857"/>
      <c r="AE819" s="857"/>
      <c r="AF819" s="857"/>
      <c r="AG819" s="857"/>
      <c r="AH819" s="857"/>
      <c r="AI819" s="857"/>
      <c r="AJ819" s="857"/>
      <c r="AK819" s="857"/>
      <c r="AL819" s="857"/>
      <c r="AM819" s="857"/>
      <c r="AN819" s="857"/>
      <c r="AO819" s="857"/>
      <c r="AP819" s="857"/>
      <c r="AQ819" s="857"/>
      <c r="AR819" s="857"/>
      <c r="AS819" s="857"/>
      <c r="AT819" s="855"/>
      <c r="AV819" s="857"/>
      <c r="AW819" s="857"/>
      <c r="AX819" s="857"/>
      <c r="AY819" s="857"/>
      <c r="AZ819" s="857"/>
      <c r="BA819" s="857"/>
      <c r="BB819" s="857"/>
      <c r="BC819" s="857"/>
      <c r="BD819" s="857"/>
      <c r="BE819" s="857"/>
      <c r="BF819" s="857"/>
      <c r="BG819" s="857"/>
    </row>
    <row r="820" spans="1:59" ht="15.75" customHeight="1">
      <c r="A820" s="857"/>
      <c r="B820" s="857"/>
      <c r="C820" s="857"/>
      <c r="D820" s="857"/>
      <c r="E820" s="857"/>
      <c r="F820" s="857"/>
      <c r="G820" s="857"/>
      <c r="H820" s="857"/>
      <c r="I820" s="857"/>
      <c r="J820" s="857"/>
      <c r="K820" s="857"/>
      <c r="L820" s="857"/>
      <c r="M820" s="857"/>
      <c r="N820" s="857"/>
      <c r="O820" s="857"/>
      <c r="P820" s="857"/>
      <c r="Q820" s="857"/>
      <c r="R820" s="857"/>
      <c r="S820" s="857"/>
      <c r="T820" s="857"/>
      <c r="U820" s="857"/>
      <c r="V820" s="857"/>
      <c r="W820" s="857"/>
      <c r="X820" s="857"/>
      <c r="Y820" s="857"/>
      <c r="Z820" s="857"/>
      <c r="AA820" s="857"/>
      <c r="AB820" s="857"/>
      <c r="AC820" s="857"/>
      <c r="AD820" s="857"/>
      <c r="AE820" s="857"/>
      <c r="AF820" s="857"/>
      <c r="AG820" s="857"/>
      <c r="AH820" s="857"/>
      <c r="AI820" s="857"/>
      <c r="AJ820" s="857"/>
      <c r="AK820" s="857"/>
      <c r="AL820" s="857"/>
      <c r="AM820" s="857"/>
      <c r="AN820" s="857"/>
      <c r="AO820" s="857"/>
      <c r="AP820" s="857"/>
      <c r="AQ820" s="857"/>
      <c r="AR820" s="857"/>
      <c r="AS820" s="857"/>
      <c r="AT820" s="855"/>
      <c r="AV820" s="857"/>
      <c r="AW820" s="857"/>
      <c r="AX820" s="857"/>
      <c r="AY820" s="857"/>
      <c r="AZ820" s="857"/>
      <c r="BA820" s="857"/>
      <c r="BB820" s="857"/>
      <c r="BC820" s="857"/>
      <c r="BD820" s="857"/>
      <c r="BE820" s="857"/>
      <c r="BF820" s="857"/>
      <c r="BG820" s="857"/>
    </row>
    <row r="821" spans="1:59" ht="15.75" customHeight="1">
      <c r="A821" s="857"/>
      <c r="B821" s="857"/>
      <c r="C821" s="857"/>
      <c r="D821" s="857"/>
      <c r="E821" s="857"/>
      <c r="F821" s="857"/>
      <c r="G821" s="857"/>
      <c r="H821" s="857"/>
      <c r="I821" s="857"/>
      <c r="J821" s="857"/>
      <c r="K821" s="857"/>
      <c r="L821" s="857"/>
      <c r="M821" s="857"/>
      <c r="N821" s="857"/>
      <c r="O821" s="857"/>
      <c r="P821" s="857"/>
      <c r="Q821" s="857"/>
      <c r="R821" s="857"/>
      <c r="S821" s="857"/>
      <c r="T821" s="857"/>
      <c r="U821" s="857"/>
      <c r="V821" s="857"/>
      <c r="W821" s="857"/>
      <c r="X821" s="857"/>
      <c r="Y821" s="857"/>
      <c r="Z821" s="857"/>
      <c r="AA821" s="857"/>
      <c r="AB821" s="857"/>
      <c r="AC821" s="857"/>
      <c r="AD821" s="857"/>
      <c r="AE821" s="857"/>
      <c r="AF821" s="857"/>
      <c r="AG821" s="857"/>
      <c r="AH821" s="857"/>
      <c r="AI821" s="857"/>
      <c r="AJ821" s="857"/>
      <c r="AK821" s="857"/>
      <c r="AL821" s="857"/>
      <c r="AM821" s="857"/>
      <c r="AN821" s="857"/>
      <c r="AO821" s="857"/>
      <c r="AP821" s="857"/>
      <c r="AQ821" s="857"/>
      <c r="AR821" s="857"/>
      <c r="AS821" s="857"/>
      <c r="AT821" s="855"/>
      <c r="AV821" s="857"/>
      <c r="AW821" s="857"/>
      <c r="AX821" s="857"/>
      <c r="AY821" s="857"/>
      <c r="AZ821" s="857"/>
      <c r="BA821" s="857"/>
      <c r="BB821" s="857"/>
      <c r="BC821" s="857"/>
      <c r="BD821" s="857"/>
      <c r="BE821" s="857"/>
      <c r="BF821" s="857"/>
      <c r="BG821" s="857"/>
    </row>
    <row r="822" spans="1:59" ht="15.75" customHeight="1">
      <c r="A822" s="857"/>
      <c r="B822" s="857"/>
      <c r="C822" s="857"/>
      <c r="D822" s="857"/>
      <c r="E822" s="857"/>
      <c r="F822" s="857"/>
      <c r="G822" s="857"/>
      <c r="H822" s="857"/>
      <c r="I822" s="857"/>
      <c r="J822" s="857"/>
      <c r="K822" s="857"/>
      <c r="L822" s="857"/>
      <c r="M822" s="857"/>
      <c r="N822" s="857"/>
      <c r="O822" s="857"/>
      <c r="P822" s="857"/>
      <c r="Q822" s="857"/>
      <c r="R822" s="857"/>
      <c r="S822" s="857"/>
      <c r="T822" s="857"/>
      <c r="U822" s="857"/>
      <c r="V822" s="857"/>
      <c r="W822" s="857"/>
      <c r="X822" s="857"/>
      <c r="Y822" s="857"/>
      <c r="Z822" s="857"/>
      <c r="AA822" s="857"/>
      <c r="AB822" s="857"/>
      <c r="AC822" s="857"/>
      <c r="AD822" s="857"/>
      <c r="AE822" s="857"/>
      <c r="AF822" s="857"/>
      <c r="AG822" s="857"/>
      <c r="AH822" s="857"/>
      <c r="AI822" s="857"/>
      <c r="AJ822" s="857"/>
      <c r="AK822" s="857"/>
      <c r="AL822" s="857"/>
      <c r="AM822" s="857"/>
      <c r="AN822" s="857"/>
      <c r="AO822" s="857"/>
      <c r="AP822" s="857"/>
      <c r="AQ822" s="857"/>
      <c r="AR822" s="857"/>
      <c r="AS822" s="857"/>
      <c r="AT822" s="855"/>
      <c r="AV822" s="857"/>
      <c r="AW822" s="857"/>
      <c r="AX822" s="857"/>
      <c r="AY822" s="857"/>
      <c r="AZ822" s="857"/>
      <c r="BA822" s="857"/>
      <c r="BB822" s="857"/>
      <c r="BC822" s="857"/>
      <c r="BD822" s="857"/>
      <c r="BE822" s="857"/>
      <c r="BF822" s="857"/>
      <c r="BG822" s="857"/>
    </row>
    <row r="823" spans="1:59" ht="15.75" customHeight="1">
      <c r="A823" s="857"/>
      <c r="B823" s="857"/>
      <c r="C823" s="857"/>
      <c r="D823" s="857"/>
      <c r="E823" s="857"/>
      <c r="F823" s="857"/>
      <c r="G823" s="857"/>
      <c r="H823" s="857"/>
      <c r="I823" s="857"/>
      <c r="J823" s="857"/>
      <c r="K823" s="857"/>
      <c r="L823" s="857"/>
      <c r="M823" s="857"/>
      <c r="N823" s="857"/>
      <c r="O823" s="857"/>
      <c r="P823" s="857"/>
      <c r="Q823" s="857"/>
      <c r="R823" s="857"/>
      <c r="S823" s="857"/>
      <c r="T823" s="857"/>
      <c r="U823" s="857"/>
      <c r="V823" s="857"/>
      <c r="W823" s="857"/>
      <c r="X823" s="857"/>
      <c r="Y823" s="857"/>
      <c r="Z823" s="857"/>
      <c r="AA823" s="857"/>
      <c r="AB823" s="857"/>
      <c r="AC823" s="857"/>
      <c r="AD823" s="857"/>
      <c r="AE823" s="857"/>
      <c r="AF823" s="857"/>
      <c r="AG823" s="857"/>
      <c r="AH823" s="857"/>
      <c r="AI823" s="857"/>
      <c r="AJ823" s="857"/>
      <c r="AK823" s="857"/>
      <c r="AL823" s="857"/>
      <c r="AM823" s="857"/>
      <c r="AN823" s="857"/>
      <c r="AO823" s="857"/>
      <c r="AP823" s="857"/>
      <c r="AQ823" s="857"/>
      <c r="AR823" s="857"/>
      <c r="AS823" s="857"/>
      <c r="AT823" s="855"/>
      <c r="AV823" s="857"/>
      <c r="AW823" s="857"/>
      <c r="AX823" s="857"/>
      <c r="AY823" s="857"/>
      <c r="AZ823" s="857"/>
      <c r="BA823" s="857"/>
      <c r="BB823" s="857"/>
      <c r="BC823" s="857"/>
      <c r="BD823" s="857"/>
      <c r="BE823" s="857"/>
      <c r="BF823" s="857"/>
      <c r="BG823" s="857"/>
    </row>
    <row r="824" spans="1:59" ht="15.75" customHeight="1">
      <c r="A824" s="857"/>
      <c r="B824" s="857"/>
      <c r="C824" s="857"/>
      <c r="D824" s="857"/>
      <c r="E824" s="857"/>
      <c r="F824" s="857"/>
      <c r="G824" s="857"/>
      <c r="H824" s="857"/>
      <c r="I824" s="857"/>
      <c r="J824" s="857"/>
      <c r="K824" s="857"/>
      <c r="L824" s="857"/>
      <c r="M824" s="857"/>
      <c r="N824" s="857"/>
      <c r="O824" s="857"/>
      <c r="P824" s="857"/>
      <c r="Q824" s="857"/>
      <c r="R824" s="857"/>
      <c r="S824" s="857"/>
      <c r="T824" s="857"/>
      <c r="U824" s="857"/>
      <c r="V824" s="857"/>
      <c r="W824" s="857"/>
      <c r="X824" s="857"/>
      <c r="Y824" s="857"/>
      <c r="Z824" s="857"/>
      <c r="AA824" s="857"/>
      <c r="AB824" s="857"/>
      <c r="AC824" s="857"/>
      <c r="AD824" s="857"/>
      <c r="AE824" s="857"/>
      <c r="AF824" s="857"/>
      <c r="AG824" s="857"/>
      <c r="AH824" s="857"/>
      <c r="AI824" s="857"/>
      <c r="AJ824" s="857"/>
      <c r="AK824" s="857"/>
      <c r="AL824" s="857"/>
      <c r="AM824" s="857"/>
      <c r="AN824" s="857"/>
      <c r="AO824" s="857"/>
      <c r="AP824" s="857"/>
      <c r="AQ824" s="857"/>
      <c r="AR824" s="857"/>
      <c r="AS824" s="857"/>
      <c r="AT824" s="855"/>
      <c r="AV824" s="857"/>
      <c r="AW824" s="857"/>
      <c r="AX824" s="857"/>
      <c r="AY824" s="857"/>
      <c r="AZ824" s="857"/>
      <c r="BA824" s="857"/>
      <c r="BB824" s="857"/>
      <c r="BC824" s="857"/>
      <c r="BD824" s="857"/>
      <c r="BE824" s="857"/>
      <c r="BF824" s="857"/>
      <c r="BG824" s="857"/>
    </row>
    <row r="825" spans="1:59" ht="15.75" customHeight="1">
      <c r="A825" s="857"/>
      <c r="B825" s="857"/>
      <c r="C825" s="857"/>
      <c r="D825" s="857"/>
      <c r="E825" s="857"/>
      <c r="F825" s="857"/>
      <c r="G825" s="857"/>
      <c r="H825" s="857"/>
      <c r="I825" s="857"/>
      <c r="J825" s="857"/>
      <c r="K825" s="857"/>
      <c r="L825" s="857"/>
      <c r="M825" s="857"/>
      <c r="N825" s="857"/>
      <c r="O825" s="857"/>
      <c r="P825" s="857"/>
      <c r="Q825" s="857"/>
      <c r="R825" s="857"/>
      <c r="S825" s="857"/>
      <c r="T825" s="857"/>
      <c r="U825" s="857"/>
      <c r="V825" s="857"/>
      <c r="W825" s="857"/>
      <c r="X825" s="857"/>
      <c r="Y825" s="857"/>
      <c r="Z825" s="857"/>
      <c r="AA825" s="857"/>
      <c r="AB825" s="857"/>
      <c r="AC825" s="857"/>
      <c r="AD825" s="857"/>
      <c r="AE825" s="857"/>
      <c r="AF825" s="857"/>
      <c r="AG825" s="857"/>
      <c r="AH825" s="857"/>
      <c r="AI825" s="857"/>
      <c r="AJ825" s="857"/>
      <c r="AK825" s="857"/>
      <c r="AL825" s="857"/>
      <c r="AM825" s="857"/>
      <c r="AN825" s="857"/>
      <c r="AO825" s="857"/>
      <c r="AP825" s="857"/>
      <c r="AQ825" s="857"/>
      <c r="AR825" s="857"/>
      <c r="AS825" s="857"/>
      <c r="AT825" s="855"/>
      <c r="AV825" s="857"/>
      <c r="AW825" s="857"/>
      <c r="AX825" s="857"/>
      <c r="AY825" s="857"/>
      <c r="AZ825" s="857"/>
      <c r="BA825" s="857"/>
      <c r="BB825" s="857"/>
      <c r="BC825" s="857"/>
      <c r="BD825" s="857"/>
      <c r="BE825" s="857"/>
      <c r="BF825" s="857"/>
      <c r="BG825" s="857"/>
    </row>
    <row r="826" spans="1:59" ht="15.75" customHeight="1">
      <c r="A826" s="857"/>
      <c r="B826" s="857"/>
      <c r="C826" s="857"/>
      <c r="D826" s="857"/>
      <c r="E826" s="857"/>
      <c r="F826" s="857"/>
      <c r="G826" s="857"/>
      <c r="H826" s="857"/>
      <c r="I826" s="857"/>
      <c r="J826" s="857"/>
      <c r="K826" s="857"/>
      <c r="L826" s="857"/>
      <c r="M826" s="857"/>
      <c r="N826" s="857"/>
      <c r="O826" s="857"/>
      <c r="P826" s="857"/>
      <c r="Q826" s="857"/>
      <c r="R826" s="857"/>
      <c r="S826" s="857"/>
      <c r="T826" s="857"/>
      <c r="U826" s="857"/>
      <c r="V826" s="857"/>
      <c r="W826" s="857"/>
      <c r="X826" s="857"/>
      <c r="Y826" s="857"/>
      <c r="Z826" s="857"/>
      <c r="AA826" s="857"/>
      <c r="AB826" s="857"/>
      <c r="AC826" s="857"/>
      <c r="AD826" s="857"/>
      <c r="AE826" s="857"/>
      <c r="AF826" s="857"/>
      <c r="AG826" s="857"/>
      <c r="AH826" s="857"/>
      <c r="AI826" s="857"/>
      <c r="AJ826" s="857"/>
      <c r="AK826" s="857"/>
      <c r="AL826" s="857"/>
      <c r="AM826" s="857"/>
      <c r="AN826" s="857"/>
      <c r="AO826" s="857"/>
      <c r="AP826" s="857"/>
      <c r="AQ826" s="857"/>
      <c r="AR826" s="857"/>
      <c r="AS826" s="857"/>
      <c r="AT826" s="855"/>
      <c r="AV826" s="857"/>
      <c r="AW826" s="857"/>
      <c r="AX826" s="857"/>
      <c r="AY826" s="857"/>
      <c r="AZ826" s="857"/>
      <c r="BA826" s="857"/>
      <c r="BB826" s="857"/>
      <c r="BC826" s="857"/>
      <c r="BD826" s="857"/>
      <c r="BE826" s="857"/>
      <c r="BF826" s="857"/>
      <c r="BG826" s="857"/>
    </row>
    <row r="827" spans="1:59" ht="15.75" customHeight="1">
      <c r="A827" s="857"/>
      <c r="B827" s="857"/>
      <c r="C827" s="857"/>
      <c r="D827" s="857"/>
      <c r="E827" s="857"/>
      <c r="F827" s="857"/>
      <c r="G827" s="857"/>
      <c r="H827" s="857"/>
      <c r="I827" s="857"/>
      <c r="J827" s="857"/>
      <c r="K827" s="857"/>
      <c r="L827" s="857"/>
      <c r="M827" s="857"/>
      <c r="N827" s="857"/>
      <c r="O827" s="857"/>
      <c r="P827" s="857"/>
      <c r="Q827" s="857"/>
      <c r="R827" s="857"/>
      <c r="S827" s="857"/>
      <c r="T827" s="857"/>
      <c r="U827" s="857"/>
      <c r="V827" s="857"/>
      <c r="W827" s="857"/>
      <c r="X827" s="857"/>
      <c r="Y827" s="857"/>
      <c r="Z827" s="857"/>
      <c r="AA827" s="857"/>
      <c r="AB827" s="857"/>
      <c r="AC827" s="857"/>
      <c r="AD827" s="857"/>
      <c r="AE827" s="857"/>
      <c r="AF827" s="857"/>
      <c r="AG827" s="857"/>
      <c r="AH827" s="857"/>
      <c r="AI827" s="857"/>
      <c r="AJ827" s="857"/>
      <c r="AK827" s="857"/>
      <c r="AL827" s="857"/>
      <c r="AM827" s="857"/>
      <c r="AN827" s="857"/>
      <c r="AO827" s="857"/>
      <c r="AP827" s="857"/>
      <c r="AQ827" s="857"/>
      <c r="AR827" s="857"/>
      <c r="AS827" s="857"/>
      <c r="AT827" s="855"/>
      <c r="AV827" s="857"/>
      <c r="AW827" s="857"/>
      <c r="AX827" s="857"/>
      <c r="AY827" s="857"/>
      <c r="AZ827" s="857"/>
      <c r="BA827" s="857"/>
      <c r="BB827" s="857"/>
      <c r="BC827" s="857"/>
      <c r="BD827" s="857"/>
      <c r="BE827" s="857"/>
      <c r="BF827" s="857"/>
      <c r="BG827" s="857"/>
    </row>
    <row r="828" spans="1:59" ht="15.75" customHeight="1">
      <c r="A828" s="857"/>
      <c r="B828" s="857"/>
      <c r="C828" s="857"/>
      <c r="D828" s="857"/>
      <c r="E828" s="857"/>
      <c r="F828" s="857"/>
      <c r="G828" s="857"/>
      <c r="H828" s="857"/>
      <c r="I828" s="857"/>
      <c r="J828" s="857"/>
      <c r="K828" s="857"/>
      <c r="L828" s="857"/>
      <c r="M828" s="857"/>
      <c r="N828" s="857"/>
      <c r="O828" s="857"/>
      <c r="P828" s="857"/>
      <c r="Q828" s="857"/>
      <c r="R828" s="857"/>
      <c r="S828" s="857"/>
      <c r="T828" s="857"/>
      <c r="U828" s="857"/>
      <c r="V828" s="857"/>
      <c r="W828" s="857"/>
      <c r="X828" s="857"/>
      <c r="Y828" s="857"/>
      <c r="Z828" s="857"/>
      <c r="AA828" s="857"/>
      <c r="AB828" s="857"/>
      <c r="AC828" s="857"/>
      <c r="AD828" s="857"/>
      <c r="AE828" s="857"/>
      <c r="AF828" s="857"/>
      <c r="AG828" s="857"/>
      <c r="AH828" s="857"/>
      <c r="AI828" s="857"/>
      <c r="AJ828" s="857"/>
      <c r="AK828" s="857"/>
      <c r="AL828" s="857"/>
      <c r="AM828" s="857"/>
      <c r="AN828" s="857"/>
      <c r="AO828" s="857"/>
      <c r="AP828" s="857"/>
      <c r="AQ828" s="857"/>
      <c r="AR828" s="857"/>
      <c r="AS828" s="857"/>
      <c r="AT828" s="855"/>
      <c r="AV828" s="857"/>
      <c r="AW828" s="857"/>
      <c r="AX828" s="857"/>
      <c r="AY828" s="857"/>
      <c r="AZ828" s="857"/>
      <c r="BA828" s="857"/>
      <c r="BB828" s="857"/>
      <c r="BC828" s="857"/>
      <c r="BD828" s="857"/>
      <c r="BE828" s="857"/>
      <c r="BF828" s="857"/>
      <c r="BG828" s="857"/>
    </row>
    <row r="829" spans="1:59" ht="15.75" customHeight="1">
      <c r="A829" s="857"/>
      <c r="B829" s="857"/>
      <c r="C829" s="857"/>
      <c r="D829" s="857"/>
      <c r="E829" s="857"/>
      <c r="F829" s="857"/>
      <c r="G829" s="857"/>
      <c r="H829" s="857"/>
      <c r="I829" s="857"/>
      <c r="J829" s="857"/>
      <c r="K829" s="857"/>
      <c r="L829" s="857"/>
      <c r="M829" s="857"/>
      <c r="N829" s="857"/>
      <c r="O829" s="857"/>
      <c r="P829" s="857"/>
      <c r="Q829" s="857"/>
      <c r="R829" s="857"/>
      <c r="S829" s="857"/>
      <c r="T829" s="857"/>
      <c r="U829" s="857"/>
      <c r="V829" s="857"/>
      <c r="W829" s="857"/>
      <c r="X829" s="857"/>
      <c r="Y829" s="857"/>
      <c r="Z829" s="857"/>
      <c r="AA829" s="857"/>
      <c r="AB829" s="857"/>
      <c r="AC829" s="857"/>
      <c r="AD829" s="857"/>
      <c r="AE829" s="857"/>
      <c r="AF829" s="857"/>
      <c r="AG829" s="857"/>
      <c r="AH829" s="857"/>
      <c r="AI829" s="857"/>
      <c r="AJ829" s="857"/>
      <c r="AK829" s="857"/>
      <c r="AL829" s="857"/>
      <c r="AM829" s="857"/>
      <c r="AN829" s="857"/>
      <c r="AO829" s="857"/>
      <c r="AP829" s="857"/>
      <c r="AQ829" s="857"/>
      <c r="AR829" s="857"/>
      <c r="AS829" s="857"/>
      <c r="AT829" s="855"/>
      <c r="AV829" s="857"/>
      <c r="AW829" s="857"/>
      <c r="AX829" s="857"/>
      <c r="AY829" s="857"/>
      <c r="AZ829" s="857"/>
      <c r="BA829" s="857"/>
      <c r="BB829" s="857"/>
      <c r="BC829" s="857"/>
      <c r="BD829" s="857"/>
      <c r="BE829" s="857"/>
      <c r="BF829" s="857"/>
      <c r="BG829" s="857"/>
    </row>
    <row r="830" spans="1:59" ht="15.75" customHeight="1">
      <c r="A830" s="857"/>
      <c r="B830" s="857"/>
      <c r="C830" s="857"/>
      <c r="D830" s="857"/>
      <c r="E830" s="857"/>
      <c r="F830" s="857"/>
      <c r="G830" s="857"/>
      <c r="H830" s="857"/>
      <c r="I830" s="857"/>
      <c r="J830" s="857"/>
      <c r="K830" s="857"/>
      <c r="L830" s="857"/>
      <c r="M830" s="857"/>
      <c r="N830" s="857"/>
      <c r="O830" s="857"/>
      <c r="P830" s="857"/>
      <c r="Q830" s="857"/>
      <c r="R830" s="857"/>
      <c r="S830" s="857"/>
      <c r="T830" s="857"/>
      <c r="U830" s="857"/>
      <c r="V830" s="857"/>
      <c r="W830" s="857"/>
      <c r="X830" s="857"/>
      <c r="Y830" s="857"/>
      <c r="Z830" s="857"/>
      <c r="AA830" s="857"/>
      <c r="AB830" s="857"/>
      <c r="AC830" s="857"/>
      <c r="AD830" s="857"/>
      <c r="AE830" s="857"/>
      <c r="AF830" s="857"/>
      <c r="AG830" s="857"/>
      <c r="AH830" s="857"/>
      <c r="AI830" s="857"/>
      <c r="AJ830" s="857"/>
      <c r="AK830" s="857"/>
      <c r="AL830" s="857"/>
      <c r="AM830" s="857"/>
      <c r="AN830" s="857"/>
      <c r="AO830" s="857"/>
      <c r="AP830" s="857"/>
      <c r="AQ830" s="857"/>
      <c r="AR830" s="857"/>
      <c r="AS830" s="857"/>
      <c r="AT830" s="855"/>
      <c r="AV830" s="857"/>
      <c r="AW830" s="857"/>
      <c r="AX830" s="857"/>
      <c r="AY830" s="857"/>
      <c r="AZ830" s="857"/>
      <c r="BA830" s="857"/>
      <c r="BB830" s="857"/>
      <c r="BC830" s="857"/>
      <c r="BD830" s="857"/>
      <c r="BE830" s="857"/>
      <c r="BF830" s="857"/>
      <c r="BG830" s="857"/>
    </row>
    <row r="831" spans="1:59" ht="15.75" customHeight="1">
      <c r="A831" s="857"/>
      <c r="B831" s="857"/>
      <c r="C831" s="857"/>
      <c r="D831" s="857"/>
      <c r="E831" s="857"/>
      <c r="F831" s="857"/>
      <c r="G831" s="857"/>
      <c r="H831" s="857"/>
      <c r="I831" s="857"/>
      <c r="J831" s="857"/>
      <c r="K831" s="857"/>
      <c r="L831" s="857"/>
      <c r="M831" s="857"/>
      <c r="N831" s="857"/>
      <c r="O831" s="857"/>
      <c r="P831" s="857"/>
      <c r="Q831" s="857"/>
      <c r="R831" s="857"/>
      <c r="S831" s="857"/>
      <c r="T831" s="857"/>
      <c r="U831" s="857"/>
      <c r="V831" s="857"/>
      <c r="W831" s="857"/>
      <c r="X831" s="857"/>
      <c r="Y831" s="857"/>
      <c r="Z831" s="857"/>
      <c r="AA831" s="857"/>
      <c r="AB831" s="857"/>
      <c r="AC831" s="857"/>
      <c r="AD831" s="857"/>
      <c r="AE831" s="857"/>
      <c r="AF831" s="857"/>
      <c r="AG831" s="857"/>
      <c r="AH831" s="857"/>
      <c r="AI831" s="857"/>
      <c r="AJ831" s="857"/>
      <c r="AK831" s="857"/>
      <c r="AL831" s="857"/>
      <c r="AM831" s="857"/>
      <c r="AN831" s="857"/>
      <c r="AO831" s="857"/>
      <c r="AP831" s="857"/>
      <c r="AQ831" s="857"/>
      <c r="AR831" s="857"/>
      <c r="AS831" s="857"/>
      <c r="AT831" s="855"/>
      <c r="AV831" s="857"/>
      <c r="AW831" s="857"/>
      <c r="AX831" s="857"/>
      <c r="AY831" s="857"/>
      <c r="AZ831" s="857"/>
      <c r="BA831" s="857"/>
      <c r="BB831" s="857"/>
      <c r="BC831" s="857"/>
      <c r="BD831" s="857"/>
      <c r="BE831" s="857"/>
      <c r="BF831" s="857"/>
      <c r="BG831" s="857"/>
    </row>
    <row r="832" spans="1:59" ht="15.75" customHeight="1">
      <c r="A832" s="857"/>
      <c r="B832" s="857"/>
      <c r="C832" s="857"/>
      <c r="D832" s="857"/>
      <c r="E832" s="857"/>
      <c r="F832" s="857"/>
      <c r="G832" s="857"/>
      <c r="H832" s="857"/>
      <c r="I832" s="857"/>
      <c r="J832" s="857"/>
      <c r="K832" s="857"/>
      <c r="L832" s="857"/>
      <c r="M832" s="857"/>
      <c r="N832" s="857"/>
      <c r="O832" s="857"/>
      <c r="P832" s="857"/>
      <c r="Q832" s="857"/>
      <c r="R832" s="857"/>
      <c r="S832" s="857"/>
      <c r="T832" s="857"/>
      <c r="U832" s="857"/>
      <c r="V832" s="857"/>
      <c r="W832" s="857"/>
      <c r="X832" s="857"/>
      <c r="Y832" s="857"/>
      <c r="Z832" s="857"/>
      <c r="AA832" s="857"/>
      <c r="AB832" s="857"/>
      <c r="AC832" s="857"/>
      <c r="AD832" s="857"/>
      <c r="AE832" s="857"/>
      <c r="AF832" s="857"/>
      <c r="AG832" s="857"/>
      <c r="AH832" s="857"/>
      <c r="AI832" s="857"/>
      <c r="AJ832" s="857"/>
      <c r="AK832" s="857"/>
      <c r="AL832" s="857"/>
      <c r="AM832" s="857"/>
      <c r="AN832" s="857"/>
      <c r="AO832" s="857"/>
      <c r="AP832" s="857"/>
      <c r="AQ832" s="857"/>
      <c r="AR832" s="857"/>
      <c r="AS832" s="857"/>
      <c r="AT832" s="855"/>
      <c r="AV832" s="857"/>
      <c r="AW832" s="857"/>
      <c r="AX832" s="857"/>
      <c r="AY832" s="857"/>
      <c r="AZ832" s="857"/>
      <c r="BA832" s="857"/>
      <c r="BB832" s="857"/>
      <c r="BC832" s="857"/>
      <c r="BD832" s="857"/>
      <c r="BE832" s="857"/>
      <c r="BF832" s="857"/>
      <c r="BG832" s="857"/>
    </row>
    <row r="833" spans="1:59" ht="15.75" customHeight="1">
      <c r="A833" s="857"/>
      <c r="B833" s="857"/>
      <c r="C833" s="857"/>
      <c r="D833" s="857"/>
      <c r="E833" s="857"/>
      <c r="F833" s="857"/>
      <c r="G833" s="857"/>
      <c r="H833" s="857"/>
      <c r="I833" s="857"/>
      <c r="J833" s="857"/>
      <c r="K833" s="857"/>
      <c r="L833" s="857"/>
      <c r="M833" s="857"/>
      <c r="N833" s="857"/>
      <c r="O833" s="857"/>
      <c r="P833" s="857"/>
      <c r="Q833" s="857"/>
      <c r="R833" s="857"/>
      <c r="S833" s="857"/>
      <c r="T833" s="857"/>
      <c r="U833" s="857"/>
      <c r="V833" s="857"/>
      <c r="W833" s="857"/>
      <c r="X833" s="857"/>
      <c r="Y833" s="857"/>
      <c r="Z833" s="857"/>
      <c r="AA833" s="857"/>
      <c r="AB833" s="857"/>
      <c r="AC833" s="857"/>
      <c r="AD833" s="857"/>
      <c r="AE833" s="857"/>
      <c r="AF833" s="857"/>
      <c r="AG833" s="857"/>
      <c r="AH833" s="857"/>
      <c r="AI833" s="857"/>
      <c r="AJ833" s="857"/>
      <c r="AK833" s="857"/>
      <c r="AL833" s="857"/>
      <c r="AM833" s="857"/>
      <c r="AN833" s="857"/>
      <c r="AO833" s="857"/>
      <c r="AP833" s="857"/>
      <c r="AQ833" s="857"/>
      <c r="AR833" s="857"/>
      <c r="AS833" s="857"/>
      <c r="AT833" s="855"/>
      <c r="AV833" s="857"/>
      <c r="AW833" s="857"/>
      <c r="AX833" s="857"/>
      <c r="AY833" s="857"/>
      <c r="AZ833" s="857"/>
      <c r="BA833" s="857"/>
      <c r="BB833" s="857"/>
      <c r="BC833" s="857"/>
      <c r="BD833" s="857"/>
      <c r="BE833" s="857"/>
      <c r="BF833" s="857"/>
      <c r="BG833" s="857"/>
    </row>
    <row r="834" spans="1:59" ht="15.75" customHeight="1">
      <c r="A834" s="857"/>
      <c r="B834" s="857"/>
      <c r="C834" s="857"/>
      <c r="D834" s="857"/>
      <c r="E834" s="857"/>
      <c r="F834" s="857"/>
      <c r="G834" s="857"/>
      <c r="H834" s="857"/>
      <c r="I834" s="857"/>
      <c r="J834" s="857"/>
      <c r="K834" s="857"/>
      <c r="L834" s="857"/>
      <c r="M834" s="857"/>
      <c r="N834" s="857"/>
      <c r="O834" s="857"/>
      <c r="P834" s="857"/>
      <c r="Q834" s="857"/>
      <c r="R834" s="857"/>
      <c r="S834" s="857"/>
      <c r="T834" s="857"/>
      <c r="U834" s="857"/>
      <c r="V834" s="857"/>
      <c r="W834" s="857"/>
      <c r="X834" s="857"/>
      <c r="Y834" s="857"/>
      <c r="Z834" s="857"/>
      <c r="AA834" s="857"/>
      <c r="AB834" s="857"/>
      <c r="AC834" s="857"/>
      <c r="AD834" s="857"/>
      <c r="AE834" s="857"/>
      <c r="AF834" s="857"/>
      <c r="AG834" s="857"/>
      <c r="AH834" s="857"/>
      <c r="AI834" s="857"/>
      <c r="AJ834" s="857"/>
      <c r="AK834" s="857"/>
      <c r="AL834" s="857"/>
      <c r="AM834" s="857"/>
      <c r="AN834" s="857"/>
      <c r="AO834" s="857"/>
      <c r="AP834" s="857"/>
      <c r="AQ834" s="857"/>
      <c r="AR834" s="857"/>
      <c r="AS834" s="857"/>
      <c r="AT834" s="855"/>
      <c r="AV834" s="857"/>
      <c r="AW834" s="857"/>
      <c r="AX834" s="857"/>
      <c r="AY834" s="857"/>
      <c r="AZ834" s="857"/>
      <c r="BA834" s="857"/>
      <c r="BB834" s="857"/>
      <c r="BC834" s="857"/>
      <c r="BD834" s="857"/>
      <c r="BE834" s="857"/>
      <c r="BF834" s="857"/>
      <c r="BG834" s="857"/>
    </row>
    <row r="835" spans="1:59" ht="15.75" customHeight="1">
      <c r="A835" s="857"/>
      <c r="B835" s="857"/>
      <c r="C835" s="857"/>
      <c r="D835" s="857"/>
      <c r="E835" s="857"/>
      <c r="F835" s="857"/>
      <c r="G835" s="857"/>
      <c r="H835" s="857"/>
      <c r="I835" s="857"/>
      <c r="J835" s="857"/>
      <c r="K835" s="857"/>
      <c r="L835" s="857"/>
      <c r="M835" s="857"/>
      <c r="N835" s="857"/>
      <c r="O835" s="857"/>
      <c r="P835" s="857"/>
      <c r="Q835" s="857"/>
      <c r="R835" s="857"/>
      <c r="S835" s="857"/>
      <c r="T835" s="857"/>
      <c r="U835" s="857"/>
      <c r="V835" s="857"/>
      <c r="W835" s="857"/>
      <c r="X835" s="857"/>
      <c r="Y835" s="857"/>
      <c r="Z835" s="857"/>
      <c r="AA835" s="857"/>
      <c r="AB835" s="857"/>
      <c r="AC835" s="857"/>
      <c r="AD835" s="857"/>
      <c r="AE835" s="857"/>
      <c r="AF835" s="857"/>
      <c r="AG835" s="857"/>
      <c r="AH835" s="857"/>
      <c r="AI835" s="857"/>
      <c r="AJ835" s="857"/>
      <c r="AK835" s="857"/>
      <c r="AL835" s="857"/>
      <c r="AM835" s="857"/>
      <c r="AN835" s="857"/>
      <c r="AO835" s="857"/>
      <c r="AP835" s="857"/>
      <c r="AQ835" s="857"/>
      <c r="AR835" s="857"/>
      <c r="AS835" s="857"/>
      <c r="AT835" s="855"/>
      <c r="AV835" s="857"/>
      <c r="AW835" s="857"/>
      <c r="AX835" s="857"/>
      <c r="AY835" s="857"/>
      <c r="AZ835" s="857"/>
      <c r="BA835" s="857"/>
      <c r="BB835" s="857"/>
      <c r="BC835" s="857"/>
      <c r="BD835" s="857"/>
      <c r="BE835" s="857"/>
      <c r="BF835" s="857"/>
      <c r="BG835" s="857"/>
    </row>
    <row r="836" spans="1:59" ht="15.75" customHeight="1">
      <c r="A836" s="857"/>
      <c r="B836" s="857"/>
      <c r="C836" s="857"/>
      <c r="D836" s="857"/>
      <c r="E836" s="857"/>
      <c r="F836" s="857"/>
      <c r="G836" s="857"/>
      <c r="H836" s="857"/>
      <c r="I836" s="857"/>
      <c r="J836" s="857"/>
      <c r="K836" s="857"/>
      <c r="L836" s="857"/>
      <c r="M836" s="857"/>
      <c r="N836" s="857"/>
      <c r="O836" s="857"/>
      <c r="P836" s="857"/>
      <c r="Q836" s="857"/>
      <c r="R836" s="857"/>
      <c r="S836" s="857"/>
      <c r="T836" s="857"/>
      <c r="U836" s="857"/>
      <c r="V836" s="857"/>
      <c r="W836" s="857"/>
      <c r="X836" s="857"/>
      <c r="Y836" s="857"/>
      <c r="Z836" s="857"/>
      <c r="AA836" s="857"/>
      <c r="AB836" s="857"/>
      <c r="AC836" s="857"/>
      <c r="AD836" s="857"/>
      <c r="AE836" s="857"/>
      <c r="AF836" s="857"/>
      <c r="AG836" s="857"/>
      <c r="AH836" s="857"/>
      <c r="AI836" s="857"/>
      <c r="AJ836" s="857"/>
      <c r="AK836" s="857"/>
      <c r="AL836" s="857"/>
      <c r="AM836" s="857"/>
      <c r="AN836" s="857"/>
      <c r="AO836" s="857"/>
      <c r="AP836" s="857"/>
      <c r="AQ836" s="857"/>
      <c r="AR836" s="857"/>
      <c r="AS836" s="857"/>
      <c r="AT836" s="855"/>
      <c r="AV836" s="857"/>
      <c r="AW836" s="857"/>
      <c r="AX836" s="857"/>
      <c r="AY836" s="857"/>
      <c r="AZ836" s="857"/>
      <c r="BA836" s="857"/>
      <c r="BB836" s="857"/>
      <c r="BC836" s="857"/>
      <c r="BD836" s="857"/>
      <c r="BE836" s="857"/>
      <c r="BF836" s="857"/>
      <c r="BG836" s="857"/>
    </row>
    <row r="837" spans="1:59" ht="15.75" customHeight="1">
      <c r="A837" s="857"/>
      <c r="B837" s="857"/>
      <c r="C837" s="857"/>
      <c r="D837" s="857"/>
      <c r="E837" s="857"/>
      <c r="F837" s="857"/>
      <c r="G837" s="857"/>
      <c r="H837" s="857"/>
      <c r="I837" s="857"/>
      <c r="J837" s="857"/>
      <c r="K837" s="857"/>
      <c r="L837" s="857"/>
      <c r="M837" s="857"/>
      <c r="N837" s="857"/>
      <c r="O837" s="857"/>
      <c r="P837" s="857"/>
      <c r="Q837" s="857"/>
      <c r="R837" s="857"/>
      <c r="S837" s="857"/>
      <c r="T837" s="857"/>
      <c r="U837" s="857"/>
      <c r="V837" s="857"/>
      <c r="W837" s="857"/>
      <c r="X837" s="857"/>
      <c r="Y837" s="857"/>
      <c r="Z837" s="857"/>
      <c r="AA837" s="857"/>
      <c r="AB837" s="857"/>
      <c r="AC837" s="857"/>
      <c r="AD837" s="857"/>
      <c r="AE837" s="857"/>
      <c r="AF837" s="857"/>
      <c r="AG837" s="857"/>
      <c r="AH837" s="857"/>
      <c r="AI837" s="857"/>
      <c r="AJ837" s="857"/>
      <c r="AK837" s="857"/>
      <c r="AL837" s="857"/>
      <c r="AM837" s="857"/>
      <c r="AN837" s="857"/>
      <c r="AO837" s="857"/>
      <c r="AP837" s="857"/>
      <c r="AQ837" s="857"/>
      <c r="AR837" s="857"/>
      <c r="AS837" s="857"/>
      <c r="AT837" s="855"/>
      <c r="AV837" s="857"/>
      <c r="AW837" s="857"/>
      <c r="AX837" s="857"/>
      <c r="AY837" s="857"/>
      <c r="AZ837" s="857"/>
      <c r="BA837" s="857"/>
      <c r="BB837" s="857"/>
      <c r="BC837" s="857"/>
      <c r="BD837" s="857"/>
      <c r="BE837" s="857"/>
      <c r="BF837" s="857"/>
      <c r="BG837" s="857"/>
    </row>
    <row r="838" spans="1:59" ht="15.75" customHeight="1">
      <c r="A838" s="857"/>
      <c r="B838" s="857"/>
      <c r="C838" s="857"/>
      <c r="D838" s="857"/>
      <c r="E838" s="857"/>
      <c r="F838" s="857"/>
      <c r="G838" s="857"/>
      <c r="H838" s="857"/>
      <c r="I838" s="857"/>
      <c r="J838" s="857"/>
      <c r="K838" s="857"/>
      <c r="L838" s="857"/>
      <c r="M838" s="857"/>
      <c r="N838" s="857"/>
      <c r="O838" s="857"/>
      <c r="P838" s="857"/>
      <c r="Q838" s="857"/>
      <c r="R838" s="857"/>
      <c r="S838" s="857"/>
      <c r="T838" s="857"/>
      <c r="U838" s="857"/>
      <c r="V838" s="857"/>
      <c r="W838" s="857"/>
      <c r="X838" s="857"/>
      <c r="Y838" s="857"/>
      <c r="Z838" s="857"/>
      <c r="AA838" s="857"/>
      <c r="AB838" s="857"/>
      <c r="AC838" s="857"/>
      <c r="AD838" s="857"/>
      <c r="AE838" s="857"/>
      <c r="AF838" s="857"/>
      <c r="AG838" s="857"/>
      <c r="AH838" s="857"/>
      <c r="AI838" s="857"/>
      <c r="AJ838" s="857"/>
      <c r="AK838" s="857"/>
      <c r="AL838" s="857"/>
      <c r="AM838" s="857"/>
      <c r="AN838" s="857"/>
      <c r="AO838" s="857"/>
      <c r="AP838" s="857"/>
      <c r="AQ838" s="857"/>
      <c r="AR838" s="857"/>
      <c r="AS838" s="857"/>
      <c r="AT838" s="855"/>
      <c r="AV838" s="857"/>
      <c r="AW838" s="857"/>
      <c r="AX838" s="857"/>
      <c r="AY838" s="857"/>
      <c r="AZ838" s="857"/>
      <c r="BA838" s="857"/>
      <c r="BB838" s="857"/>
      <c r="BC838" s="857"/>
      <c r="BD838" s="857"/>
      <c r="BE838" s="857"/>
      <c r="BF838" s="857"/>
      <c r="BG838" s="857"/>
    </row>
    <row r="839" spans="1:59" ht="15.75" customHeight="1">
      <c r="A839" s="857"/>
      <c r="B839" s="857"/>
      <c r="C839" s="857"/>
      <c r="D839" s="857"/>
      <c r="E839" s="857"/>
      <c r="F839" s="857"/>
      <c r="G839" s="857"/>
      <c r="H839" s="857"/>
      <c r="I839" s="857"/>
      <c r="J839" s="857"/>
      <c r="K839" s="857"/>
      <c r="L839" s="857"/>
      <c r="M839" s="857"/>
      <c r="N839" s="857"/>
      <c r="O839" s="857"/>
      <c r="P839" s="857"/>
      <c r="Q839" s="857"/>
      <c r="R839" s="857"/>
      <c r="S839" s="857"/>
      <c r="T839" s="857"/>
      <c r="U839" s="857"/>
      <c r="V839" s="857"/>
      <c r="W839" s="857"/>
      <c r="X839" s="857"/>
      <c r="Y839" s="857"/>
      <c r="Z839" s="857"/>
      <c r="AA839" s="857"/>
      <c r="AB839" s="857"/>
      <c r="AC839" s="857"/>
      <c r="AD839" s="857"/>
      <c r="AE839" s="857"/>
      <c r="AF839" s="857"/>
      <c r="AG839" s="857"/>
      <c r="AH839" s="857"/>
      <c r="AI839" s="857"/>
      <c r="AJ839" s="857"/>
      <c r="AK839" s="857"/>
      <c r="AL839" s="857"/>
      <c r="AM839" s="857"/>
      <c r="AN839" s="857"/>
      <c r="AO839" s="857"/>
      <c r="AP839" s="857"/>
      <c r="AQ839" s="857"/>
      <c r="AR839" s="857"/>
      <c r="AS839" s="857"/>
      <c r="AT839" s="855"/>
      <c r="AV839" s="857"/>
      <c r="AW839" s="857"/>
      <c r="AX839" s="857"/>
      <c r="AY839" s="857"/>
      <c r="AZ839" s="857"/>
      <c r="BA839" s="857"/>
      <c r="BB839" s="857"/>
      <c r="BC839" s="857"/>
      <c r="BD839" s="857"/>
      <c r="BE839" s="857"/>
      <c r="BF839" s="857"/>
      <c r="BG839" s="857"/>
    </row>
    <row r="840" spans="1:59" ht="15.75" customHeight="1">
      <c r="A840" s="857"/>
      <c r="B840" s="857"/>
      <c r="C840" s="857"/>
      <c r="D840" s="857"/>
      <c r="E840" s="857"/>
      <c r="F840" s="857"/>
      <c r="G840" s="857"/>
      <c r="H840" s="857"/>
      <c r="I840" s="857"/>
      <c r="J840" s="857"/>
      <c r="K840" s="857"/>
      <c r="L840" s="857"/>
      <c r="M840" s="857"/>
      <c r="N840" s="857"/>
      <c r="O840" s="857"/>
      <c r="P840" s="857"/>
      <c r="Q840" s="857"/>
      <c r="R840" s="857"/>
      <c r="S840" s="857"/>
      <c r="T840" s="857"/>
      <c r="U840" s="857"/>
      <c r="V840" s="857"/>
      <c r="W840" s="857"/>
      <c r="X840" s="857"/>
      <c r="Y840" s="857"/>
      <c r="Z840" s="857"/>
      <c r="AA840" s="857"/>
      <c r="AB840" s="857"/>
      <c r="AC840" s="857"/>
      <c r="AD840" s="857"/>
      <c r="AE840" s="857"/>
      <c r="AF840" s="857"/>
      <c r="AG840" s="857"/>
      <c r="AH840" s="857"/>
      <c r="AI840" s="857"/>
      <c r="AJ840" s="857"/>
      <c r="AK840" s="857"/>
      <c r="AL840" s="857"/>
      <c r="AM840" s="857"/>
      <c r="AN840" s="857"/>
      <c r="AO840" s="857"/>
      <c r="AP840" s="857"/>
      <c r="AQ840" s="857"/>
      <c r="AR840" s="857"/>
      <c r="AS840" s="857"/>
      <c r="AT840" s="855"/>
      <c r="AV840" s="857"/>
      <c r="AW840" s="857"/>
      <c r="AX840" s="857"/>
      <c r="AY840" s="857"/>
      <c r="AZ840" s="857"/>
      <c r="BA840" s="857"/>
      <c r="BB840" s="857"/>
      <c r="BC840" s="857"/>
      <c r="BD840" s="857"/>
      <c r="BE840" s="857"/>
      <c r="BF840" s="857"/>
      <c r="BG840" s="857"/>
    </row>
    <row r="841" spans="1:59" ht="15.75" customHeight="1">
      <c r="A841" s="857"/>
      <c r="B841" s="857"/>
      <c r="C841" s="857"/>
      <c r="D841" s="857"/>
      <c r="E841" s="857"/>
      <c r="F841" s="857"/>
      <c r="G841" s="857"/>
      <c r="H841" s="857"/>
      <c r="I841" s="857"/>
      <c r="J841" s="857"/>
      <c r="K841" s="857"/>
      <c r="L841" s="857"/>
      <c r="M841" s="857"/>
      <c r="N841" s="857"/>
      <c r="O841" s="857"/>
      <c r="P841" s="857"/>
      <c r="Q841" s="857"/>
      <c r="R841" s="857"/>
      <c r="S841" s="857"/>
      <c r="T841" s="857"/>
      <c r="U841" s="857"/>
      <c r="V841" s="857"/>
      <c r="W841" s="857"/>
      <c r="X841" s="857"/>
      <c r="Y841" s="857"/>
      <c r="Z841" s="857"/>
      <c r="AA841" s="857"/>
      <c r="AB841" s="857"/>
      <c r="AC841" s="857"/>
      <c r="AD841" s="857"/>
      <c r="AE841" s="857"/>
      <c r="AF841" s="857"/>
      <c r="AG841" s="857"/>
      <c r="AH841" s="857"/>
      <c r="AI841" s="857"/>
      <c r="AJ841" s="857"/>
      <c r="AK841" s="857"/>
      <c r="AL841" s="857"/>
      <c r="AM841" s="857"/>
      <c r="AN841" s="857"/>
      <c r="AO841" s="857"/>
      <c r="AP841" s="857"/>
      <c r="AQ841" s="857"/>
      <c r="AR841" s="857"/>
      <c r="AS841" s="857"/>
      <c r="AT841" s="855"/>
      <c r="AV841" s="857"/>
      <c r="AW841" s="857"/>
      <c r="AX841" s="857"/>
      <c r="AY841" s="857"/>
      <c r="AZ841" s="857"/>
      <c r="BA841" s="857"/>
      <c r="BB841" s="857"/>
      <c r="BC841" s="857"/>
      <c r="BD841" s="857"/>
      <c r="BE841" s="857"/>
      <c r="BF841" s="857"/>
      <c r="BG841" s="857"/>
    </row>
    <row r="842" spans="1:59" ht="15.75" customHeight="1">
      <c r="A842" s="857"/>
      <c r="B842" s="857"/>
      <c r="C842" s="857"/>
      <c r="D842" s="857"/>
      <c r="E842" s="857"/>
      <c r="F842" s="857"/>
      <c r="G842" s="857"/>
      <c r="H842" s="857"/>
      <c r="I842" s="857"/>
      <c r="J842" s="857"/>
      <c r="K842" s="857"/>
      <c r="L842" s="857"/>
      <c r="M842" s="857"/>
      <c r="N842" s="857"/>
      <c r="O842" s="857"/>
      <c r="P842" s="857"/>
      <c r="Q842" s="857"/>
      <c r="R842" s="857"/>
      <c r="S842" s="857"/>
      <c r="T842" s="857"/>
      <c r="U842" s="857"/>
      <c r="V842" s="857"/>
      <c r="W842" s="857"/>
      <c r="X842" s="857"/>
      <c r="Y842" s="857"/>
      <c r="Z842" s="857"/>
      <c r="AA842" s="857"/>
      <c r="AB842" s="857"/>
      <c r="AC842" s="857"/>
      <c r="AD842" s="857"/>
      <c r="AE842" s="857"/>
      <c r="AF842" s="857"/>
      <c r="AG842" s="857"/>
      <c r="AH842" s="857"/>
      <c r="AI842" s="857"/>
      <c r="AJ842" s="857"/>
      <c r="AK842" s="857"/>
      <c r="AL842" s="857"/>
      <c r="AM842" s="857"/>
      <c r="AN842" s="857"/>
      <c r="AO842" s="857"/>
      <c r="AP842" s="857"/>
      <c r="AQ842" s="857"/>
      <c r="AR842" s="857"/>
      <c r="AS842" s="857"/>
      <c r="AT842" s="855"/>
      <c r="AV842" s="857"/>
      <c r="AW842" s="857"/>
      <c r="AX842" s="857"/>
      <c r="AY842" s="857"/>
      <c r="AZ842" s="857"/>
      <c r="BA842" s="857"/>
      <c r="BB842" s="857"/>
      <c r="BC842" s="857"/>
      <c r="BD842" s="857"/>
      <c r="BE842" s="857"/>
      <c r="BF842" s="857"/>
      <c r="BG842" s="857"/>
    </row>
    <row r="843" spans="1:59" ht="15.75" customHeight="1">
      <c r="A843" s="857"/>
      <c r="B843" s="857"/>
      <c r="C843" s="857"/>
      <c r="D843" s="857"/>
      <c r="E843" s="857"/>
      <c r="F843" s="857"/>
      <c r="G843" s="857"/>
      <c r="H843" s="857"/>
      <c r="I843" s="857"/>
      <c r="J843" s="857"/>
      <c r="K843" s="857"/>
      <c r="L843" s="857"/>
      <c r="M843" s="857"/>
      <c r="N843" s="857"/>
      <c r="O843" s="857"/>
      <c r="P843" s="857"/>
      <c r="Q843" s="857"/>
      <c r="R843" s="857"/>
      <c r="S843" s="857"/>
      <c r="T843" s="857"/>
      <c r="U843" s="857"/>
      <c r="V843" s="857"/>
      <c r="W843" s="857"/>
      <c r="X843" s="857"/>
      <c r="Y843" s="857"/>
      <c r="Z843" s="857"/>
      <c r="AA843" s="857"/>
      <c r="AB843" s="857"/>
      <c r="AC843" s="857"/>
      <c r="AD843" s="857"/>
      <c r="AE843" s="857"/>
      <c r="AF843" s="857"/>
      <c r="AG843" s="857"/>
      <c r="AH843" s="857"/>
      <c r="AI843" s="857"/>
      <c r="AJ843" s="857"/>
      <c r="AK843" s="857"/>
      <c r="AL843" s="857"/>
      <c r="AM843" s="857"/>
      <c r="AN843" s="857"/>
      <c r="AO843" s="857"/>
      <c r="AP843" s="857"/>
      <c r="AQ843" s="857"/>
      <c r="AR843" s="857"/>
      <c r="AS843" s="857"/>
      <c r="AT843" s="855"/>
      <c r="AV843" s="857"/>
      <c r="AW843" s="857"/>
      <c r="AX843" s="857"/>
      <c r="AY843" s="857"/>
      <c r="AZ843" s="857"/>
      <c r="BA843" s="857"/>
      <c r="BB843" s="857"/>
      <c r="BC843" s="857"/>
      <c r="BD843" s="857"/>
      <c r="BE843" s="857"/>
      <c r="BF843" s="857"/>
      <c r="BG843" s="857"/>
    </row>
    <row r="844" spans="1:59" ht="15.75" customHeight="1">
      <c r="A844" s="857"/>
      <c r="B844" s="857"/>
      <c r="C844" s="857"/>
      <c r="D844" s="857"/>
      <c r="E844" s="857"/>
      <c r="F844" s="857"/>
      <c r="G844" s="857"/>
      <c r="H844" s="857"/>
      <c r="I844" s="857"/>
      <c r="J844" s="857"/>
      <c r="K844" s="857"/>
      <c r="L844" s="857"/>
      <c r="M844" s="857"/>
      <c r="N844" s="857"/>
      <c r="O844" s="857"/>
      <c r="P844" s="857"/>
      <c r="Q844" s="857"/>
      <c r="R844" s="857"/>
      <c r="S844" s="857"/>
      <c r="T844" s="857"/>
      <c r="U844" s="857"/>
      <c r="V844" s="857"/>
      <c r="W844" s="857"/>
      <c r="X844" s="857"/>
      <c r="Y844" s="857"/>
      <c r="Z844" s="857"/>
      <c r="AA844" s="857"/>
      <c r="AB844" s="857"/>
      <c r="AC844" s="857"/>
      <c r="AD844" s="857"/>
      <c r="AE844" s="857"/>
      <c r="AF844" s="857"/>
      <c r="AG844" s="857"/>
      <c r="AH844" s="857"/>
      <c r="AI844" s="857"/>
      <c r="AJ844" s="857"/>
      <c r="AK844" s="857"/>
      <c r="AL844" s="857"/>
      <c r="AM844" s="857"/>
      <c r="AN844" s="857"/>
      <c r="AO844" s="857"/>
      <c r="AP844" s="857"/>
      <c r="AQ844" s="857"/>
      <c r="AR844" s="857"/>
      <c r="AS844" s="857"/>
      <c r="AT844" s="855"/>
      <c r="AV844" s="857"/>
      <c r="AW844" s="857"/>
      <c r="AX844" s="857"/>
      <c r="AY844" s="857"/>
      <c r="AZ844" s="857"/>
      <c r="BA844" s="857"/>
      <c r="BB844" s="857"/>
      <c r="BC844" s="857"/>
      <c r="BD844" s="857"/>
      <c r="BE844" s="857"/>
      <c r="BF844" s="857"/>
      <c r="BG844" s="857"/>
    </row>
    <row r="845" spans="1:59" ht="15.75" customHeight="1">
      <c r="A845" s="857"/>
      <c r="B845" s="857"/>
      <c r="C845" s="857"/>
      <c r="D845" s="857"/>
      <c r="E845" s="857"/>
      <c r="F845" s="857"/>
      <c r="G845" s="857"/>
      <c r="H845" s="857"/>
      <c r="I845" s="857"/>
      <c r="J845" s="857"/>
      <c r="K845" s="857"/>
      <c r="L845" s="857"/>
      <c r="M845" s="857"/>
      <c r="N845" s="857"/>
      <c r="O845" s="857"/>
      <c r="P845" s="857"/>
      <c r="Q845" s="857"/>
      <c r="R845" s="857"/>
      <c r="S845" s="857"/>
      <c r="T845" s="857"/>
      <c r="U845" s="857"/>
      <c r="V845" s="857"/>
      <c r="W845" s="857"/>
      <c r="X845" s="857"/>
      <c r="Y845" s="857"/>
      <c r="Z845" s="857"/>
      <c r="AA845" s="857"/>
      <c r="AB845" s="857"/>
      <c r="AC845" s="857"/>
      <c r="AD845" s="857"/>
      <c r="AE845" s="857"/>
      <c r="AF845" s="857"/>
      <c r="AG845" s="857"/>
      <c r="AH845" s="857"/>
      <c r="AI845" s="857"/>
      <c r="AJ845" s="857"/>
      <c r="AK845" s="857"/>
      <c r="AL845" s="857"/>
      <c r="AM845" s="857"/>
      <c r="AN845" s="857"/>
      <c r="AO845" s="857"/>
      <c r="AP845" s="857"/>
      <c r="AQ845" s="857"/>
      <c r="AR845" s="857"/>
      <c r="AS845" s="857"/>
      <c r="AT845" s="855"/>
      <c r="AV845" s="857"/>
      <c r="AW845" s="857"/>
      <c r="AX845" s="857"/>
      <c r="AY845" s="857"/>
      <c r="AZ845" s="857"/>
      <c r="BA845" s="857"/>
      <c r="BB845" s="857"/>
      <c r="BC845" s="857"/>
      <c r="BD845" s="857"/>
      <c r="BE845" s="857"/>
      <c r="BF845" s="857"/>
      <c r="BG845" s="857"/>
    </row>
    <row r="846" spans="1:59" ht="15.75" customHeight="1">
      <c r="A846" s="857"/>
      <c r="B846" s="857"/>
      <c r="C846" s="857"/>
      <c r="D846" s="857"/>
      <c r="E846" s="857"/>
      <c r="F846" s="857"/>
      <c r="G846" s="857"/>
      <c r="H846" s="857"/>
      <c r="I846" s="857"/>
      <c r="J846" s="857"/>
      <c r="K846" s="857"/>
      <c r="L846" s="857"/>
      <c r="M846" s="857"/>
      <c r="N846" s="857"/>
      <c r="O846" s="857"/>
      <c r="P846" s="857"/>
      <c r="Q846" s="857"/>
      <c r="R846" s="857"/>
      <c r="S846" s="857"/>
      <c r="T846" s="857"/>
      <c r="U846" s="857"/>
      <c r="V846" s="857"/>
      <c r="W846" s="857"/>
      <c r="X846" s="857"/>
      <c r="Y846" s="857"/>
      <c r="Z846" s="857"/>
      <c r="AA846" s="857"/>
      <c r="AB846" s="857"/>
      <c r="AC846" s="857"/>
      <c r="AD846" s="857"/>
      <c r="AE846" s="857"/>
      <c r="AF846" s="857"/>
      <c r="AG846" s="857"/>
      <c r="AH846" s="857"/>
      <c r="AI846" s="857"/>
      <c r="AJ846" s="857"/>
      <c r="AK846" s="857"/>
      <c r="AL846" s="857"/>
      <c r="AM846" s="857"/>
      <c r="AN846" s="857"/>
      <c r="AO846" s="857"/>
      <c r="AP846" s="857"/>
      <c r="AQ846" s="857"/>
      <c r="AR846" s="857"/>
      <c r="AS846" s="857"/>
      <c r="AT846" s="855"/>
      <c r="AV846" s="857"/>
      <c r="AW846" s="857"/>
      <c r="AX846" s="857"/>
      <c r="AY846" s="857"/>
      <c r="AZ846" s="857"/>
      <c r="BA846" s="857"/>
      <c r="BB846" s="857"/>
      <c r="BC846" s="857"/>
      <c r="BD846" s="857"/>
      <c r="BE846" s="857"/>
      <c r="BF846" s="857"/>
      <c r="BG846" s="857"/>
    </row>
    <row r="847" spans="1:59" ht="15.75" customHeight="1">
      <c r="A847" s="857"/>
      <c r="B847" s="857"/>
      <c r="C847" s="857"/>
      <c r="D847" s="857"/>
      <c r="E847" s="857"/>
      <c r="F847" s="857"/>
      <c r="G847" s="857"/>
      <c r="H847" s="857"/>
      <c r="I847" s="857"/>
      <c r="J847" s="857"/>
      <c r="K847" s="857"/>
      <c r="L847" s="857"/>
      <c r="M847" s="857"/>
      <c r="N847" s="857"/>
      <c r="O847" s="857"/>
      <c r="P847" s="857"/>
      <c r="Q847" s="857"/>
      <c r="R847" s="857"/>
      <c r="S847" s="857"/>
      <c r="T847" s="857"/>
      <c r="U847" s="857"/>
      <c r="V847" s="857"/>
      <c r="W847" s="857"/>
      <c r="X847" s="857"/>
      <c r="Y847" s="857"/>
      <c r="Z847" s="857"/>
      <c r="AA847" s="857"/>
      <c r="AB847" s="857"/>
      <c r="AC847" s="857"/>
      <c r="AD847" s="857"/>
      <c r="AE847" s="857"/>
      <c r="AF847" s="857"/>
      <c r="AG847" s="857"/>
      <c r="AH847" s="857"/>
      <c r="AI847" s="857"/>
      <c r="AJ847" s="857"/>
      <c r="AK847" s="857"/>
      <c r="AL847" s="857"/>
      <c r="AM847" s="857"/>
      <c r="AN847" s="857"/>
      <c r="AO847" s="857"/>
      <c r="AP847" s="857"/>
      <c r="AQ847" s="857"/>
      <c r="AR847" s="857"/>
      <c r="AS847" s="857"/>
      <c r="AT847" s="855"/>
      <c r="AV847" s="857"/>
      <c r="AW847" s="857"/>
      <c r="AX847" s="857"/>
      <c r="AY847" s="857"/>
      <c r="AZ847" s="857"/>
      <c r="BA847" s="857"/>
      <c r="BB847" s="857"/>
      <c r="BC847" s="857"/>
      <c r="BD847" s="857"/>
      <c r="BE847" s="857"/>
      <c r="BF847" s="857"/>
      <c r="BG847" s="857"/>
    </row>
    <row r="848" spans="1:59" ht="15.75" customHeight="1">
      <c r="A848" s="857"/>
      <c r="B848" s="857"/>
      <c r="C848" s="857"/>
      <c r="D848" s="857"/>
      <c r="E848" s="857"/>
      <c r="F848" s="857"/>
      <c r="G848" s="857"/>
      <c r="H848" s="857"/>
      <c r="I848" s="857"/>
      <c r="J848" s="857"/>
      <c r="K848" s="857"/>
      <c r="L848" s="857"/>
      <c r="M848" s="857"/>
      <c r="N848" s="857"/>
      <c r="O848" s="857"/>
      <c r="P848" s="857"/>
      <c r="Q848" s="857"/>
      <c r="R848" s="857"/>
      <c r="S848" s="857"/>
      <c r="T848" s="857"/>
      <c r="U848" s="857"/>
      <c r="V848" s="857"/>
      <c r="W848" s="857"/>
      <c r="X848" s="857"/>
      <c r="Y848" s="857"/>
      <c r="Z848" s="857"/>
      <c r="AA848" s="857"/>
      <c r="AB848" s="857"/>
      <c r="AC848" s="857"/>
      <c r="AD848" s="857"/>
      <c r="AE848" s="857"/>
      <c r="AF848" s="857"/>
      <c r="AG848" s="857"/>
      <c r="AH848" s="857"/>
      <c r="AI848" s="857"/>
      <c r="AJ848" s="857"/>
      <c r="AK848" s="857"/>
      <c r="AL848" s="857"/>
      <c r="AM848" s="857"/>
      <c r="AN848" s="857"/>
      <c r="AO848" s="857"/>
      <c r="AP848" s="857"/>
      <c r="AQ848" s="857"/>
      <c r="AR848" s="857"/>
      <c r="AS848" s="857"/>
      <c r="AT848" s="855"/>
      <c r="AV848" s="857"/>
      <c r="AW848" s="857"/>
      <c r="AX848" s="857"/>
      <c r="AY848" s="857"/>
      <c r="AZ848" s="857"/>
      <c r="BA848" s="857"/>
      <c r="BB848" s="857"/>
      <c r="BC848" s="857"/>
      <c r="BD848" s="857"/>
      <c r="BE848" s="857"/>
      <c r="BF848" s="857"/>
      <c r="BG848" s="857"/>
    </row>
    <row r="849" spans="1:59" ht="15.75" customHeight="1">
      <c r="A849" s="857"/>
      <c r="B849" s="857"/>
      <c r="C849" s="857"/>
      <c r="D849" s="857"/>
      <c r="E849" s="857"/>
      <c r="F849" s="857"/>
      <c r="G849" s="857"/>
      <c r="H849" s="857"/>
      <c r="I849" s="857"/>
      <c r="J849" s="857"/>
      <c r="K849" s="857"/>
      <c r="L849" s="857"/>
      <c r="M849" s="857"/>
      <c r="N849" s="857"/>
      <c r="O849" s="857"/>
      <c r="P849" s="857"/>
      <c r="Q849" s="857"/>
      <c r="R849" s="857"/>
      <c r="S849" s="857"/>
      <c r="T849" s="857"/>
      <c r="U849" s="857"/>
      <c r="V849" s="857"/>
      <c r="W849" s="857"/>
      <c r="X849" s="857"/>
      <c r="Y849" s="857"/>
      <c r="Z849" s="857"/>
      <c r="AA849" s="857"/>
      <c r="AB849" s="857"/>
      <c r="AC849" s="857"/>
      <c r="AD849" s="857"/>
      <c r="AE849" s="857"/>
      <c r="AF849" s="857"/>
      <c r="AG849" s="857"/>
      <c r="AH849" s="857"/>
      <c r="AI849" s="857"/>
      <c r="AJ849" s="857"/>
      <c r="AK849" s="857"/>
      <c r="AL849" s="857"/>
      <c r="AM849" s="857"/>
      <c r="AN849" s="857"/>
      <c r="AO849" s="857"/>
      <c r="AP849" s="857"/>
      <c r="AQ849" s="857"/>
      <c r="AR849" s="857"/>
      <c r="AS849" s="857"/>
      <c r="AT849" s="855"/>
      <c r="AV849" s="857"/>
      <c r="AW849" s="857"/>
      <c r="AX849" s="857"/>
      <c r="AY849" s="857"/>
      <c r="AZ849" s="857"/>
      <c r="BA849" s="857"/>
      <c r="BB849" s="857"/>
      <c r="BC849" s="857"/>
      <c r="BD849" s="857"/>
      <c r="BE849" s="857"/>
      <c r="BF849" s="857"/>
      <c r="BG849" s="857"/>
    </row>
    <row r="850" spans="1:59" ht="15.75" customHeight="1">
      <c r="A850" s="857"/>
      <c r="B850" s="857"/>
      <c r="C850" s="857"/>
      <c r="D850" s="857"/>
      <c r="E850" s="857"/>
      <c r="F850" s="857"/>
      <c r="G850" s="857"/>
      <c r="H850" s="857"/>
      <c r="I850" s="857"/>
      <c r="J850" s="857"/>
      <c r="K850" s="857"/>
      <c r="L850" s="857"/>
      <c r="M850" s="857"/>
      <c r="N850" s="857"/>
      <c r="O850" s="857"/>
      <c r="P850" s="857"/>
      <c r="Q850" s="857"/>
      <c r="R850" s="857"/>
      <c r="S850" s="857"/>
      <c r="T850" s="857"/>
      <c r="U850" s="857"/>
      <c r="V850" s="857"/>
      <c r="W850" s="857"/>
      <c r="X850" s="857"/>
      <c r="Y850" s="857"/>
      <c r="Z850" s="857"/>
      <c r="AA850" s="857"/>
      <c r="AB850" s="857"/>
      <c r="AC850" s="857"/>
      <c r="AD850" s="857"/>
      <c r="AE850" s="857"/>
      <c r="AF850" s="857"/>
      <c r="AG850" s="857"/>
      <c r="AH850" s="857"/>
      <c r="AI850" s="857"/>
      <c r="AJ850" s="857"/>
      <c r="AK850" s="857"/>
      <c r="AL850" s="857"/>
      <c r="AM850" s="857"/>
      <c r="AN850" s="857"/>
      <c r="AO850" s="857"/>
      <c r="AP850" s="857"/>
      <c r="AQ850" s="857"/>
      <c r="AR850" s="857"/>
      <c r="AS850" s="857"/>
      <c r="AT850" s="855"/>
      <c r="AV850" s="857"/>
      <c r="AW850" s="857"/>
      <c r="AX850" s="857"/>
      <c r="AY850" s="857"/>
      <c r="AZ850" s="857"/>
      <c r="BA850" s="857"/>
      <c r="BB850" s="857"/>
      <c r="BC850" s="857"/>
      <c r="BD850" s="857"/>
      <c r="BE850" s="857"/>
      <c r="BF850" s="857"/>
      <c r="BG850" s="857"/>
    </row>
    <row r="851" spans="1:59" ht="15.75" customHeight="1">
      <c r="A851" s="857"/>
      <c r="B851" s="857"/>
      <c r="C851" s="857"/>
      <c r="D851" s="857"/>
      <c r="E851" s="857"/>
      <c r="F851" s="857"/>
      <c r="G851" s="857"/>
      <c r="H851" s="857"/>
      <c r="I851" s="857"/>
      <c r="J851" s="857"/>
      <c r="K851" s="857"/>
      <c r="L851" s="857"/>
      <c r="M851" s="857"/>
      <c r="N851" s="857"/>
      <c r="O851" s="857"/>
      <c r="P851" s="857"/>
      <c r="Q851" s="857"/>
      <c r="R851" s="857"/>
      <c r="S851" s="857"/>
      <c r="T851" s="857"/>
      <c r="U851" s="857"/>
      <c r="V851" s="857"/>
      <c r="W851" s="857"/>
      <c r="X851" s="857"/>
      <c r="Y851" s="857"/>
      <c r="Z851" s="857"/>
      <c r="AA851" s="857"/>
      <c r="AB851" s="857"/>
      <c r="AC851" s="857"/>
      <c r="AD851" s="857"/>
      <c r="AE851" s="857"/>
      <c r="AF851" s="857"/>
      <c r="AG851" s="857"/>
      <c r="AH851" s="857"/>
      <c r="AI851" s="857"/>
      <c r="AJ851" s="857"/>
      <c r="AK851" s="857"/>
      <c r="AL851" s="857"/>
      <c r="AM851" s="857"/>
      <c r="AN851" s="857"/>
      <c r="AO851" s="857"/>
      <c r="AP851" s="857"/>
      <c r="AQ851" s="857"/>
      <c r="AR851" s="857"/>
      <c r="AS851" s="857"/>
      <c r="AT851" s="855"/>
      <c r="AV851" s="857"/>
      <c r="AW851" s="857"/>
      <c r="AX851" s="857"/>
      <c r="AY851" s="857"/>
      <c r="AZ851" s="857"/>
      <c r="BA851" s="857"/>
      <c r="BB851" s="857"/>
      <c r="BC851" s="857"/>
      <c r="BD851" s="857"/>
      <c r="BE851" s="857"/>
      <c r="BF851" s="857"/>
      <c r="BG851" s="857"/>
    </row>
    <row r="852" spans="1:59" ht="15.75" customHeight="1">
      <c r="A852" s="857"/>
      <c r="B852" s="857"/>
      <c r="C852" s="857"/>
      <c r="D852" s="857"/>
      <c r="E852" s="857"/>
      <c r="F852" s="857"/>
      <c r="G852" s="857"/>
      <c r="H852" s="857"/>
      <c r="I852" s="857"/>
      <c r="J852" s="857"/>
      <c r="K852" s="857"/>
      <c r="L852" s="857"/>
      <c r="M852" s="857"/>
      <c r="N852" s="857"/>
      <c r="O852" s="857"/>
      <c r="P852" s="857"/>
      <c r="Q852" s="857"/>
      <c r="R852" s="857"/>
      <c r="S852" s="857"/>
      <c r="T852" s="857"/>
      <c r="U852" s="857"/>
      <c r="V852" s="857"/>
      <c r="W852" s="857"/>
      <c r="X852" s="857"/>
      <c r="Y852" s="857"/>
      <c r="Z852" s="857"/>
      <c r="AA852" s="857"/>
      <c r="AB852" s="857"/>
      <c r="AC852" s="857"/>
      <c r="AD852" s="857"/>
      <c r="AE852" s="857"/>
      <c r="AF852" s="857"/>
      <c r="AG852" s="857"/>
      <c r="AH852" s="857"/>
      <c r="AI852" s="857"/>
      <c r="AJ852" s="857"/>
      <c r="AK852" s="857"/>
      <c r="AL852" s="857"/>
      <c r="AM852" s="857"/>
      <c r="AN852" s="857"/>
      <c r="AO852" s="857"/>
      <c r="AP852" s="857"/>
      <c r="AQ852" s="857"/>
      <c r="AR852" s="857"/>
      <c r="AS852" s="857"/>
      <c r="AT852" s="855"/>
      <c r="AV852" s="857"/>
      <c r="AW852" s="857"/>
      <c r="AX852" s="857"/>
      <c r="AY852" s="857"/>
      <c r="AZ852" s="857"/>
      <c r="BA852" s="857"/>
      <c r="BB852" s="857"/>
      <c r="BC852" s="857"/>
      <c r="BD852" s="857"/>
      <c r="BE852" s="857"/>
      <c r="BF852" s="857"/>
      <c r="BG852" s="857"/>
    </row>
    <row r="853" spans="1:59" ht="15.75" customHeight="1">
      <c r="A853" s="857"/>
      <c r="B853" s="857"/>
      <c r="C853" s="857"/>
      <c r="D853" s="857"/>
      <c r="E853" s="857"/>
      <c r="F853" s="857"/>
      <c r="G853" s="857"/>
      <c r="H853" s="857"/>
      <c r="I853" s="857"/>
      <c r="J853" s="857"/>
      <c r="K853" s="857"/>
      <c r="L853" s="857"/>
      <c r="M853" s="857"/>
      <c r="N853" s="857"/>
      <c r="O853" s="857"/>
      <c r="P853" s="857"/>
      <c r="Q853" s="857"/>
      <c r="R853" s="857"/>
      <c r="S853" s="857"/>
      <c r="T853" s="857"/>
      <c r="U853" s="857"/>
      <c r="V853" s="857"/>
      <c r="W853" s="857"/>
      <c r="X853" s="857"/>
      <c r="Y853" s="857"/>
      <c r="Z853" s="857"/>
      <c r="AA853" s="857"/>
      <c r="AB853" s="857"/>
      <c r="AC853" s="857"/>
      <c r="AD853" s="857"/>
      <c r="AE853" s="857"/>
      <c r="AF853" s="857"/>
      <c r="AG853" s="857"/>
      <c r="AH853" s="857"/>
      <c r="AI853" s="857"/>
      <c r="AJ853" s="857"/>
      <c r="AK853" s="857"/>
      <c r="AL853" s="857"/>
      <c r="AM853" s="857"/>
      <c r="AN853" s="857"/>
      <c r="AO853" s="857"/>
      <c r="AP853" s="857"/>
      <c r="AQ853" s="857"/>
      <c r="AR853" s="857"/>
      <c r="AS853" s="857"/>
      <c r="AT853" s="855"/>
      <c r="AV853" s="857"/>
      <c r="AW853" s="857"/>
      <c r="AX853" s="857"/>
      <c r="AY853" s="857"/>
      <c r="AZ853" s="857"/>
      <c r="BA853" s="857"/>
      <c r="BB853" s="857"/>
      <c r="BC853" s="857"/>
      <c r="BD853" s="857"/>
      <c r="BE853" s="857"/>
      <c r="BF853" s="857"/>
      <c r="BG853" s="857"/>
    </row>
    <row r="854" spans="1:59" ht="15.75" customHeight="1">
      <c r="A854" s="857"/>
      <c r="B854" s="857"/>
      <c r="C854" s="857"/>
      <c r="D854" s="857"/>
      <c r="E854" s="857"/>
      <c r="F854" s="857"/>
      <c r="G854" s="857"/>
      <c r="H854" s="857"/>
      <c r="I854" s="857"/>
      <c r="J854" s="857"/>
      <c r="K854" s="857"/>
      <c r="L854" s="857"/>
      <c r="M854" s="857"/>
      <c r="N854" s="857"/>
      <c r="O854" s="857"/>
      <c r="P854" s="857"/>
      <c r="Q854" s="857"/>
      <c r="R854" s="857"/>
      <c r="S854" s="857"/>
      <c r="T854" s="857"/>
      <c r="U854" s="857"/>
      <c r="V854" s="857"/>
      <c r="W854" s="857"/>
      <c r="X854" s="857"/>
      <c r="Y854" s="857"/>
      <c r="Z854" s="857"/>
      <c r="AA854" s="857"/>
      <c r="AB854" s="857"/>
      <c r="AC854" s="857"/>
      <c r="AD854" s="857"/>
      <c r="AE854" s="857"/>
      <c r="AF854" s="857"/>
      <c r="AG854" s="857"/>
      <c r="AH854" s="857"/>
      <c r="AI854" s="857"/>
      <c r="AJ854" s="857"/>
      <c r="AK854" s="857"/>
      <c r="AL854" s="857"/>
      <c r="AM854" s="857"/>
      <c r="AN854" s="857"/>
      <c r="AO854" s="857"/>
      <c r="AP854" s="857"/>
      <c r="AQ854" s="857"/>
      <c r="AR854" s="857"/>
      <c r="AS854" s="857"/>
      <c r="AT854" s="855"/>
      <c r="AV854" s="857"/>
      <c r="AW854" s="857"/>
      <c r="AX854" s="857"/>
      <c r="AY854" s="857"/>
      <c r="AZ854" s="857"/>
      <c r="BA854" s="857"/>
      <c r="BB854" s="857"/>
      <c r="BC854" s="857"/>
      <c r="BD854" s="857"/>
      <c r="BE854" s="857"/>
      <c r="BF854" s="857"/>
      <c r="BG854" s="857"/>
    </row>
    <row r="855" spans="1:59" ht="15.75" customHeight="1">
      <c r="A855" s="857"/>
      <c r="B855" s="857"/>
      <c r="C855" s="857"/>
      <c r="D855" s="857"/>
      <c r="E855" s="857"/>
      <c r="F855" s="857"/>
      <c r="G855" s="857"/>
      <c r="H855" s="857"/>
      <c r="I855" s="857"/>
      <c r="J855" s="857"/>
      <c r="K855" s="857"/>
      <c r="L855" s="857"/>
      <c r="M855" s="857"/>
      <c r="N855" s="857"/>
      <c r="O855" s="857"/>
      <c r="P855" s="857"/>
      <c r="Q855" s="857"/>
      <c r="R855" s="857"/>
      <c r="S855" s="857"/>
      <c r="T855" s="857"/>
      <c r="U855" s="857"/>
      <c r="V855" s="857"/>
      <c r="W855" s="857"/>
      <c r="X855" s="857"/>
      <c r="Y855" s="857"/>
      <c r="Z855" s="857"/>
      <c r="AA855" s="857"/>
      <c r="AB855" s="857"/>
      <c r="AC855" s="857"/>
      <c r="AD855" s="857"/>
      <c r="AE855" s="857"/>
      <c r="AF855" s="857"/>
      <c r="AG855" s="857"/>
      <c r="AH855" s="857"/>
      <c r="AI855" s="857"/>
      <c r="AJ855" s="857"/>
      <c r="AK855" s="857"/>
      <c r="AL855" s="857"/>
      <c r="AM855" s="857"/>
      <c r="AN855" s="857"/>
      <c r="AO855" s="857"/>
      <c r="AP855" s="857"/>
      <c r="AQ855" s="857"/>
      <c r="AR855" s="857"/>
      <c r="AS855" s="857"/>
      <c r="AT855" s="855"/>
      <c r="AV855" s="857"/>
      <c r="AW855" s="857"/>
      <c r="AX855" s="857"/>
      <c r="AY855" s="857"/>
      <c r="AZ855" s="857"/>
      <c r="BA855" s="857"/>
      <c r="BB855" s="857"/>
      <c r="BC855" s="857"/>
      <c r="BD855" s="857"/>
      <c r="BE855" s="857"/>
      <c r="BF855" s="857"/>
      <c r="BG855" s="857"/>
    </row>
    <row r="856" spans="1:59" ht="15.75" customHeight="1">
      <c r="A856" s="857"/>
      <c r="B856" s="857"/>
      <c r="C856" s="857"/>
      <c r="D856" s="857"/>
      <c r="E856" s="857"/>
      <c r="F856" s="857"/>
      <c r="G856" s="857"/>
      <c r="H856" s="857"/>
      <c r="I856" s="857"/>
      <c r="J856" s="857"/>
      <c r="K856" s="857"/>
      <c r="L856" s="857"/>
      <c r="M856" s="857"/>
      <c r="N856" s="857"/>
      <c r="O856" s="857"/>
      <c r="P856" s="857"/>
      <c r="Q856" s="857"/>
      <c r="R856" s="857"/>
      <c r="S856" s="857"/>
      <c r="T856" s="857"/>
      <c r="U856" s="857"/>
      <c r="V856" s="857"/>
      <c r="W856" s="857"/>
      <c r="X856" s="857"/>
      <c r="Y856" s="857"/>
      <c r="Z856" s="857"/>
      <c r="AA856" s="857"/>
      <c r="AB856" s="857"/>
      <c r="AC856" s="857"/>
      <c r="AD856" s="857"/>
      <c r="AE856" s="857"/>
      <c r="AF856" s="857"/>
      <c r="AG856" s="857"/>
      <c r="AH856" s="857"/>
      <c r="AI856" s="857"/>
      <c r="AJ856" s="857"/>
      <c r="AK856" s="857"/>
      <c r="AL856" s="857"/>
      <c r="AM856" s="857"/>
      <c r="AN856" s="857"/>
      <c r="AO856" s="857"/>
      <c r="AP856" s="857"/>
      <c r="AQ856" s="857"/>
      <c r="AR856" s="857"/>
      <c r="AS856" s="857"/>
      <c r="AT856" s="855"/>
      <c r="AV856" s="857"/>
      <c r="AW856" s="857"/>
      <c r="AX856" s="857"/>
      <c r="AY856" s="857"/>
      <c r="AZ856" s="857"/>
      <c r="BA856" s="857"/>
      <c r="BB856" s="857"/>
      <c r="BC856" s="857"/>
      <c r="BD856" s="857"/>
      <c r="BE856" s="857"/>
      <c r="BF856" s="857"/>
      <c r="BG856" s="857"/>
    </row>
    <row r="857" spans="1:59" ht="15.75" customHeight="1">
      <c r="A857" s="857"/>
      <c r="B857" s="857"/>
      <c r="C857" s="857"/>
      <c r="D857" s="857"/>
      <c r="E857" s="857"/>
      <c r="F857" s="857"/>
      <c r="G857" s="857"/>
      <c r="H857" s="857"/>
      <c r="I857" s="857"/>
      <c r="J857" s="857"/>
      <c r="K857" s="857"/>
      <c r="L857" s="857"/>
      <c r="M857" s="857"/>
      <c r="N857" s="857"/>
      <c r="O857" s="857"/>
      <c r="P857" s="857"/>
      <c r="Q857" s="857"/>
      <c r="R857" s="857"/>
      <c r="S857" s="857"/>
      <c r="T857" s="857"/>
      <c r="U857" s="857"/>
      <c r="V857" s="857"/>
      <c r="W857" s="857"/>
      <c r="X857" s="857"/>
      <c r="Y857" s="857"/>
      <c r="Z857" s="857"/>
      <c r="AA857" s="857"/>
      <c r="AB857" s="857"/>
      <c r="AC857" s="857"/>
      <c r="AD857" s="857"/>
      <c r="AE857" s="857"/>
      <c r="AF857" s="857"/>
      <c r="AG857" s="857"/>
      <c r="AH857" s="857"/>
      <c r="AI857" s="857"/>
      <c r="AJ857" s="857"/>
      <c r="AK857" s="857"/>
      <c r="AL857" s="857"/>
      <c r="AM857" s="857"/>
      <c r="AN857" s="857"/>
      <c r="AO857" s="857"/>
      <c r="AP857" s="857"/>
      <c r="AQ857" s="857"/>
      <c r="AR857" s="857"/>
      <c r="AS857" s="857"/>
      <c r="AT857" s="855"/>
      <c r="AV857" s="857"/>
      <c r="AW857" s="857"/>
      <c r="AX857" s="857"/>
      <c r="AY857" s="857"/>
      <c r="AZ857" s="857"/>
      <c r="BA857" s="857"/>
      <c r="BB857" s="857"/>
      <c r="BC857" s="857"/>
      <c r="BD857" s="857"/>
      <c r="BE857" s="857"/>
      <c r="BF857" s="857"/>
      <c r="BG857" s="857"/>
    </row>
    <row r="858" spans="1:59" ht="15.75" customHeight="1">
      <c r="A858" s="857"/>
      <c r="B858" s="857"/>
      <c r="C858" s="857"/>
      <c r="D858" s="857"/>
      <c r="E858" s="857"/>
      <c r="F858" s="857"/>
      <c r="G858" s="857"/>
      <c r="H858" s="857"/>
      <c r="I858" s="857"/>
      <c r="J858" s="857"/>
      <c r="K858" s="857"/>
      <c r="L858" s="857"/>
      <c r="M858" s="857"/>
      <c r="N858" s="857"/>
      <c r="O858" s="857"/>
      <c r="P858" s="857"/>
      <c r="Q858" s="857"/>
      <c r="R858" s="857"/>
      <c r="S858" s="857"/>
      <c r="T858" s="857"/>
      <c r="U858" s="857"/>
      <c r="V858" s="857"/>
      <c r="W858" s="857"/>
      <c r="X858" s="857"/>
      <c r="Y858" s="857"/>
      <c r="Z858" s="857"/>
      <c r="AA858" s="857"/>
      <c r="AB858" s="857"/>
      <c r="AC858" s="857"/>
      <c r="AD858" s="857"/>
      <c r="AE858" s="857"/>
      <c r="AF858" s="857"/>
      <c r="AG858" s="857"/>
      <c r="AH858" s="857"/>
      <c r="AI858" s="857"/>
      <c r="AJ858" s="857"/>
      <c r="AK858" s="857"/>
      <c r="AL858" s="857"/>
      <c r="AM858" s="857"/>
      <c r="AN858" s="857"/>
      <c r="AO858" s="857"/>
      <c r="AP858" s="857"/>
      <c r="AQ858" s="857"/>
      <c r="AR858" s="857"/>
      <c r="AS858" s="857"/>
      <c r="AT858" s="855"/>
      <c r="AV858" s="857"/>
      <c r="AW858" s="857"/>
      <c r="AX858" s="857"/>
      <c r="AY858" s="857"/>
      <c r="AZ858" s="857"/>
      <c r="BA858" s="857"/>
      <c r="BB858" s="857"/>
      <c r="BC858" s="857"/>
      <c r="BD858" s="857"/>
      <c r="BE858" s="857"/>
      <c r="BF858" s="857"/>
      <c r="BG858" s="857"/>
    </row>
    <row r="859" spans="1:59" ht="15.75" customHeight="1">
      <c r="A859" s="857"/>
      <c r="B859" s="857"/>
      <c r="C859" s="857"/>
      <c r="D859" s="857"/>
      <c r="E859" s="857"/>
      <c r="F859" s="857"/>
      <c r="G859" s="857"/>
      <c r="H859" s="857"/>
      <c r="I859" s="857"/>
      <c r="J859" s="857"/>
      <c r="K859" s="857"/>
      <c r="L859" s="857"/>
      <c r="M859" s="857"/>
      <c r="N859" s="857"/>
      <c r="O859" s="857"/>
      <c r="P859" s="857"/>
      <c r="Q859" s="857"/>
      <c r="R859" s="857"/>
      <c r="S859" s="857"/>
      <c r="T859" s="857"/>
      <c r="U859" s="857"/>
      <c r="V859" s="857"/>
      <c r="W859" s="857"/>
      <c r="X859" s="857"/>
      <c r="Y859" s="857"/>
      <c r="Z859" s="857"/>
      <c r="AA859" s="857"/>
      <c r="AB859" s="857"/>
      <c r="AC859" s="857"/>
      <c r="AD859" s="857"/>
      <c r="AE859" s="857"/>
      <c r="AF859" s="857"/>
      <c r="AG859" s="857"/>
      <c r="AH859" s="857"/>
      <c r="AI859" s="857"/>
      <c r="AJ859" s="857"/>
      <c r="AK859" s="857"/>
      <c r="AL859" s="857"/>
      <c r="AM859" s="857"/>
      <c r="AN859" s="857"/>
      <c r="AO859" s="857"/>
      <c r="AP859" s="857"/>
      <c r="AQ859" s="857"/>
      <c r="AR859" s="857"/>
      <c r="AS859" s="857"/>
      <c r="AT859" s="855"/>
      <c r="AV859" s="857"/>
      <c r="AW859" s="857"/>
      <c r="AX859" s="857"/>
      <c r="AY859" s="857"/>
      <c r="AZ859" s="857"/>
      <c r="BA859" s="857"/>
      <c r="BB859" s="857"/>
      <c r="BC859" s="857"/>
      <c r="BD859" s="857"/>
      <c r="BE859" s="857"/>
      <c r="BF859" s="857"/>
      <c r="BG859" s="857"/>
    </row>
    <row r="860" spans="1:59" ht="15.75" customHeight="1">
      <c r="A860" s="857"/>
      <c r="B860" s="857"/>
      <c r="C860" s="857"/>
      <c r="D860" s="857"/>
      <c r="E860" s="857"/>
      <c r="F860" s="857"/>
      <c r="G860" s="857"/>
      <c r="H860" s="857"/>
      <c r="I860" s="857"/>
      <c r="J860" s="857"/>
      <c r="K860" s="857"/>
      <c r="L860" s="857"/>
      <c r="M860" s="857"/>
      <c r="N860" s="857"/>
      <c r="O860" s="857"/>
      <c r="P860" s="857"/>
      <c r="Q860" s="857"/>
      <c r="R860" s="857"/>
      <c r="S860" s="857"/>
      <c r="T860" s="857"/>
      <c r="U860" s="857"/>
      <c r="V860" s="857"/>
      <c r="W860" s="857"/>
      <c r="X860" s="857"/>
      <c r="Y860" s="857"/>
      <c r="Z860" s="857"/>
      <c r="AA860" s="857"/>
      <c r="AB860" s="857"/>
      <c r="AC860" s="857"/>
      <c r="AD860" s="857"/>
      <c r="AE860" s="857"/>
      <c r="AF860" s="857"/>
      <c r="AG860" s="857"/>
      <c r="AH860" s="857"/>
      <c r="AI860" s="857"/>
      <c r="AJ860" s="857"/>
      <c r="AK860" s="857"/>
      <c r="AL860" s="857"/>
      <c r="AM860" s="857"/>
      <c r="AN860" s="857"/>
      <c r="AO860" s="857"/>
      <c r="AP860" s="857"/>
      <c r="AQ860" s="857"/>
      <c r="AR860" s="857"/>
      <c r="AS860" s="857"/>
      <c r="AT860" s="855"/>
      <c r="AV860" s="857"/>
      <c r="AW860" s="857"/>
      <c r="AX860" s="857"/>
      <c r="AY860" s="857"/>
      <c r="AZ860" s="857"/>
      <c r="BA860" s="857"/>
      <c r="BB860" s="857"/>
      <c r="BC860" s="857"/>
      <c r="BD860" s="857"/>
      <c r="BE860" s="857"/>
      <c r="BF860" s="857"/>
      <c r="BG860" s="857"/>
    </row>
    <row r="861" spans="1:59" ht="15.75" customHeight="1">
      <c r="A861" s="857"/>
      <c r="B861" s="857"/>
      <c r="C861" s="857"/>
      <c r="D861" s="857"/>
      <c r="E861" s="857"/>
      <c r="F861" s="857"/>
      <c r="G861" s="857"/>
      <c r="H861" s="857"/>
      <c r="I861" s="857"/>
      <c r="J861" s="857"/>
      <c r="K861" s="857"/>
      <c r="L861" s="857"/>
      <c r="M861" s="857"/>
      <c r="N861" s="857"/>
      <c r="O861" s="857"/>
      <c r="P861" s="857"/>
      <c r="Q861" s="857"/>
      <c r="R861" s="857"/>
      <c r="S861" s="857"/>
      <c r="T861" s="857"/>
      <c r="U861" s="857"/>
      <c r="V861" s="857"/>
      <c r="W861" s="857"/>
      <c r="X861" s="857"/>
      <c r="Y861" s="857"/>
      <c r="Z861" s="857"/>
      <c r="AA861" s="857"/>
      <c r="AB861" s="857"/>
      <c r="AC861" s="857"/>
      <c r="AD861" s="857"/>
      <c r="AE861" s="857"/>
      <c r="AF861" s="857"/>
      <c r="AG861" s="857"/>
      <c r="AH861" s="857"/>
      <c r="AI861" s="857"/>
      <c r="AJ861" s="857"/>
      <c r="AK861" s="857"/>
      <c r="AL861" s="857"/>
      <c r="AM861" s="857"/>
      <c r="AN861" s="857"/>
      <c r="AO861" s="857"/>
      <c r="AP861" s="857"/>
      <c r="AQ861" s="857"/>
      <c r="AR861" s="857"/>
      <c r="AS861" s="857"/>
      <c r="AT861" s="855"/>
      <c r="AV861" s="857"/>
      <c r="AW861" s="857"/>
      <c r="AX861" s="857"/>
      <c r="AY861" s="857"/>
      <c r="AZ861" s="857"/>
      <c r="BA861" s="857"/>
      <c r="BB861" s="857"/>
      <c r="BC861" s="857"/>
      <c r="BD861" s="857"/>
      <c r="BE861" s="857"/>
      <c r="BF861" s="857"/>
      <c r="BG861" s="857"/>
    </row>
    <row r="862" spans="1:59" ht="15.75" customHeight="1">
      <c r="A862" s="857"/>
      <c r="B862" s="857"/>
      <c r="C862" s="857"/>
      <c r="D862" s="857"/>
      <c r="E862" s="857"/>
      <c r="F862" s="857"/>
      <c r="G862" s="857"/>
      <c r="H862" s="857"/>
      <c r="I862" s="857"/>
      <c r="J862" s="857"/>
      <c r="K862" s="857"/>
      <c r="L862" s="857"/>
      <c r="M862" s="857"/>
      <c r="N862" s="857"/>
      <c r="O862" s="857"/>
      <c r="P862" s="857"/>
      <c r="Q862" s="857"/>
      <c r="R862" s="857"/>
      <c r="S862" s="857"/>
      <c r="T862" s="857"/>
      <c r="U862" s="857"/>
      <c r="V862" s="857"/>
      <c r="W862" s="857"/>
      <c r="X862" s="857"/>
      <c r="Y862" s="857"/>
      <c r="Z862" s="857"/>
      <c r="AA862" s="857"/>
      <c r="AB862" s="857"/>
      <c r="AC862" s="857"/>
      <c r="AD862" s="857"/>
      <c r="AE862" s="857"/>
      <c r="AF862" s="857"/>
      <c r="AG862" s="857"/>
      <c r="AH862" s="857"/>
      <c r="AI862" s="857"/>
      <c r="AJ862" s="857"/>
      <c r="AK862" s="857"/>
      <c r="AL862" s="857"/>
      <c r="AM862" s="857"/>
      <c r="AN862" s="857"/>
      <c r="AO862" s="857"/>
      <c r="AP862" s="857"/>
      <c r="AQ862" s="857"/>
      <c r="AR862" s="857"/>
      <c r="AS862" s="857"/>
      <c r="AT862" s="855"/>
      <c r="AV862" s="857"/>
      <c r="AW862" s="857"/>
      <c r="AX862" s="857"/>
      <c r="AY862" s="857"/>
      <c r="AZ862" s="857"/>
      <c r="BA862" s="857"/>
      <c r="BB862" s="857"/>
      <c r="BC862" s="857"/>
      <c r="BD862" s="857"/>
      <c r="BE862" s="857"/>
      <c r="BF862" s="857"/>
      <c r="BG862" s="857"/>
    </row>
    <row r="863" spans="1:59" ht="15.75" customHeight="1">
      <c r="A863" s="857"/>
      <c r="B863" s="857"/>
      <c r="C863" s="857"/>
      <c r="D863" s="857"/>
      <c r="E863" s="857"/>
      <c r="F863" s="857"/>
      <c r="G863" s="857"/>
      <c r="H863" s="857"/>
      <c r="I863" s="857"/>
      <c r="J863" s="857"/>
      <c r="K863" s="857"/>
      <c r="L863" s="857"/>
      <c r="M863" s="857"/>
      <c r="N863" s="857"/>
      <c r="O863" s="857"/>
      <c r="P863" s="857"/>
      <c r="Q863" s="857"/>
      <c r="R863" s="857"/>
      <c r="S863" s="857"/>
      <c r="T863" s="857"/>
      <c r="U863" s="857"/>
      <c r="V863" s="857"/>
      <c r="W863" s="857"/>
      <c r="X863" s="857"/>
      <c r="Y863" s="857"/>
      <c r="Z863" s="857"/>
      <c r="AA863" s="857"/>
      <c r="AB863" s="857"/>
      <c r="AC863" s="857"/>
      <c r="AD863" s="857"/>
      <c r="AE863" s="857"/>
      <c r="AF863" s="857"/>
      <c r="AG863" s="857"/>
      <c r="AH863" s="857"/>
      <c r="AI863" s="857"/>
      <c r="AJ863" s="857"/>
      <c r="AK863" s="857"/>
      <c r="AL863" s="857"/>
      <c r="AM863" s="857"/>
      <c r="AN863" s="857"/>
      <c r="AO863" s="857"/>
      <c r="AP863" s="857"/>
      <c r="AQ863" s="857"/>
      <c r="AR863" s="857"/>
      <c r="AS863" s="857"/>
      <c r="AT863" s="855"/>
      <c r="AV863" s="857"/>
      <c r="AW863" s="857"/>
      <c r="AX863" s="857"/>
      <c r="AY863" s="857"/>
      <c r="AZ863" s="857"/>
      <c r="BA863" s="857"/>
      <c r="BB863" s="857"/>
      <c r="BC863" s="857"/>
      <c r="BD863" s="857"/>
      <c r="BE863" s="857"/>
      <c r="BF863" s="857"/>
      <c r="BG863" s="857"/>
    </row>
    <row r="864" spans="1:59" ht="15.75" customHeight="1">
      <c r="A864" s="857"/>
      <c r="B864" s="857"/>
      <c r="C864" s="857"/>
      <c r="D864" s="857"/>
      <c r="E864" s="857"/>
      <c r="F864" s="857"/>
      <c r="G864" s="857"/>
      <c r="H864" s="857"/>
      <c r="I864" s="857"/>
      <c r="J864" s="857"/>
      <c r="K864" s="857"/>
      <c r="L864" s="857"/>
      <c r="M864" s="857"/>
      <c r="N864" s="857"/>
      <c r="O864" s="857"/>
      <c r="P864" s="857"/>
      <c r="Q864" s="857"/>
      <c r="R864" s="857"/>
      <c r="S864" s="857"/>
      <c r="T864" s="857"/>
      <c r="U864" s="857"/>
      <c r="V864" s="857"/>
      <c r="W864" s="857"/>
      <c r="X864" s="857"/>
      <c r="Y864" s="857"/>
      <c r="Z864" s="857"/>
      <c r="AA864" s="857"/>
      <c r="AB864" s="857"/>
      <c r="AC864" s="857"/>
      <c r="AD864" s="857"/>
      <c r="AE864" s="857"/>
      <c r="AF864" s="857"/>
      <c r="AG864" s="857"/>
      <c r="AH864" s="857"/>
      <c r="AI864" s="857"/>
      <c r="AJ864" s="857"/>
      <c r="AK864" s="857"/>
      <c r="AL864" s="857"/>
      <c r="AM864" s="857"/>
      <c r="AN864" s="857"/>
      <c r="AO864" s="857"/>
      <c r="AP864" s="857"/>
      <c r="AQ864" s="857"/>
      <c r="AR864" s="857"/>
      <c r="AS864" s="857"/>
      <c r="AT864" s="855"/>
      <c r="AV864" s="857"/>
      <c r="AW864" s="857"/>
      <c r="AX864" s="857"/>
      <c r="AY864" s="857"/>
      <c r="AZ864" s="857"/>
      <c r="BA864" s="857"/>
      <c r="BB864" s="857"/>
      <c r="BC864" s="857"/>
      <c r="BD864" s="857"/>
      <c r="BE864" s="857"/>
      <c r="BF864" s="857"/>
      <c r="BG864" s="857"/>
    </row>
    <row r="865" spans="1:59" ht="15.75" customHeight="1">
      <c r="A865" s="857"/>
      <c r="B865" s="857"/>
      <c r="C865" s="857"/>
      <c r="D865" s="857"/>
      <c r="E865" s="857"/>
      <c r="F865" s="857"/>
      <c r="G865" s="857"/>
      <c r="H865" s="857"/>
      <c r="I865" s="857"/>
      <c r="J865" s="857"/>
      <c r="K865" s="857"/>
      <c r="L865" s="857"/>
      <c r="M865" s="857"/>
      <c r="N865" s="857"/>
      <c r="O865" s="857"/>
      <c r="P865" s="857"/>
      <c r="Q865" s="857"/>
      <c r="R865" s="857"/>
      <c r="S865" s="857"/>
      <c r="T865" s="857"/>
      <c r="U865" s="857"/>
      <c r="V865" s="857"/>
      <c r="W865" s="857"/>
      <c r="X865" s="857"/>
      <c r="Y865" s="857"/>
      <c r="Z865" s="857"/>
      <c r="AA865" s="857"/>
      <c r="AB865" s="857"/>
      <c r="AC865" s="857"/>
      <c r="AD865" s="857"/>
      <c r="AE865" s="857"/>
      <c r="AF865" s="857"/>
      <c r="AG865" s="857"/>
      <c r="AH865" s="857"/>
      <c r="AI865" s="857"/>
      <c r="AJ865" s="857"/>
      <c r="AK865" s="857"/>
      <c r="AL865" s="857"/>
      <c r="AM865" s="857"/>
      <c r="AN865" s="857"/>
      <c r="AO865" s="857"/>
      <c r="AP865" s="857"/>
      <c r="AQ865" s="857"/>
      <c r="AR865" s="857"/>
      <c r="AS865" s="857"/>
      <c r="AT865" s="855"/>
      <c r="AV865" s="857"/>
      <c r="AW865" s="857"/>
      <c r="AX865" s="857"/>
      <c r="AY865" s="857"/>
      <c r="AZ865" s="857"/>
      <c r="BA865" s="857"/>
      <c r="BB865" s="857"/>
      <c r="BC865" s="857"/>
      <c r="BD865" s="857"/>
      <c r="BE865" s="857"/>
      <c r="BF865" s="857"/>
      <c r="BG865" s="857"/>
    </row>
    <row r="866" spans="1:59" ht="15.75" customHeight="1">
      <c r="A866" s="857"/>
      <c r="B866" s="857"/>
      <c r="C866" s="857"/>
      <c r="D866" s="857"/>
      <c r="E866" s="857"/>
      <c r="F866" s="857"/>
      <c r="G866" s="857"/>
      <c r="H866" s="857"/>
      <c r="I866" s="857"/>
      <c r="J866" s="857"/>
      <c r="K866" s="857"/>
      <c r="L866" s="857"/>
      <c r="M866" s="857"/>
      <c r="N866" s="857"/>
      <c r="O866" s="857"/>
      <c r="P866" s="857"/>
      <c r="Q866" s="857"/>
      <c r="R866" s="857"/>
      <c r="S866" s="857"/>
      <c r="T866" s="857"/>
      <c r="U866" s="857"/>
      <c r="V866" s="857"/>
      <c r="W866" s="857"/>
      <c r="X866" s="857"/>
      <c r="Y866" s="857"/>
      <c r="Z866" s="857"/>
      <c r="AA866" s="857"/>
      <c r="AB866" s="857"/>
      <c r="AC866" s="857"/>
      <c r="AD866" s="857"/>
      <c r="AE866" s="857"/>
      <c r="AF866" s="857"/>
      <c r="AG866" s="857"/>
      <c r="AH866" s="857"/>
      <c r="AI866" s="857"/>
      <c r="AJ866" s="857"/>
      <c r="AK866" s="857"/>
      <c r="AL866" s="857"/>
      <c r="AM866" s="857"/>
      <c r="AN866" s="857"/>
      <c r="AO866" s="857"/>
      <c r="AP866" s="857"/>
      <c r="AQ866" s="857"/>
      <c r="AR866" s="857"/>
      <c r="AS866" s="857"/>
      <c r="AT866" s="855"/>
      <c r="AV866" s="857"/>
      <c r="AW866" s="857"/>
      <c r="AX866" s="857"/>
      <c r="AY866" s="857"/>
      <c r="AZ866" s="857"/>
      <c r="BA866" s="857"/>
      <c r="BB866" s="857"/>
      <c r="BC866" s="857"/>
      <c r="BD866" s="857"/>
      <c r="BE866" s="857"/>
      <c r="BF866" s="857"/>
      <c r="BG866" s="857"/>
    </row>
    <row r="867" spans="1:59" ht="15.75" customHeight="1">
      <c r="A867" s="857"/>
      <c r="B867" s="857"/>
      <c r="C867" s="857"/>
      <c r="D867" s="857"/>
      <c r="E867" s="857"/>
      <c r="F867" s="857"/>
      <c r="G867" s="857"/>
      <c r="H867" s="857"/>
      <c r="I867" s="857"/>
      <c r="J867" s="857"/>
      <c r="K867" s="857"/>
      <c r="L867" s="857"/>
      <c r="M867" s="857"/>
      <c r="N867" s="857"/>
      <c r="O867" s="857"/>
      <c r="P867" s="857"/>
      <c r="Q867" s="857"/>
      <c r="R867" s="857"/>
      <c r="S867" s="857"/>
      <c r="T867" s="857"/>
      <c r="U867" s="857"/>
      <c r="V867" s="857"/>
      <c r="W867" s="857"/>
      <c r="X867" s="857"/>
      <c r="Y867" s="857"/>
      <c r="Z867" s="857"/>
      <c r="AA867" s="857"/>
      <c r="AB867" s="857"/>
      <c r="AC867" s="857"/>
      <c r="AD867" s="857"/>
      <c r="AE867" s="857"/>
      <c r="AF867" s="857"/>
      <c r="AG867" s="857"/>
      <c r="AH867" s="857"/>
      <c r="AI867" s="857"/>
      <c r="AJ867" s="857"/>
      <c r="AK867" s="857"/>
      <c r="AL867" s="857"/>
      <c r="AM867" s="857"/>
      <c r="AN867" s="857"/>
      <c r="AO867" s="857"/>
      <c r="AP867" s="857"/>
      <c r="AQ867" s="857"/>
      <c r="AR867" s="857"/>
      <c r="AS867" s="857"/>
      <c r="AT867" s="855"/>
      <c r="AV867" s="857"/>
      <c r="AW867" s="857"/>
      <c r="AX867" s="857"/>
      <c r="AY867" s="857"/>
      <c r="AZ867" s="857"/>
      <c r="BA867" s="857"/>
      <c r="BB867" s="857"/>
      <c r="BC867" s="857"/>
      <c r="BD867" s="857"/>
      <c r="BE867" s="857"/>
      <c r="BF867" s="857"/>
      <c r="BG867" s="857"/>
    </row>
    <row r="868" spans="1:59" ht="15.75" customHeight="1">
      <c r="A868" s="857"/>
      <c r="B868" s="857"/>
      <c r="C868" s="857"/>
      <c r="D868" s="857"/>
      <c r="E868" s="857"/>
      <c r="F868" s="857"/>
      <c r="G868" s="857"/>
      <c r="H868" s="857"/>
      <c r="I868" s="857"/>
      <c r="J868" s="857"/>
      <c r="K868" s="857"/>
      <c r="L868" s="857"/>
      <c r="M868" s="857"/>
      <c r="N868" s="857"/>
      <c r="O868" s="857"/>
      <c r="P868" s="857"/>
      <c r="Q868" s="857"/>
      <c r="R868" s="857"/>
      <c r="S868" s="857"/>
      <c r="T868" s="857"/>
      <c r="U868" s="857"/>
      <c r="V868" s="857"/>
      <c r="W868" s="857"/>
      <c r="X868" s="857"/>
      <c r="Y868" s="857"/>
      <c r="Z868" s="857"/>
      <c r="AA868" s="857"/>
      <c r="AB868" s="857"/>
      <c r="AC868" s="857"/>
      <c r="AD868" s="857"/>
      <c r="AE868" s="857"/>
      <c r="AF868" s="857"/>
      <c r="AG868" s="857"/>
      <c r="AH868" s="857"/>
      <c r="AI868" s="857"/>
      <c r="AJ868" s="857"/>
      <c r="AK868" s="857"/>
      <c r="AL868" s="857"/>
      <c r="AM868" s="857"/>
      <c r="AN868" s="857"/>
      <c r="AO868" s="857"/>
      <c r="AP868" s="857"/>
      <c r="AQ868" s="857"/>
      <c r="AR868" s="857"/>
      <c r="AS868" s="857"/>
      <c r="AT868" s="855"/>
      <c r="AV868" s="857"/>
      <c r="AW868" s="857"/>
      <c r="AX868" s="857"/>
      <c r="AY868" s="857"/>
      <c r="AZ868" s="857"/>
      <c r="BA868" s="857"/>
      <c r="BB868" s="857"/>
      <c r="BC868" s="857"/>
      <c r="BD868" s="857"/>
      <c r="BE868" s="857"/>
      <c r="BF868" s="857"/>
      <c r="BG868" s="857"/>
    </row>
    <row r="869" spans="1:59" ht="15.75" customHeight="1">
      <c r="A869" s="857"/>
      <c r="B869" s="857"/>
      <c r="C869" s="857"/>
      <c r="D869" s="857"/>
      <c r="E869" s="857"/>
      <c r="F869" s="857"/>
      <c r="G869" s="857"/>
      <c r="H869" s="857"/>
      <c r="I869" s="857"/>
      <c r="J869" s="857"/>
      <c r="K869" s="857"/>
      <c r="L869" s="857"/>
      <c r="M869" s="857"/>
      <c r="N869" s="857"/>
      <c r="O869" s="857"/>
      <c r="P869" s="857"/>
      <c r="Q869" s="857"/>
      <c r="R869" s="857"/>
      <c r="S869" s="857"/>
      <c r="T869" s="857"/>
      <c r="U869" s="857"/>
      <c r="V869" s="857"/>
      <c r="W869" s="857"/>
      <c r="X869" s="857"/>
      <c r="Y869" s="857"/>
      <c r="Z869" s="857"/>
      <c r="AA869" s="857"/>
      <c r="AB869" s="857"/>
      <c r="AC869" s="857"/>
      <c r="AD869" s="857"/>
      <c r="AE869" s="857"/>
      <c r="AF869" s="857"/>
      <c r="AG869" s="857"/>
      <c r="AH869" s="857"/>
      <c r="AI869" s="857"/>
      <c r="AJ869" s="857"/>
      <c r="AK869" s="857"/>
      <c r="AL869" s="857"/>
      <c r="AM869" s="857"/>
      <c r="AN869" s="857"/>
      <c r="AO869" s="857"/>
      <c r="AP869" s="857"/>
      <c r="AQ869" s="857"/>
      <c r="AR869" s="857"/>
      <c r="AS869" s="857"/>
      <c r="AT869" s="855"/>
      <c r="AV869" s="857"/>
      <c r="AW869" s="857"/>
      <c r="AX869" s="857"/>
      <c r="AY869" s="857"/>
      <c r="AZ869" s="857"/>
      <c r="BA869" s="857"/>
      <c r="BB869" s="857"/>
      <c r="BC869" s="857"/>
      <c r="BD869" s="857"/>
      <c r="BE869" s="857"/>
      <c r="BF869" s="857"/>
      <c r="BG869" s="857"/>
    </row>
    <row r="870" spans="1:59" ht="15.75" customHeight="1">
      <c r="A870" s="857"/>
      <c r="B870" s="857"/>
      <c r="C870" s="857"/>
      <c r="D870" s="857"/>
      <c r="E870" s="857"/>
      <c r="F870" s="857"/>
      <c r="G870" s="857"/>
      <c r="H870" s="857"/>
      <c r="I870" s="857"/>
      <c r="J870" s="857"/>
      <c r="K870" s="857"/>
      <c r="L870" s="857"/>
      <c r="M870" s="857"/>
      <c r="N870" s="857"/>
      <c r="O870" s="857"/>
      <c r="P870" s="857"/>
      <c r="Q870" s="857"/>
      <c r="R870" s="857"/>
      <c r="S870" s="857"/>
      <c r="T870" s="857"/>
      <c r="U870" s="857"/>
      <c r="V870" s="857"/>
      <c r="W870" s="857"/>
      <c r="X870" s="857"/>
      <c r="Y870" s="857"/>
      <c r="Z870" s="857"/>
      <c r="AA870" s="857"/>
      <c r="AB870" s="857"/>
      <c r="AC870" s="857"/>
      <c r="AD870" s="857"/>
      <c r="AE870" s="857"/>
      <c r="AF870" s="857"/>
      <c r="AG870" s="857"/>
      <c r="AH870" s="857"/>
      <c r="AI870" s="857"/>
      <c r="AJ870" s="857"/>
      <c r="AK870" s="857"/>
      <c r="AL870" s="857"/>
      <c r="AM870" s="857"/>
      <c r="AN870" s="857"/>
      <c r="AO870" s="857"/>
      <c r="AP870" s="857"/>
      <c r="AQ870" s="857"/>
      <c r="AR870" s="857"/>
      <c r="AS870" s="857"/>
      <c r="AT870" s="855"/>
      <c r="AV870" s="857"/>
      <c r="AW870" s="857"/>
      <c r="AX870" s="857"/>
      <c r="AY870" s="857"/>
      <c r="AZ870" s="857"/>
      <c r="BA870" s="857"/>
      <c r="BB870" s="857"/>
      <c r="BC870" s="857"/>
      <c r="BD870" s="857"/>
      <c r="BE870" s="857"/>
      <c r="BF870" s="857"/>
      <c r="BG870" s="857"/>
    </row>
    <row r="871" spans="1:59" ht="15.75" customHeight="1">
      <c r="A871" s="857"/>
      <c r="B871" s="857"/>
      <c r="C871" s="857"/>
      <c r="D871" s="857"/>
      <c r="E871" s="857"/>
      <c r="F871" s="857"/>
      <c r="G871" s="857"/>
      <c r="H871" s="857"/>
      <c r="I871" s="857"/>
      <c r="J871" s="857"/>
      <c r="K871" s="857"/>
      <c r="L871" s="857"/>
      <c r="M871" s="857"/>
      <c r="N871" s="857"/>
      <c r="O871" s="857"/>
      <c r="P871" s="857"/>
      <c r="Q871" s="857"/>
      <c r="R871" s="857"/>
      <c r="S871" s="857"/>
      <c r="T871" s="857"/>
      <c r="U871" s="857"/>
      <c r="V871" s="857"/>
      <c r="W871" s="857"/>
      <c r="X871" s="857"/>
      <c r="Y871" s="857"/>
      <c r="Z871" s="857"/>
      <c r="AA871" s="857"/>
      <c r="AB871" s="857"/>
      <c r="AC871" s="857"/>
      <c r="AD871" s="857"/>
      <c r="AE871" s="857"/>
      <c r="AF871" s="857"/>
      <c r="AG871" s="857"/>
      <c r="AH871" s="857"/>
      <c r="AI871" s="857"/>
      <c r="AJ871" s="857"/>
      <c r="AK871" s="857"/>
      <c r="AL871" s="857"/>
      <c r="AM871" s="857"/>
      <c r="AN871" s="857"/>
      <c r="AO871" s="857"/>
      <c r="AP871" s="857"/>
      <c r="AQ871" s="857"/>
      <c r="AR871" s="857"/>
      <c r="AS871" s="857"/>
      <c r="AT871" s="855"/>
      <c r="AV871" s="857"/>
      <c r="AW871" s="857"/>
      <c r="AX871" s="857"/>
      <c r="AY871" s="857"/>
      <c r="AZ871" s="857"/>
      <c r="BA871" s="857"/>
      <c r="BB871" s="857"/>
      <c r="BC871" s="857"/>
      <c r="BD871" s="857"/>
      <c r="BE871" s="857"/>
      <c r="BF871" s="857"/>
      <c r="BG871" s="857"/>
    </row>
    <row r="872" spans="1:59" ht="15.75" customHeight="1">
      <c r="A872" s="857"/>
      <c r="B872" s="857"/>
      <c r="C872" s="857"/>
      <c r="D872" s="857"/>
      <c r="E872" s="857"/>
      <c r="F872" s="857"/>
      <c r="G872" s="857"/>
      <c r="H872" s="857"/>
      <c r="I872" s="857"/>
      <c r="J872" s="857"/>
      <c r="K872" s="857"/>
      <c r="L872" s="857"/>
      <c r="M872" s="857"/>
      <c r="N872" s="857"/>
      <c r="O872" s="857"/>
      <c r="P872" s="857"/>
      <c r="Q872" s="857"/>
      <c r="R872" s="857"/>
      <c r="S872" s="857"/>
      <c r="T872" s="857"/>
      <c r="U872" s="857"/>
      <c r="V872" s="857"/>
      <c r="W872" s="857"/>
      <c r="X872" s="857"/>
      <c r="Y872" s="857"/>
      <c r="Z872" s="857"/>
      <c r="AA872" s="857"/>
      <c r="AB872" s="857"/>
      <c r="AC872" s="857"/>
      <c r="AD872" s="857"/>
      <c r="AE872" s="857"/>
      <c r="AF872" s="857"/>
      <c r="AG872" s="857"/>
      <c r="AH872" s="857"/>
      <c r="AI872" s="857"/>
      <c r="AJ872" s="857"/>
      <c r="AK872" s="857"/>
      <c r="AL872" s="857"/>
      <c r="AM872" s="857"/>
      <c r="AN872" s="857"/>
      <c r="AO872" s="857"/>
      <c r="AP872" s="857"/>
      <c r="AQ872" s="857"/>
      <c r="AR872" s="857"/>
      <c r="AS872" s="857"/>
      <c r="AT872" s="855"/>
      <c r="AV872" s="857"/>
      <c r="AW872" s="857"/>
      <c r="AX872" s="857"/>
      <c r="AY872" s="857"/>
      <c r="AZ872" s="857"/>
      <c r="BA872" s="857"/>
      <c r="BB872" s="857"/>
      <c r="BC872" s="857"/>
      <c r="BD872" s="857"/>
      <c r="BE872" s="857"/>
      <c r="BF872" s="857"/>
      <c r="BG872" s="857"/>
    </row>
    <row r="873" spans="1:59" ht="15.75" customHeight="1">
      <c r="A873" s="857"/>
      <c r="B873" s="857"/>
      <c r="C873" s="857"/>
      <c r="D873" s="857"/>
      <c r="E873" s="857"/>
      <c r="F873" s="857"/>
      <c r="G873" s="857"/>
      <c r="H873" s="857"/>
      <c r="I873" s="857"/>
      <c r="J873" s="857"/>
      <c r="K873" s="857"/>
      <c r="L873" s="857"/>
      <c r="M873" s="857"/>
      <c r="N873" s="857"/>
      <c r="O873" s="857"/>
      <c r="P873" s="857"/>
      <c r="Q873" s="857"/>
      <c r="R873" s="857"/>
      <c r="S873" s="857"/>
      <c r="T873" s="857"/>
      <c r="U873" s="857"/>
      <c r="V873" s="857"/>
      <c r="W873" s="857"/>
      <c r="X873" s="857"/>
      <c r="Y873" s="857"/>
      <c r="Z873" s="857"/>
      <c r="AA873" s="857"/>
      <c r="AB873" s="857"/>
      <c r="AC873" s="857"/>
      <c r="AD873" s="857"/>
      <c r="AE873" s="857"/>
      <c r="AF873" s="857"/>
      <c r="AG873" s="857"/>
      <c r="AH873" s="857"/>
      <c r="AI873" s="857"/>
      <c r="AJ873" s="857"/>
      <c r="AK873" s="857"/>
      <c r="AL873" s="857"/>
      <c r="AM873" s="857"/>
      <c r="AN873" s="857"/>
      <c r="AO873" s="857"/>
      <c r="AP873" s="857"/>
      <c r="AQ873" s="857"/>
      <c r="AR873" s="857"/>
      <c r="AS873" s="857"/>
      <c r="AT873" s="855"/>
      <c r="AV873" s="857"/>
      <c r="AW873" s="857"/>
      <c r="AX873" s="857"/>
      <c r="AY873" s="857"/>
      <c r="AZ873" s="857"/>
      <c r="BA873" s="857"/>
      <c r="BB873" s="857"/>
      <c r="BC873" s="857"/>
      <c r="BD873" s="857"/>
      <c r="BE873" s="857"/>
      <c r="BF873" s="857"/>
      <c r="BG873" s="857"/>
    </row>
    <row r="874" spans="1:59" ht="15.75" customHeight="1">
      <c r="A874" s="857"/>
      <c r="B874" s="857"/>
      <c r="C874" s="857"/>
      <c r="D874" s="857"/>
      <c r="E874" s="857"/>
      <c r="F874" s="857"/>
      <c r="G874" s="857"/>
      <c r="H874" s="857"/>
      <c r="I874" s="857"/>
      <c r="J874" s="857"/>
      <c r="K874" s="857"/>
      <c r="L874" s="857"/>
      <c r="M874" s="857"/>
      <c r="N874" s="857"/>
      <c r="O874" s="857"/>
      <c r="P874" s="857"/>
      <c r="Q874" s="857"/>
      <c r="R874" s="857"/>
      <c r="S874" s="857"/>
      <c r="T874" s="857"/>
      <c r="U874" s="857"/>
      <c r="V874" s="857"/>
      <c r="W874" s="857"/>
      <c r="X874" s="857"/>
      <c r="Y874" s="857"/>
      <c r="Z874" s="857"/>
      <c r="AA874" s="857"/>
      <c r="AB874" s="857"/>
      <c r="AC874" s="857"/>
      <c r="AD874" s="857"/>
      <c r="AE874" s="857"/>
      <c r="AF874" s="857"/>
      <c r="AG874" s="857"/>
      <c r="AH874" s="857"/>
      <c r="AI874" s="857"/>
      <c r="AJ874" s="857"/>
      <c r="AK874" s="857"/>
      <c r="AL874" s="857"/>
      <c r="AM874" s="857"/>
      <c r="AN874" s="857"/>
      <c r="AO874" s="857"/>
      <c r="AP874" s="857"/>
      <c r="AQ874" s="857"/>
      <c r="AR874" s="857"/>
      <c r="AS874" s="857"/>
      <c r="AT874" s="855"/>
      <c r="AV874" s="857"/>
      <c r="AW874" s="857"/>
      <c r="AX874" s="857"/>
      <c r="AY874" s="857"/>
      <c r="AZ874" s="857"/>
      <c r="BA874" s="857"/>
      <c r="BB874" s="857"/>
      <c r="BC874" s="857"/>
      <c r="BD874" s="857"/>
      <c r="BE874" s="857"/>
      <c r="BF874" s="857"/>
      <c r="BG874" s="857"/>
    </row>
    <row r="875" spans="1:59" ht="15.75" customHeight="1">
      <c r="A875" s="857"/>
      <c r="B875" s="857"/>
      <c r="C875" s="857"/>
      <c r="D875" s="857"/>
      <c r="E875" s="857"/>
      <c r="F875" s="857"/>
      <c r="G875" s="857"/>
      <c r="H875" s="857"/>
      <c r="I875" s="857"/>
      <c r="J875" s="857"/>
      <c r="K875" s="857"/>
      <c r="L875" s="857"/>
      <c r="M875" s="857"/>
      <c r="N875" s="857"/>
      <c r="O875" s="857"/>
      <c r="P875" s="857"/>
      <c r="Q875" s="857"/>
      <c r="R875" s="857"/>
      <c r="S875" s="857"/>
      <c r="T875" s="857"/>
      <c r="U875" s="857"/>
      <c r="V875" s="857"/>
      <c r="W875" s="857"/>
      <c r="X875" s="857"/>
      <c r="Y875" s="857"/>
      <c r="Z875" s="857"/>
      <c r="AA875" s="857"/>
      <c r="AB875" s="857"/>
      <c r="AC875" s="857"/>
      <c r="AD875" s="857"/>
      <c r="AE875" s="857"/>
      <c r="AF875" s="857"/>
      <c r="AG875" s="857"/>
      <c r="AH875" s="857"/>
      <c r="AI875" s="857"/>
      <c r="AJ875" s="857"/>
      <c r="AK875" s="857"/>
      <c r="AL875" s="857"/>
      <c r="AM875" s="857"/>
      <c r="AN875" s="857"/>
      <c r="AO875" s="857"/>
      <c r="AP875" s="857"/>
      <c r="AQ875" s="857"/>
      <c r="AR875" s="857"/>
      <c r="AS875" s="857"/>
      <c r="AT875" s="855"/>
      <c r="AV875" s="857"/>
      <c r="AW875" s="857"/>
      <c r="AX875" s="857"/>
      <c r="AY875" s="857"/>
      <c r="AZ875" s="857"/>
      <c r="BA875" s="857"/>
      <c r="BB875" s="857"/>
      <c r="BC875" s="857"/>
      <c r="BD875" s="857"/>
      <c r="BE875" s="857"/>
      <c r="BF875" s="857"/>
      <c r="BG875" s="857"/>
    </row>
    <row r="876" spans="1:59" ht="15.75" customHeight="1">
      <c r="A876" s="857"/>
      <c r="B876" s="857"/>
      <c r="C876" s="857"/>
      <c r="D876" s="857"/>
      <c r="E876" s="857"/>
      <c r="F876" s="857"/>
      <c r="G876" s="857"/>
      <c r="H876" s="857"/>
      <c r="I876" s="857"/>
      <c r="J876" s="857"/>
      <c r="K876" s="857"/>
      <c r="L876" s="857"/>
      <c r="M876" s="857"/>
      <c r="N876" s="857"/>
      <c r="O876" s="857"/>
      <c r="P876" s="857"/>
      <c r="Q876" s="857"/>
      <c r="R876" s="857"/>
      <c r="S876" s="857"/>
      <c r="T876" s="857"/>
      <c r="U876" s="857"/>
      <c r="V876" s="857"/>
      <c r="W876" s="857"/>
      <c r="X876" s="857"/>
      <c r="Y876" s="857"/>
      <c r="Z876" s="857"/>
      <c r="AA876" s="857"/>
      <c r="AB876" s="857"/>
      <c r="AC876" s="857"/>
      <c r="AD876" s="857"/>
      <c r="AE876" s="857"/>
      <c r="AF876" s="857"/>
      <c r="AG876" s="857"/>
      <c r="AH876" s="857"/>
      <c r="AI876" s="857"/>
      <c r="AJ876" s="857"/>
      <c r="AK876" s="857"/>
      <c r="AL876" s="857"/>
      <c r="AM876" s="857"/>
      <c r="AN876" s="857"/>
      <c r="AO876" s="857"/>
      <c r="AP876" s="857"/>
      <c r="AQ876" s="857"/>
      <c r="AR876" s="857"/>
      <c r="AS876" s="857"/>
      <c r="AT876" s="855"/>
      <c r="AV876" s="857"/>
      <c r="AW876" s="857"/>
      <c r="AX876" s="857"/>
      <c r="AY876" s="857"/>
      <c r="AZ876" s="857"/>
      <c r="BA876" s="857"/>
      <c r="BB876" s="857"/>
      <c r="BC876" s="857"/>
      <c r="BD876" s="857"/>
      <c r="BE876" s="857"/>
      <c r="BF876" s="857"/>
      <c r="BG876" s="857"/>
    </row>
    <row r="877" spans="1:59" ht="15.75" customHeight="1">
      <c r="A877" s="857"/>
      <c r="B877" s="857"/>
      <c r="C877" s="857"/>
      <c r="D877" s="857"/>
      <c r="E877" s="857"/>
      <c r="F877" s="857"/>
      <c r="G877" s="857"/>
      <c r="H877" s="857"/>
      <c r="I877" s="857"/>
      <c r="J877" s="857"/>
      <c r="K877" s="857"/>
      <c r="L877" s="857"/>
      <c r="M877" s="857"/>
      <c r="N877" s="857"/>
      <c r="O877" s="857"/>
      <c r="P877" s="857"/>
      <c r="Q877" s="857"/>
      <c r="R877" s="857"/>
      <c r="S877" s="857"/>
      <c r="T877" s="857"/>
      <c r="U877" s="857"/>
      <c r="V877" s="857"/>
      <c r="W877" s="857"/>
      <c r="X877" s="857"/>
      <c r="Y877" s="857"/>
      <c r="Z877" s="857"/>
      <c r="AA877" s="857"/>
      <c r="AB877" s="857"/>
      <c r="AC877" s="857"/>
      <c r="AD877" s="857"/>
      <c r="AE877" s="857"/>
      <c r="AF877" s="857"/>
      <c r="AG877" s="857"/>
      <c r="AH877" s="857"/>
      <c r="AI877" s="857"/>
      <c r="AJ877" s="857"/>
      <c r="AK877" s="857"/>
      <c r="AL877" s="857"/>
      <c r="AM877" s="857"/>
      <c r="AN877" s="857"/>
      <c r="AO877" s="857"/>
      <c r="AP877" s="857"/>
      <c r="AQ877" s="857"/>
      <c r="AR877" s="857"/>
      <c r="AS877" s="857"/>
      <c r="AT877" s="855"/>
      <c r="AV877" s="857"/>
      <c r="AW877" s="857"/>
      <c r="AX877" s="857"/>
      <c r="AY877" s="857"/>
      <c r="AZ877" s="857"/>
      <c r="BA877" s="857"/>
      <c r="BB877" s="857"/>
      <c r="BC877" s="857"/>
      <c r="BD877" s="857"/>
      <c r="BE877" s="857"/>
      <c r="BF877" s="857"/>
      <c r="BG877" s="857"/>
    </row>
    <row r="878" spans="1:59" ht="15.75" customHeight="1">
      <c r="A878" s="857"/>
      <c r="B878" s="857"/>
      <c r="C878" s="857"/>
      <c r="D878" s="857"/>
      <c r="E878" s="857"/>
      <c r="F878" s="857"/>
      <c r="G878" s="857"/>
      <c r="H878" s="857"/>
      <c r="I878" s="857"/>
      <c r="J878" s="857"/>
      <c r="K878" s="857"/>
      <c r="L878" s="857"/>
      <c r="M878" s="857"/>
      <c r="N878" s="857"/>
      <c r="O878" s="857"/>
      <c r="P878" s="857"/>
      <c r="Q878" s="857"/>
      <c r="R878" s="857"/>
      <c r="S878" s="857"/>
      <c r="T878" s="857"/>
      <c r="U878" s="857"/>
      <c r="V878" s="857"/>
      <c r="W878" s="857"/>
      <c r="X878" s="857"/>
      <c r="Y878" s="857"/>
      <c r="Z878" s="857"/>
      <c r="AA878" s="857"/>
      <c r="AB878" s="857"/>
      <c r="AC878" s="857"/>
      <c r="AD878" s="857"/>
      <c r="AE878" s="857"/>
      <c r="AF878" s="857"/>
      <c r="AG878" s="857"/>
      <c r="AH878" s="857"/>
      <c r="AI878" s="857"/>
      <c r="AJ878" s="857"/>
      <c r="AK878" s="857"/>
      <c r="AL878" s="857"/>
      <c r="AM878" s="857"/>
      <c r="AN878" s="857"/>
      <c r="AO878" s="857"/>
      <c r="AP878" s="857"/>
      <c r="AQ878" s="857"/>
      <c r="AR878" s="857"/>
      <c r="AS878" s="857"/>
      <c r="AT878" s="855"/>
      <c r="AV878" s="857"/>
      <c r="AW878" s="857"/>
      <c r="AX878" s="857"/>
      <c r="AY878" s="857"/>
      <c r="AZ878" s="857"/>
      <c r="BA878" s="857"/>
      <c r="BB878" s="857"/>
      <c r="BC878" s="857"/>
      <c r="BD878" s="857"/>
      <c r="BE878" s="857"/>
      <c r="BF878" s="857"/>
      <c r="BG878" s="857"/>
    </row>
    <row r="879" spans="1:59" ht="15.75" customHeight="1">
      <c r="A879" s="857"/>
      <c r="B879" s="857"/>
      <c r="C879" s="857"/>
      <c r="D879" s="857"/>
      <c r="E879" s="857"/>
      <c r="F879" s="857"/>
      <c r="G879" s="857"/>
      <c r="H879" s="857"/>
      <c r="I879" s="857"/>
      <c r="J879" s="857"/>
      <c r="K879" s="857"/>
      <c r="L879" s="857"/>
      <c r="M879" s="857"/>
      <c r="N879" s="857"/>
      <c r="O879" s="857"/>
      <c r="P879" s="857"/>
      <c r="Q879" s="857"/>
      <c r="R879" s="857"/>
      <c r="S879" s="857"/>
      <c r="T879" s="857"/>
      <c r="U879" s="857"/>
      <c r="V879" s="857"/>
      <c r="W879" s="857"/>
      <c r="X879" s="857"/>
      <c r="Y879" s="857"/>
      <c r="Z879" s="857"/>
      <c r="AA879" s="857"/>
      <c r="AB879" s="857"/>
      <c r="AC879" s="857"/>
      <c r="AD879" s="857"/>
      <c r="AE879" s="857"/>
      <c r="AF879" s="857"/>
      <c r="AG879" s="857"/>
      <c r="AH879" s="857"/>
      <c r="AI879" s="857"/>
      <c r="AJ879" s="857"/>
      <c r="AK879" s="857"/>
      <c r="AL879" s="857"/>
      <c r="AM879" s="857"/>
      <c r="AN879" s="857"/>
      <c r="AO879" s="857"/>
      <c r="AP879" s="857"/>
      <c r="AQ879" s="857"/>
      <c r="AR879" s="857"/>
      <c r="AS879" s="857"/>
      <c r="AT879" s="855"/>
      <c r="AV879" s="857"/>
      <c r="AW879" s="857"/>
      <c r="AX879" s="857"/>
      <c r="AY879" s="857"/>
      <c r="AZ879" s="857"/>
      <c r="BA879" s="857"/>
      <c r="BB879" s="857"/>
      <c r="BC879" s="857"/>
      <c r="BD879" s="857"/>
      <c r="BE879" s="857"/>
      <c r="BF879" s="857"/>
      <c r="BG879" s="857"/>
    </row>
    <row r="880" spans="1:59" ht="15.75" customHeight="1">
      <c r="A880" s="857"/>
      <c r="B880" s="857"/>
      <c r="C880" s="857"/>
      <c r="D880" s="857"/>
      <c r="E880" s="857"/>
      <c r="F880" s="857"/>
      <c r="G880" s="857"/>
      <c r="H880" s="857"/>
      <c r="I880" s="857"/>
      <c r="J880" s="857"/>
      <c r="K880" s="857"/>
      <c r="L880" s="857"/>
      <c r="M880" s="857"/>
      <c r="N880" s="857"/>
      <c r="O880" s="857"/>
      <c r="P880" s="857"/>
      <c r="Q880" s="857"/>
      <c r="R880" s="857"/>
      <c r="S880" s="857"/>
      <c r="T880" s="857"/>
      <c r="U880" s="857"/>
      <c r="V880" s="857"/>
      <c r="W880" s="857"/>
      <c r="X880" s="857"/>
      <c r="Y880" s="857"/>
      <c r="Z880" s="857"/>
      <c r="AA880" s="857"/>
      <c r="AB880" s="857"/>
      <c r="AC880" s="857"/>
      <c r="AD880" s="857"/>
      <c r="AE880" s="857"/>
      <c r="AF880" s="857"/>
      <c r="AG880" s="857"/>
      <c r="AH880" s="857"/>
      <c r="AI880" s="857"/>
      <c r="AJ880" s="857"/>
      <c r="AK880" s="857"/>
      <c r="AL880" s="857"/>
      <c r="AM880" s="857"/>
      <c r="AN880" s="857"/>
      <c r="AO880" s="857"/>
      <c r="AP880" s="857"/>
      <c r="AQ880" s="857"/>
      <c r="AR880" s="857"/>
      <c r="AS880" s="857"/>
      <c r="AT880" s="855"/>
      <c r="AV880" s="857"/>
      <c r="AW880" s="857"/>
      <c r="AX880" s="857"/>
      <c r="AY880" s="857"/>
      <c r="AZ880" s="857"/>
      <c r="BA880" s="857"/>
      <c r="BB880" s="857"/>
      <c r="BC880" s="857"/>
      <c r="BD880" s="857"/>
      <c r="BE880" s="857"/>
      <c r="BF880" s="857"/>
      <c r="BG880" s="857"/>
    </row>
    <row r="881" spans="1:59" ht="15.75" customHeight="1">
      <c r="A881" s="857"/>
      <c r="B881" s="857"/>
      <c r="C881" s="857"/>
      <c r="D881" s="857"/>
      <c r="E881" s="857"/>
      <c r="F881" s="857"/>
      <c r="G881" s="857"/>
      <c r="H881" s="857"/>
      <c r="I881" s="857"/>
      <c r="J881" s="857"/>
      <c r="K881" s="857"/>
      <c r="L881" s="857"/>
      <c r="M881" s="857"/>
      <c r="N881" s="857"/>
      <c r="O881" s="857"/>
      <c r="P881" s="857"/>
      <c r="Q881" s="857"/>
      <c r="R881" s="857"/>
      <c r="S881" s="857"/>
      <c r="T881" s="857"/>
      <c r="U881" s="857"/>
      <c r="V881" s="857"/>
      <c r="W881" s="857"/>
      <c r="X881" s="857"/>
      <c r="Y881" s="857"/>
      <c r="Z881" s="857"/>
      <c r="AA881" s="857"/>
      <c r="AB881" s="857"/>
      <c r="AC881" s="857"/>
      <c r="AD881" s="857"/>
      <c r="AE881" s="857"/>
      <c r="AF881" s="857"/>
      <c r="AG881" s="857"/>
      <c r="AH881" s="857"/>
      <c r="AI881" s="857"/>
      <c r="AJ881" s="857"/>
      <c r="AK881" s="857"/>
      <c r="AL881" s="857"/>
      <c r="AM881" s="857"/>
      <c r="AN881" s="857"/>
      <c r="AO881" s="857"/>
      <c r="AP881" s="857"/>
      <c r="AQ881" s="857"/>
      <c r="AR881" s="857"/>
      <c r="AS881" s="857"/>
      <c r="AT881" s="855"/>
      <c r="AV881" s="857"/>
      <c r="AW881" s="857"/>
      <c r="AX881" s="857"/>
      <c r="AY881" s="857"/>
      <c r="AZ881" s="857"/>
      <c r="BA881" s="857"/>
      <c r="BB881" s="857"/>
      <c r="BC881" s="857"/>
      <c r="BD881" s="857"/>
      <c r="BE881" s="857"/>
      <c r="BF881" s="857"/>
      <c r="BG881" s="857"/>
    </row>
    <row r="882" spans="1:59" ht="15.75" customHeight="1">
      <c r="A882" s="857"/>
      <c r="B882" s="857"/>
      <c r="C882" s="857"/>
      <c r="D882" s="857"/>
      <c r="E882" s="857"/>
      <c r="F882" s="857"/>
      <c r="G882" s="857"/>
      <c r="H882" s="857"/>
      <c r="I882" s="857"/>
      <c r="J882" s="857"/>
      <c r="K882" s="857"/>
      <c r="L882" s="857"/>
      <c r="M882" s="857"/>
      <c r="N882" s="857"/>
      <c r="O882" s="857"/>
      <c r="P882" s="857"/>
      <c r="Q882" s="857"/>
      <c r="R882" s="857"/>
      <c r="S882" s="857"/>
      <c r="T882" s="857"/>
      <c r="U882" s="857"/>
      <c r="V882" s="857"/>
      <c r="W882" s="857"/>
      <c r="X882" s="857"/>
      <c r="Y882" s="857"/>
      <c r="Z882" s="857"/>
      <c r="AA882" s="857"/>
      <c r="AB882" s="857"/>
      <c r="AC882" s="857"/>
      <c r="AD882" s="857"/>
      <c r="AE882" s="857"/>
      <c r="AF882" s="857"/>
      <c r="AG882" s="857"/>
      <c r="AH882" s="857"/>
      <c r="AI882" s="857"/>
      <c r="AJ882" s="857"/>
      <c r="AK882" s="857"/>
      <c r="AL882" s="857"/>
      <c r="AM882" s="857"/>
      <c r="AN882" s="857"/>
      <c r="AO882" s="857"/>
      <c r="AP882" s="857"/>
      <c r="AQ882" s="857"/>
      <c r="AR882" s="857"/>
      <c r="AS882" s="857"/>
      <c r="AT882" s="855"/>
      <c r="AV882" s="857"/>
      <c r="AW882" s="857"/>
      <c r="AX882" s="857"/>
      <c r="AY882" s="857"/>
      <c r="AZ882" s="857"/>
      <c r="BA882" s="857"/>
      <c r="BB882" s="857"/>
      <c r="BC882" s="857"/>
      <c r="BD882" s="857"/>
      <c r="BE882" s="857"/>
      <c r="BF882" s="857"/>
      <c r="BG882" s="857"/>
    </row>
    <row r="883" spans="1:59" ht="15.75" customHeight="1">
      <c r="A883" s="857"/>
      <c r="B883" s="857"/>
      <c r="C883" s="857"/>
      <c r="D883" s="857"/>
      <c r="E883" s="857"/>
      <c r="F883" s="857"/>
      <c r="G883" s="857"/>
      <c r="H883" s="857"/>
      <c r="I883" s="857"/>
      <c r="J883" s="857"/>
      <c r="K883" s="857"/>
      <c r="L883" s="857"/>
      <c r="M883" s="857"/>
      <c r="N883" s="857"/>
      <c r="O883" s="857"/>
      <c r="P883" s="857"/>
      <c r="Q883" s="857"/>
      <c r="R883" s="857"/>
      <c r="S883" s="857"/>
      <c r="T883" s="857"/>
      <c r="U883" s="857"/>
      <c r="V883" s="857"/>
      <c r="W883" s="857"/>
      <c r="X883" s="857"/>
      <c r="Y883" s="857"/>
      <c r="Z883" s="857"/>
      <c r="AA883" s="857"/>
      <c r="AB883" s="857"/>
      <c r="AC883" s="857"/>
      <c r="AD883" s="857"/>
      <c r="AE883" s="857"/>
      <c r="AF883" s="857"/>
      <c r="AG883" s="857"/>
      <c r="AH883" s="857"/>
      <c r="AI883" s="857"/>
      <c r="AJ883" s="857"/>
      <c r="AK883" s="857"/>
      <c r="AL883" s="857"/>
      <c r="AM883" s="857"/>
      <c r="AN883" s="857"/>
      <c r="AO883" s="857"/>
      <c r="AP883" s="857"/>
      <c r="AQ883" s="857"/>
      <c r="AR883" s="857"/>
      <c r="AS883" s="857"/>
      <c r="AT883" s="855"/>
      <c r="AV883" s="857"/>
      <c r="AW883" s="857"/>
      <c r="AX883" s="857"/>
      <c r="AY883" s="857"/>
      <c r="AZ883" s="857"/>
      <c r="BA883" s="857"/>
      <c r="BB883" s="857"/>
      <c r="BC883" s="857"/>
      <c r="BD883" s="857"/>
      <c r="BE883" s="857"/>
      <c r="BF883" s="857"/>
      <c r="BG883" s="857"/>
    </row>
    <row r="884" spans="1:59" ht="15.75" customHeight="1">
      <c r="A884" s="857"/>
      <c r="B884" s="857"/>
      <c r="C884" s="857"/>
      <c r="D884" s="857"/>
      <c r="E884" s="857"/>
      <c r="F884" s="857"/>
      <c r="G884" s="857"/>
      <c r="H884" s="857"/>
      <c r="I884" s="857"/>
      <c r="J884" s="857"/>
      <c r="K884" s="857"/>
      <c r="L884" s="857"/>
      <c r="M884" s="857"/>
      <c r="N884" s="857"/>
      <c r="O884" s="857"/>
      <c r="P884" s="857"/>
      <c r="Q884" s="857"/>
      <c r="R884" s="857"/>
      <c r="S884" s="857"/>
      <c r="T884" s="857"/>
      <c r="U884" s="857"/>
      <c r="V884" s="857"/>
      <c r="W884" s="857"/>
      <c r="X884" s="857"/>
      <c r="Y884" s="857"/>
      <c r="Z884" s="857"/>
      <c r="AA884" s="857"/>
      <c r="AB884" s="857"/>
      <c r="AC884" s="857"/>
      <c r="AD884" s="857"/>
      <c r="AE884" s="857"/>
      <c r="AF884" s="857"/>
      <c r="AG884" s="857"/>
      <c r="AH884" s="857"/>
      <c r="AI884" s="857"/>
      <c r="AJ884" s="857"/>
      <c r="AK884" s="857"/>
      <c r="AL884" s="857"/>
      <c r="AM884" s="857"/>
      <c r="AN884" s="857"/>
      <c r="AO884" s="857"/>
      <c r="AP884" s="857"/>
      <c r="AQ884" s="857"/>
      <c r="AR884" s="857"/>
      <c r="AS884" s="857"/>
      <c r="AT884" s="855"/>
      <c r="AV884" s="857"/>
      <c r="AW884" s="857"/>
      <c r="AX884" s="857"/>
      <c r="AY884" s="857"/>
      <c r="AZ884" s="857"/>
      <c r="BA884" s="857"/>
      <c r="BB884" s="857"/>
      <c r="BC884" s="857"/>
      <c r="BD884" s="857"/>
      <c r="BE884" s="857"/>
      <c r="BF884" s="857"/>
      <c r="BG884" s="857"/>
    </row>
    <row r="885" spans="1:59" ht="15.75" customHeight="1">
      <c r="A885" s="857"/>
      <c r="B885" s="857"/>
      <c r="C885" s="857"/>
      <c r="D885" s="857"/>
      <c r="E885" s="857"/>
      <c r="F885" s="857"/>
      <c r="G885" s="857"/>
      <c r="H885" s="857"/>
      <c r="I885" s="857"/>
      <c r="J885" s="857"/>
      <c r="K885" s="857"/>
      <c r="L885" s="857"/>
      <c r="M885" s="857"/>
      <c r="N885" s="857"/>
      <c r="O885" s="857"/>
      <c r="P885" s="857"/>
      <c r="Q885" s="857"/>
      <c r="R885" s="857"/>
      <c r="S885" s="857"/>
      <c r="T885" s="857"/>
      <c r="U885" s="857"/>
      <c r="V885" s="857"/>
      <c r="W885" s="857"/>
      <c r="X885" s="857"/>
      <c r="Y885" s="857"/>
      <c r="Z885" s="857"/>
      <c r="AA885" s="857"/>
      <c r="AB885" s="857"/>
      <c r="AC885" s="857"/>
      <c r="AD885" s="857"/>
      <c r="AE885" s="857"/>
      <c r="AF885" s="857"/>
      <c r="AG885" s="857"/>
      <c r="AH885" s="857"/>
      <c r="AI885" s="857"/>
      <c r="AJ885" s="857"/>
      <c r="AK885" s="857"/>
      <c r="AL885" s="857"/>
      <c r="AM885" s="857"/>
      <c r="AN885" s="857"/>
      <c r="AO885" s="857"/>
      <c r="AP885" s="857"/>
      <c r="AQ885" s="857"/>
      <c r="AR885" s="857"/>
      <c r="AS885" s="857"/>
      <c r="AT885" s="855"/>
      <c r="AV885" s="857"/>
      <c r="AW885" s="857"/>
      <c r="AX885" s="857"/>
      <c r="AY885" s="857"/>
      <c r="AZ885" s="857"/>
      <c r="BA885" s="857"/>
      <c r="BB885" s="857"/>
      <c r="BC885" s="857"/>
      <c r="BD885" s="857"/>
      <c r="BE885" s="857"/>
      <c r="BF885" s="857"/>
      <c r="BG885" s="857"/>
    </row>
    <row r="886" spans="1:59" ht="15.75" customHeight="1">
      <c r="A886" s="857"/>
      <c r="B886" s="857"/>
      <c r="C886" s="857"/>
      <c r="D886" s="857"/>
      <c r="E886" s="857"/>
      <c r="F886" s="857"/>
      <c r="G886" s="857"/>
      <c r="H886" s="857"/>
      <c r="I886" s="857"/>
      <c r="J886" s="857"/>
      <c r="K886" s="857"/>
      <c r="L886" s="857"/>
      <c r="M886" s="857"/>
      <c r="N886" s="857"/>
      <c r="O886" s="857"/>
      <c r="P886" s="857"/>
      <c r="Q886" s="857"/>
      <c r="R886" s="857"/>
      <c r="S886" s="857"/>
      <c r="T886" s="857"/>
      <c r="U886" s="857"/>
      <c r="V886" s="857"/>
      <c r="W886" s="857"/>
      <c r="X886" s="857"/>
      <c r="Y886" s="857"/>
      <c r="Z886" s="857"/>
      <c r="AA886" s="857"/>
      <c r="AB886" s="857"/>
      <c r="AC886" s="857"/>
      <c r="AD886" s="857"/>
      <c r="AE886" s="857"/>
      <c r="AF886" s="857"/>
      <c r="AG886" s="857"/>
      <c r="AH886" s="857"/>
      <c r="AI886" s="857"/>
      <c r="AJ886" s="857"/>
      <c r="AK886" s="857"/>
      <c r="AL886" s="857"/>
      <c r="AM886" s="857"/>
      <c r="AN886" s="857"/>
      <c r="AO886" s="857"/>
      <c r="AP886" s="857"/>
      <c r="AQ886" s="857"/>
      <c r="AR886" s="857"/>
      <c r="AS886" s="857"/>
      <c r="AT886" s="855"/>
      <c r="AV886" s="857"/>
      <c r="AW886" s="857"/>
      <c r="AX886" s="857"/>
      <c r="AY886" s="857"/>
      <c r="AZ886" s="857"/>
      <c r="BA886" s="857"/>
      <c r="BB886" s="857"/>
      <c r="BC886" s="857"/>
      <c r="BD886" s="857"/>
      <c r="BE886" s="857"/>
      <c r="BF886" s="857"/>
      <c r="BG886" s="857"/>
    </row>
    <row r="887" spans="1:59" ht="15.75" customHeight="1">
      <c r="A887" s="857"/>
      <c r="B887" s="857"/>
      <c r="C887" s="857"/>
      <c r="D887" s="857"/>
      <c r="E887" s="857"/>
      <c r="F887" s="857"/>
      <c r="G887" s="857"/>
      <c r="H887" s="857"/>
      <c r="I887" s="857"/>
      <c r="J887" s="857"/>
      <c r="K887" s="857"/>
      <c r="L887" s="857"/>
      <c r="M887" s="857"/>
      <c r="N887" s="857"/>
      <c r="O887" s="857"/>
      <c r="P887" s="857"/>
      <c r="Q887" s="857"/>
      <c r="R887" s="857"/>
      <c r="S887" s="857"/>
      <c r="T887" s="857"/>
      <c r="U887" s="857"/>
      <c r="V887" s="857"/>
      <c r="W887" s="857"/>
      <c r="X887" s="857"/>
      <c r="Y887" s="857"/>
      <c r="Z887" s="857"/>
      <c r="AA887" s="857"/>
      <c r="AB887" s="857"/>
      <c r="AC887" s="857"/>
      <c r="AD887" s="857"/>
      <c r="AE887" s="857"/>
      <c r="AF887" s="857"/>
      <c r="AG887" s="857"/>
      <c r="AH887" s="857"/>
      <c r="AI887" s="857"/>
      <c r="AJ887" s="857"/>
      <c r="AK887" s="857"/>
      <c r="AL887" s="857"/>
      <c r="AM887" s="857"/>
      <c r="AN887" s="857"/>
      <c r="AO887" s="857"/>
      <c r="AP887" s="857"/>
      <c r="AQ887" s="857"/>
      <c r="AR887" s="857"/>
      <c r="AS887" s="857"/>
      <c r="AT887" s="855"/>
      <c r="AV887" s="857"/>
      <c r="AW887" s="857"/>
      <c r="AX887" s="857"/>
      <c r="AY887" s="857"/>
      <c r="AZ887" s="857"/>
      <c r="BA887" s="857"/>
      <c r="BB887" s="857"/>
      <c r="BC887" s="857"/>
      <c r="BD887" s="857"/>
      <c r="BE887" s="857"/>
      <c r="BF887" s="857"/>
      <c r="BG887" s="857"/>
    </row>
    <row r="888" spans="1:59" ht="15.75" customHeight="1">
      <c r="A888" s="857"/>
      <c r="B888" s="857"/>
      <c r="C888" s="857"/>
      <c r="D888" s="857"/>
      <c r="E888" s="857"/>
      <c r="F888" s="857"/>
      <c r="G888" s="857"/>
      <c r="H888" s="857"/>
      <c r="I888" s="857"/>
      <c r="J888" s="857"/>
      <c r="K888" s="857"/>
      <c r="L888" s="857"/>
      <c r="M888" s="857"/>
      <c r="N888" s="857"/>
      <c r="O888" s="857"/>
      <c r="P888" s="857"/>
      <c r="Q888" s="857"/>
      <c r="R888" s="857"/>
      <c r="S888" s="857"/>
      <c r="T888" s="857"/>
      <c r="U888" s="857"/>
      <c r="V888" s="857"/>
      <c r="W888" s="857"/>
      <c r="X888" s="857"/>
      <c r="Y888" s="857"/>
      <c r="Z888" s="857"/>
      <c r="AA888" s="857"/>
      <c r="AB888" s="857"/>
      <c r="AC888" s="857"/>
      <c r="AD888" s="857"/>
      <c r="AE888" s="857"/>
      <c r="AF888" s="857"/>
      <c r="AG888" s="857"/>
      <c r="AH888" s="857"/>
      <c r="AI888" s="857"/>
      <c r="AJ888" s="857"/>
      <c r="AK888" s="857"/>
      <c r="AL888" s="857"/>
      <c r="AM888" s="857"/>
      <c r="AN888" s="857"/>
      <c r="AO888" s="857"/>
      <c r="AP888" s="857"/>
      <c r="AQ888" s="857"/>
      <c r="AR888" s="857"/>
      <c r="AS888" s="857"/>
      <c r="AT888" s="855"/>
      <c r="AV888" s="857"/>
      <c r="AW888" s="857"/>
      <c r="AX888" s="857"/>
      <c r="AY888" s="857"/>
      <c r="AZ888" s="857"/>
      <c r="BA888" s="857"/>
      <c r="BB888" s="857"/>
      <c r="BC888" s="857"/>
      <c r="BD888" s="857"/>
      <c r="BE888" s="857"/>
      <c r="BF888" s="857"/>
      <c r="BG888" s="857"/>
    </row>
    <row r="889" spans="1:59" ht="15.75" customHeight="1">
      <c r="A889" s="857"/>
      <c r="B889" s="857"/>
      <c r="C889" s="857"/>
      <c r="D889" s="857"/>
      <c r="E889" s="857"/>
      <c r="F889" s="857"/>
      <c r="G889" s="857"/>
      <c r="H889" s="857"/>
      <c r="I889" s="857"/>
      <c r="J889" s="857"/>
      <c r="K889" s="857"/>
      <c r="L889" s="857"/>
      <c r="M889" s="857"/>
      <c r="N889" s="857"/>
      <c r="O889" s="857"/>
      <c r="P889" s="857"/>
      <c r="Q889" s="857"/>
      <c r="R889" s="857"/>
      <c r="S889" s="857"/>
      <c r="T889" s="857"/>
      <c r="U889" s="857"/>
      <c r="V889" s="857"/>
      <c r="W889" s="857"/>
      <c r="X889" s="857"/>
      <c r="Y889" s="857"/>
      <c r="Z889" s="857"/>
      <c r="AA889" s="857"/>
      <c r="AB889" s="857"/>
      <c r="AC889" s="857"/>
      <c r="AD889" s="857"/>
      <c r="AE889" s="857"/>
      <c r="AF889" s="857"/>
      <c r="AG889" s="857"/>
      <c r="AH889" s="857"/>
      <c r="AI889" s="857"/>
      <c r="AJ889" s="857"/>
      <c r="AK889" s="857"/>
      <c r="AL889" s="857"/>
      <c r="AM889" s="857"/>
      <c r="AN889" s="857"/>
      <c r="AO889" s="857"/>
      <c r="AP889" s="857"/>
      <c r="AQ889" s="857"/>
      <c r="AR889" s="857"/>
      <c r="AS889" s="857"/>
      <c r="AT889" s="855"/>
      <c r="AV889" s="857"/>
      <c r="AW889" s="857"/>
      <c r="AX889" s="857"/>
      <c r="AY889" s="857"/>
      <c r="AZ889" s="857"/>
      <c r="BA889" s="857"/>
      <c r="BB889" s="857"/>
      <c r="BC889" s="857"/>
      <c r="BD889" s="857"/>
      <c r="BE889" s="857"/>
      <c r="BF889" s="857"/>
      <c r="BG889" s="857"/>
    </row>
    <row r="890" spans="1:59" ht="15.75" customHeight="1">
      <c r="A890" s="857"/>
      <c r="B890" s="857"/>
      <c r="C890" s="857"/>
      <c r="D890" s="857"/>
      <c r="E890" s="857"/>
      <c r="F890" s="857"/>
      <c r="G890" s="857"/>
      <c r="H890" s="857"/>
      <c r="I890" s="857"/>
      <c r="J890" s="857"/>
      <c r="K890" s="857"/>
      <c r="L890" s="857"/>
      <c r="M890" s="857"/>
      <c r="N890" s="857"/>
      <c r="O890" s="857"/>
      <c r="P890" s="857"/>
      <c r="Q890" s="857"/>
      <c r="R890" s="857"/>
      <c r="S890" s="857"/>
      <c r="T890" s="857"/>
      <c r="U890" s="857"/>
      <c r="V890" s="857"/>
      <c r="W890" s="857"/>
      <c r="X890" s="857"/>
      <c r="Y890" s="857"/>
      <c r="Z890" s="857"/>
      <c r="AA890" s="857"/>
      <c r="AB890" s="857"/>
      <c r="AC890" s="857"/>
      <c r="AD890" s="857"/>
      <c r="AE890" s="857"/>
      <c r="AF890" s="857"/>
      <c r="AG890" s="857"/>
      <c r="AH890" s="857"/>
      <c r="AI890" s="857"/>
      <c r="AJ890" s="857"/>
      <c r="AK890" s="857"/>
      <c r="AL890" s="857"/>
      <c r="AM890" s="857"/>
      <c r="AN890" s="857"/>
      <c r="AO890" s="857"/>
      <c r="AP890" s="857"/>
      <c r="AQ890" s="857"/>
      <c r="AR890" s="857"/>
      <c r="AS890" s="857"/>
      <c r="AT890" s="855"/>
      <c r="AV890" s="857"/>
      <c r="AW890" s="857"/>
      <c r="AX890" s="857"/>
      <c r="AY890" s="857"/>
      <c r="AZ890" s="857"/>
      <c r="BA890" s="857"/>
      <c r="BB890" s="857"/>
      <c r="BC890" s="857"/>
      <c r="BD890" s="857"/>
      <c r="BE890" s="857"/>
      <c r="BF890" s="857"/>
      <c r="BG890" s="857"/>
    </row>
    <row r="891" spans="1:59" ht="15.75" customHeight="1">
      <c r="A891" s="857"/>
      <c r="B891" s="857"/>
      <c r="C891" s="857"/>
      <c r="D891" s="857"/>
      <c r="E891" s="857"/>
      <c r="F891" s="857"/>
      <c r="G891" s="857"/>
      <c r="H891" s="857"/>
      <c r="I891" s="857"/>
      <c r="J891" s="857"/>
      <c r="K891" s="857"/>
      <c r="L891" s="857"/>
      <c r="M891" s="857"/>
      <c r="N891" s="857"/>
      <c r="O891" s="857"/>
      <c r="P891" s="857"/>
      <c r="Q891" s="857"/>
      <c r="R891" s="857"/>
      <c r="S891" s="857"/>
      <c r="T891" s="857"/>
      <c r="U891" s="857"/>
      <c r="V891" s="857"/>
      <c r="W891" s="857"/>
      <c r="X891" s="857"/>
      <c r="Y891" s="857"/>
      <c r="Z891" s="857"/>
      <c r="AA891" s="857"/>
      <c r="AB891" s="857"/>
      <c r="AC891" s="857"/>
      <c r="AD891" s="857"/>
      <c r="AE891" s="857"/>
      <c r="AF891" s="857"/>
      <c r="AG891" s="857"/>
      <c r="AH891" s="857"/>
      <c r="AI891" s="857"/>
      <c r="AJ891" s="857"/>
      <c r="AK891" s="857"/>
      <c r="AL891" s="857"/>
      <c r="AM891" s="857"/>
      <c r="AN891" s="857"/>
      <c r="AO891" s="857"/>
      <c r="AP891" s="857"/>
      <c r="AQ891" s="857"/>
      <c r="AR891" s="857"/>
      <c r="AS891" s="857"/>
      <c r="AT891" s="855"/>
      <c r="AV891" s="857"/>
      <c r="AW891" s="857"/>
      <c r="AX891" s="857"/>
      <c r="AY891" s="857"/>
      <c r="AZ891" s="857"/>
      <c r="BA891" s="857"/>
      <c r="BB891" s="857"/>
      <c r="BC891" s="857"/>
      <c r="BD891" s="857"/>
      <c r="BE891" s="857"/>
      <c r="BF891" s="857"/>
      <c r="BG891" s="857"/>
    </row>
    <row r="892" spans="1:59" ht="15.75" customHeight="1">
      <c r="A892" s="857"/>
      <c r="B892" s="857"/>
      <c r="C892" s="857"/>
      <c r="D892" s="857"/>
      <c r="E892" s="857"/>
      <c r="F892" s="857"/>
      <c r="G892" s="857"/>
      <c r="H892" s="857"/>
      <c r="I892" s="857"/>
      <c r="J892" s="857"/>
      <c r="K892" s="857"/>
      <c r="L892" s="857"/>
      <c r="M892" s="857"/>
      <c r="N892" s="857"/>
      <c r="O892" s="857"/>
      <c r="P892" s="857"/>
      <c r="Q892" s="857"/>
      <c r="R892" s="857"/>
      <c r="S892" s="857"/>
      <c r="T892" s="857"/>
      <c r="U892" s="857"/>
      <c r="V892" s="857"/>
      <c r="W892" s="857"/>
      <c r="X892" s="857"/>
      <c r="Y892" s="857"/>
      <c r="Z892" s="857"/>
      <c r="AA892" s="857"/>
      <c r="AB892" s="857"/>
      <c r="AC892" s="857"/>
      <c r="AD892" s="857"/>
      <c r="AE892" s="857"/>
      <c r="AF892" s="857"/>
      <c r="AG892" s="857"/>
      <c r="AH892" s="857"/>
      <c r="AI892" s="857"/>
      <c r="AJ892" s="857"/>
      <c r="AK892" s="857"/>
      <c r="AL892" s="857"/>
      <c r="AM892" s="857"/>
      <c r="AN892" s="857"/>
      <c r="AO892" s="857"/>
      <c r="AP892" s="857"/>
      <c r="AQ892" s="857"/>
      <c r="AR892" s="857"/>
      <c r="AS892" s="857"/>
      <c r="AT892" s="855"/>
      <c r="AV892" s="857"/>
      <c r="AW892" s="857"/>
      <c r="AX892" s="857"/>
      <c r="AY892" s="857"/>
      <c r="AZ892" s="857"/>
      <c r="BA892" s="857"/>
      <c r="BB892" s="857"/>
      <c r="BC892" s="857"/>
      <c r="BD892" s="857"/>
      <c r="BE892" s="857"/>
      <c r="BF892" s="857"/>
      <c r="BG892" s="857"/>
    </row>
    <row r="893" spans="1:59" ht="15.75" customHeight="1">
      <c r="A893" s="857"/>
      <c r="B893" s="857"/>
      <c r="C893" s="857"/>
      <c r="D893" s="857"/>
      <c r="E893" s="857"/>
      <c r="F893" s="857"/>
      <c r="G893" s="857"/>
      <c r="H893" s="857"/>
      <c r="I893" s="857"/>
      <c r="J893" s="857"/>
      <c r="K893" s="857"/>
      <c r="L893" s="857"/>
      <c r="M893" s="857"/>
      <c r="N893" s="857"/>
      <c r="O893" s="857"/>
      <c r="P893" s="857"/>
      <c r="Q893" s="857"/>
      <c r="R893" s="857"/>
      <c r="S893" s="857"/>
      <c r="T893" s="857"/>
      <c r="U893" s="857"/>
      <c r="V893" s="857"/>
      <c r="W893" s="857"/>
      <c r="X893" s="857"/>
      <c r="Y893" s="857"/>
      <c r="Z893" s="857"/>
      <c r="AA893" s="857"/>
      <c r="AB893" s="857"/>
      <c r="AC893" s="857"/>
      <c r="AD893" s="857"/>
      <c r="AE893" s="857"/>
      <c r="AF893" s="857"/>
      <c r="AG893" s="857"/>
      <c r="AH893" s="857"/>
      <c r="AI893" s="857"/>
      <c r="AJ893" s="857"/>
      <c r="AK893" s="857"/>
      <c r="AL893" s="857"/>
      <c r="AM893" s="857"/>
      <c r="AN893" s="857"/>
      <c r="AO893" s="857"/>
      <c r="AP893" s="857"/>
      <c r="AQ893" s="857"/>
      <c r="AR893" s="857"/>
      <c r="AS893" s="857"/>
      <c r="AT893" s="855"/>
      <c r="AV893" s="857"/>
      <c r="AW893" s="857"/>
      <c r="AX893" s="857"/>
      <c r="AY893" s="857"/>
      <c r="AZ893" s="857"/>
      <c r="BA893" s="857"/>
      <c r="BB893" s="857"/>
      <c r="BC893" s="857"/>
      <c r="BD893" s="857"/>
      <c r="BE893" s="857"/>
      <c r="BF893" s="857"/>
      <c r="BG893" s="857"/>
    </row>
    <row r="894" spans="1:59" ht="15.75" customHeight="1">
      <c r="A894" s="857"/>
      <c r="B894" s="857"/>
      <c r="C894" s="857"/>
      <c r="D894" s="857"/>
      <c r="E894" s="857"/>
      <c r="F894" s="857"/>
      <c r="G894" s="857"/>
      <c r="H894" s="857"/>
      <c r="I894" s="857"/>
      <c r="J894" s="857"/>
      <c r="K894" s="857"/>
      <c r="L894" s="857"/>
      <c r="M894" s="857"/>
      <c r="N894" s="857"/>
      <c r="O894" s="857"/>
      <c r="P894" s="857"/>
      <c r="Q894" s="857"/>
      <c r="R894" s="857"/>
      <c r="S894" s="857"/>
      <c r="T894" s="857"/>
      <c r="U894" s="857"/>
      <c r="V894" s="857"/>
      <c r="W894" s="857"/>
      <c r="X894" s="857"/>
      <c r="Y894" s="857"/>
      <c r="Z894" s="857"/>
      <c r="AA894" s="857"/>
      <c r="AB894" s="857"/>
      <c r="AC894" s="857"/>
      <c r="AD894" s="857"/>
      <c r="AE894" s="857"/>
      <c r="AF894" s="857"/>
      <c r="AG894" s="857"/>
      <c r="AH894" s="857"/>
      <c r="AI894" s="857"/>
      <c r="AJ894" s="857"/>
      <c r="AK894" s="857"/>
      <c r="AL894" s="857"/>
      <c r="AM894" s="857"/>
      <c r="AN894" s="857"/>
      <c r="AO894" s="857"/>
      <c r="AP894" s="857"/>
      <c r="AQ894" s="857"/>
      <c r="AR894" s="857"/>
      <c r="AS894" s="857"/>
      <c r="AT894" s="855"/>
      <c r="AV894" s="857"/>
      <c r="AW894" s="857"/>
      <c r="AX894" s="857"/>
      <c r="AY894" s="857"/>
      <c r="AZ894" s="857"/>
      <c r="BA894" s="857"/>
      <c r="BB894" s="857"/>
      <c r="BC894" s="857"/>
      <c r="BD894" s="857"/>
      <c r="BE894" s="857"/>
      <c r="BF894" s="857"/>
      <c r="BG894" s="857"/>
    </row>
    <row r="895" spans="1:59" ht="15.75" customHeight="1">
      <c r="A895" s="857"/>
      <c r="B895" s="857"/>
      <c r="C895" s="857"/>
      <c r="D895" s="857"/>
      <c r="E895" s="857"/>
      <c r="F895" s="857"/>
      <c r="G895" s="857"/>
      <c r="H895" s="857"/>
      <c r="I895" s="857"/>
      <c r="J895" s="857"/>
      <c r="K895" s="857"/>
      <c r="L895" s="857"/>
      <c r="M895" s="857"/>
      <c r="N895" s="857"/>
      <c r="O895" s="857"/>
      <c r="P895" s="857"/>
      <c r="Q895" s="857"/>
      <c r="R895" s="857"/>
      <c r="S895" s="857"/>
      <c r="T895" s="857"/>
      <c r="U895" s="857"/>
      <c r="V895" s="857"/>
      <c r="W895" s="857"/>
      <c r="X895" s="857"/>
      <c r="Y895" s="857"/>
      <c r="Z895" s="857"/>
      <c r="AA895" s="857"/>
      <c r="AB895" s="857"/>
      <c r="AC895" s="857"/>
      <c r="AD895" s="857"/>
      <c r="AE895" s="857"/>
      <c r="AF895" s="857"/>
      <c r="AG895" s="857"/>
      <c r="AH895" s="857"/>
      <c r="AI895" s="857"/>
      <c r="AJ895" s="857"/>
      <c r="AK895" s="857"/>
      <c r="AL895" s="857"/>
      <c r="AM895" s="857"/>
      <c r="AN895" s="857"/>
      <c r="AO895" s="857"/>
      <c r="AP895" s="857"/>
      <c r="AQ895" s="857"/>
      <c r="AR895" s="857"/>
      <c r="AS895" s="857"/>
      <c r="AT895" s="855"/>
      <c r="AV895" s="857"/>
      <c r="AW895" s="857"/>
      <c r="AX895" s="857"/>
      <c r="AY895" s="857"/>
      <c r="AZ895" s="857"/>
      <c r="BA895" s="857"/>
      <c r="BB895" s="857"/>
      <c r="BC895" s="857"/>
      <c r="BD895" s="857"/>
      <c r="BE895" s="857"/>
      <c r="BF895" s="857"/>
      <c r="BG895" s="857"/>
    </row>
    <row r="896" spans="1:59" ht="15.75" customHeight="1">
      <c r="A896" s="857"/>
      <c r="B896" s="857"/>
      <c r="C896" s="857"/>
      <c r="D896" s="857"/>
      <c r="E896" s="857"/>
      <c r="F896" s="857"/>
      <c r="G896" s="857"/>
      <c r="H896" s="857"/>
      <c r="I896" s="857"/>
      <c r="J896" s="857"/>
      <c r="K896" s="857"/>
      <c r="L896" s="857"/>
      <c r="M896" s="857"/>
      <c r="N896" s="857"/>
      <c r="O896" s="857"/>
      <c r="P896" s="857"/>
      <c r="Q896" s="857"/>
      <c r="R896" s="857"/>
      <c r="S896" s="857"/>
      <c r="T896" s="857"/>
      <c r="U896" s="857"/>
      <c r="V896" s="857"/>
      <c r="W896" s="857"/>
      <c r="X896" s="857"/>
      <c r="Y896" s="857"/>
      <c r="Z896" s="857"/>
      <c r="AA896" s="857"/>
      <c r="AB896" s="857"/>
      <c r="AC896" s="857"/>
      <c r="AD896" s="857"/>
      <c r="AE896" s="857"/>
      <c r="AF896" s="857"/>
      <c r="AG896" s="857"/>
      <c r="AH896" s="857"/>
      <c r="AI896" s="857"/>
      <c r="AJ896" s="857"/>
      <c r="AK896" s="857"/>
      <c r="AL896" s="857"/>
      <c r="AM896" s="857"/>
      <c r="AN896" s="857"/>
      <c r="AO896" s="857"/>
      <c r="AP896" s="857"/>
      <c r="AQ896" s="857"/>
      <c r="AR896" s="857"/>
      <c r="AS896" s="857"/>
      <c r="AT896" s="855"/>
      <c r="AV896" s="857"/>
      <c r="AW896" s="857"/>
      <c r="AX896" s="857"/>
      <c r="AY896" s="857"/>
      <c r="AZ896" s="857"/>
      <c r="BA896" s="857"/>
      <c r="BB896" s="857"/>
      <c r="BC896" s="857"/>
      <c r="BD896" s="857"/>
      <c r="BE896" s="857"/>
      <c r="BF896" s="857"/>
      <c r="BG896" s="857"/>
    </row>
    <row r="897" spans="1:59" ht="15.75" customHeight="1">
      <c r="A897" s="857"/>
      <c r="B897" s="857"/>
      <c r="C897" s="857"/>
      <c r="D897" s="857"/>
      <c r="E897" s="857"/>
      <c r="F897" s="857"/>
      <c r="G897" s="857"/>
      <c r="H897" s="857"/>
      <c r="I897" s="857"/>
      <c r="J897" s="857"/>
      <c r="K897" s="857"/>
      <c r="L897" s="857"/>
      <c r="M897" s="857"/>
      <c r="N897" s="857"/>
      <c r="O897" s="857"/>
      <c r="P897" s="857"/>
      <c r="Q897" s="857"/>
      <c r="R897" s="857"/>
      <c r="S897" s="857"/>
      <c r="T897" s="857"/>
      <c r="U897" s="857"/>
      <c r="V897" s="857"/>
      <c r="W897" s="857"/>
      <c r="X897" s="857"/>
      <c r="Y897" s="857"/>
      <c r="Z897" s="857"/>
      <c r="AA897" s="857"/>
      <c r="AB897" s="857"/>
      <c r="AC897" s="857"/>
      <c r="AD897" s="857"/>
      <c r="AE897" s="857"/>
      <c r="AF897" s="857"/>
      <c r="AG897" s="857"/>
      <c r="AH897" s="857"/>
      <c r="AI897" s="857"/>
      <c r="AJ897" s="857"/>
      <c r="AK897" s="857"/>
      <c r="AL897" s="857"/>
      <c r="AM897" s="857"/>
      <c r="AN897" s="857"/>
      <c r="AO897" s="857"/>
      <c r="AP897" s="857"/>
      <c r="AQ897" s="857"/>
      <c r="AR897" s="857"/>
      <c r="AS897" s="857"/>
      <c r="AT897" s="855"/>
      <c r="AV897" s="857"/>
      <c r="AW897" s="857"/>
      <c r="AX897" s="857"/>
      <c r="AY897" s="857"/>
      <c r="AZ897" s="857"/>
      <c r="BA897" s="857"/>
      <c r="BB897" s="857"/>
      <c r="BC897" s="857"/>
      <c r="BD897" s="857"/>
      <c r="BE897" s="857"/>
      <c r="BF897" s="857"/>
      <c r="BG897" s="857"/>
    </row>
    <row r="898" spans="1:59" ht="15.75" customHeight="1">
      <c r="A898" s="857"/>
      <c r="B898" s="857"/>
      <c r="C898" s="857"/>
      <c r="D898" s="857"/>
      <c r="E898" s="857"/>
      <c r="F898" s="857"/>
      <c r="G898" s="857"/>
      <c r="H898" s="857"/>
      <c r="I898" s="857"/>
      <c r="J898" s="857"/>
      <c r="K898" s="857"/>
      <c r="L898" s="857"/>
      <c r="M898" s="857"/>
      <c r="N898" s="857"/>
      <c r="O898" s="857"/>
      <c r="P898" s="857"/>
      <c r="Q898" s="857"/>
      <c r="R898" s="857"/>
      <c r="S898" s="857"/>
      <c r="T898" s="857"/>
      <c r="U898" s="857"/>
      <c r="V898" s="857"/>
      <c r="W898" s="857"/>
      <c r="X898" s="857"/>
      <c r="Y898" s="857"/>
      <c r="Z898" s="857"/>
      <c r="AA898" s="857"/>
      <c r="AB898" s="857"/>
      <c r="AC898" s="857"/>
      <c r="AD898" s="857"/>
      <c r="AE898" s="857"/>
      <c r="AF898" s="857"/>
      <c r="AG898" s="857"/>
      <c r="AH898" s="857"/>
      <c r="AI898" s="857"/>
      <c r="AJ898" s="857"/>
      <c r="AK898" s="857"/>
      <c r="AL898" s="857"/>
      <c r="AM898" s="857"/>
      <c r="AN898" s="857"/>
      <c r="AO898" s="857"/>
      <c r="AP898" s="857"/>
      <c r="AQ898" s="857"/>
      <c r="AR898" s="857"/>
      <c r="AS898" s="857"/>
      <c r="AT898" s="855"/>
      <c r="AV898" s="857"/>
      <c r="AW898" s="857"/>
      <c r="AX898" s="857"/>
      <c r="AY898" s="857"/>
      <c r="AZ898" s="857"/>
      <c r="BA898" s="857"/>
      <c r="BB898" s="857"/>
      <c r="BC898" s="857"/>
      <c r="BD898" s="857"/>
      <c r="BE898" s="857"/>
      <c r="BF898" s="857"/>
      <c r="BG898" s="857"/>
    </row>
    <row r="899" spans="1:59" ht="15.75" customHeight="1">
      <c r="A899" s="857"/>
      <c r="B899" s="857"/>
      <c r="C899" s="857"/>
      <c r="D899" s="857"/>
      <c r="E899" s="857"/>
      <c r="F899" s="857"/>
      <c r="G899" s="857"/>
      <c r="H899" s="857"/>
      <c r="I899" s="857"/>
      <c r="J899" s="857"/>
      <c r="K899" s="857"/>
      <c r="L899" s="857"/>
      <c r="M899" s="857"/>
      <c r="N899" s="857"/>
      <c r="O899" s="857"/>
      <c r="P899" s="857"/>
      <c r="Q899" s="857"/>
      <c r="R899" s="857"/>
      <c r="S899" s="857"/>
      <c r="T899" s="857"/>
      <c r="U899" s="857"/>
      <c r="V899" s="857"/>
      <c r="W899" s="857"/>
      <c r="X899" s="857"/>
      <c r="Y899" s="857"/>
      <c r="Z899" s="857"/>
      <c r="AA899" s="857"/>
      <c r="AB899" s="857"/>
      <c r="AC899" s="857"/>
      <c r="AD899" s="857"/>
      <c r="AE899" s="857"/>
      <c r="AF899" s="857"/>
      <c r="AG899" s="857"/>
      <c r="AH899" s="857"/>
      <c r="AI899" s="857"/>
      <c r="AJ899" s="857"/>
      <c r="AK899" s="857"/>
      <c r="AL899" s="857"/>
      <c r="AM899" s="857"/>
      <c r="AN899" s="857"/>
      <c r="AO899" s="857"/>
      <c r="AP899" s="857"/>
      <c r="AQ899" s="857"/>
      <c r="AR899" s="857"/>
      <c r="AS899" s="857"/>
      <c r="AT899" s="855"/>
      <c r="AV899" s="857"/>
      <c r="AW899" s="857"/>
      <c r="AX899" s="857"/>
      <c r="AY899" s="857"/>
      <c r="AZ899" s="857"/>
      <c r="BA899" s="857"/>
      <c r="BB899" s="857"/>
      <c r="BC899" s="857"/>
      <c r="BD899" s="857"/>
      <c r="BE899" s="857"/>
      <c r="BF899" s="857"/>
      <c r="BG899" s="857"/>
    </row>
    <row r="900" spans="1:59" ht="15.75" customHeight="1">
      <c r="A900" s="857"/>
      <c r="B900" s="857"/>
      <c r="C900" s="857"/>
      <c r="D900" s="857"/>
      <c r="E900" s="857"/>
      <c r="F900" s="857"/>
      <c r="G900" s="857"/>
      <c r="H900" s="857"/>
      <c r="I900" s="857"/>
      <c r="J900" s="857"/>
      <c r="K900" s="857"/>
      <c r="L900" s="857"/>
      <c r="M900" s="857"/>
      <c r="N900" s="857"/>
      <c r="O900" s="857"/>
      <c r="P900" s="857"/>
      <c r="Q900" s="857"/>
      <c r="R900" s="857"/>
      <c r="S900" s="857"/>
      <c r="T900" s="857"/>
      <c r="U900" s="857"/>
      <c r="V900" s="857"/>
      <c r="W900" s="857"/>
      <c r="X900" s="857"/>
      <c r="Y900" s="857"/>
      <c r="Z900" s="857"/>
      <c r="AA900" s="857"/>
      <c r="AB900" s="857"/>
      <c r="AC900" s="857"/>
      <c r="AD900" s="857"/>
      <c r="AE900" s="857"/>
      <c r="AF900" s="857"/>
      <c r="AG900" s="857"/>
      <c r="AH900" s="857"/>
      <c r="AI900" s="857"/>
      <c r="AJ900" s="857"/>
      <c r="AK900" s="857"/>
      <c r="AL900" s="857"/>
      <c r="AM900" s="857"/>
      <c r="AN900" s="857"/>
      <c r="AO900" s="857"/>
      <c r="AP900" s="857"/>
      <c r="AQ900" s="857"/>
      <c r="AR900" s="857"/>
      <c r="AS900" s="857"/>
      <c r="AT900" s="855"/>
      <c r="AV900" s="857"/>
      <c r="AW900" s="857"/>
      <c r="AX900" s="857"/>
      <c r="AY900" s="857"/>
      <c r="AZ900" s="857"/>
      <c r="BA900" s="857"/>
      <c r="BB900" s="857"/>
      <c r="BC900" s="857"/>
      <c r="BD900" s="857"/>
      <c r="BE900" s="857"/>
      <c r="BF900" s="857"/>
      <c r="BG900" s="857"/>
    </row>
    <row r="901" spans="1:59" ht="15.75" customHeight="1">
      <c r="A901" s="857"/>
      <c r="B901" s="857"/>
      <c r="C901" s="857"/>
      <c r="D901" s="857"/>
      <c r="E901" s="857"/>
      <c r="F901" s="857"/>
      <c r="G901" s="857"/>
      <c r="H901" s="857"/>
      <c r="I901" s="857"/>
      <c r="J901" s="857"/>
      <c r="K901" s="857"/>
      <c r="L901" s="857"/>
      <c r="M901" s="857"/>
      <c r="N901" s="857"/>
      <c r="O901" s="857"/>
      <c r="P901" s="857"/>
      <c r="Q901" s="857"/>
      <c r="R901" s="857"/>
      <c r="S901" s="857"/>
      <c r="T901" s="857"/>
      <c r="U901" s="857"/>
      <c r="V901" s="857"/>
      <c r="W901" s="857"/>
      <c r="X901" s="857"/>
      <c r="Y901" s="857"/>
      <c r="Z901" s="857"/>
      <c r="AA901" s="857"/>
      <c r="AB901" s="857"/>
      <c r="AC901" s="857"/>
      <c r="AD901" s="857"/>
      <c r="AE901" s="857"/>
      <c r="AF901" s="857"/>
      <c r="AG901" s="857"/>
      <c r="AH901" s="857"/>
      <c r="AI901" s="857"/>
      <c r="AJ901" s="857"/>
      <c r="AK901" s="857"/>
      <c r="AL901" s="857"/>
      <c r="AM901" s="857"/>
      <c r="AN901" s="857"/>
      <c r="AO901" s="857"/>
      <c r="AP901" s="857"/>
      <c r="AQ901" s="857"/>
      <c r="AR901" s="857"/>
      <c r="AS901" s="857"/>
      <c r="AT901" s="855"/>
      <c r="AV901" s="857"/>
      <c r="AW901" s="857"/>
      <c r="AX901" s="857"/>
      <c r="AY901" s="857"/>
      <c r="AZ901" s="857"/>
      <c r="BA901" s="857"/>
      <c r="BB901" s="857"/>
      <c r="BC901" s="857"/>
      <c r="BD901" s="857"/>
      <c r="BE901" s="857"/>
      <c r="BF901" s="857"/>
      <c r="BG901" s="857"/>
    </row>
    <row r="902" spans="1:59" ht="15.75" customHeight="1">
      <c r="A902" s="857"/>
      <c r="B902" s="857"/>
      <c r="C902" s="857"/>
      <c r="D902" s="857"/>
      <c r="E902" s="857"/>
      <c r="F902" s="857"/>
      <c r="G902" s="857"/>
      <c r="H902" s="857"/>
      <c r="I902" s="857"/>
      <c r="J902" s="857"/>
      <c r="K902" s="857"/>
      <c r="L902" s="857"/>
      <c r="M902" s="857"/>
      <c r="N902" s="857"/>
      <c r="O902" s="857"/>
      <c r="P902" s="857"/>
      <c r="Q902" s="857"/>
      <c r="R902" s="857"/>
      <c r="S902" s="857"/>
      <c r="T902" s="857"/>
      <c r="U902" s="857"/>
      <c r="V902" s="857"/>
      <c r="W902" s="857"/>
      <c r="X902" s="857"/>
      <c r="Y902" s="857"/>
      <c r="Z902" s="857"/>
      <c r="AA902" s="857"/>
      <c r="AB902" s="857"/>
      <c r="AC902" s="857"/>
      <c r="AD902" s="857"/>
      <c r="AE902" s="857"/>
      <c r="AF902" s="857"/>
      <c r="AG902" s="857"/>
      <c r="AH902" s="857"/>
      <c r="AI902" s="857"/>
      <c r="AJ902" s="857"/>
      <c r="AK902" s="857"/>
      <c r="AL902" s="857"/>
      <c r="AM902" s="857"/>
      <c r="AN902" s="857"/>
      <c r="AO902" s="857"/>
      <c r="AP902" s="857"/>
      <c r="AQ902" s="857"/>
      <c r="AR902" s="857"/>
      <c r="AS902" s="857"/>
      <c r="AT902" s="855"/>
      <c r="AV902" s="857"/>
      <c r="AW902" s="857"/>
      <c r="AX902" s="857"/>
      <c r="AY902" s="857"/>
      <c r="AZ902" s="857"/>
      <c r="BA902" s="857"/>
      <c r="BB902" s="857"/>
      <c r="BC902" s="857"/>
      <c r="BD902" s="857"/>
      <c r="BE902" s="857"/>
      <c r="BF902" s="857"/>
      <c r="BG902" s="857"/>
    </row>
    <row r="903" spans="1:59" ht="15.75" customHeight="1">
      <c r="A903" s="857"/>
      <c r="B903" s="857"/>
      <c r="C903" s="857"/>
      <c r="D903" s="857"/>
      <c r="E903" s="857"/>
      <c r="F903" s="857"/>
      <c r="G903" s="857"/>
      <c r="H903" s="857"/>
      <c r="I903" s="857"/>
      <c r="J903" s="857"/>
      <c r="K903" s="857"/>
      <c r="L903" s="857"/>
      <c r="M903" s="857"/>
      <c r="N903" s="857"/>
      <c r="O903" s="857"/>
      <c r="P903" s="857"/>
      <c r="Q903" s="857"/>
      <c r="R903" s="857"/>
      <c r="S903" s="857"/>
      <c r="T903" s="857"/>
      <c r="U903" s="857"/>
      <c r="V903" s="857"/>
      <c r="W903" s="857"/>
      <c r="X903" s="857"/>
      <c r="Y903" s="857"/>
      <c r="Z903" s="857"/>
      <c r="AA903" s="857"/>
      <c r="AB903" s="857"/>
      <c r="AC903" s="857"/>
      <c r="AD903" s="857"/>
      <c r="AE903" s="857"/>
      <c r="AF903" s="857"/>
      <c r="AG903" s="857"/>
      <c r="AH903" s="857"/>
      <c r="AI903" s="857"/>
      <c r="AJ903" s="857"/>
      <c r="AK903" s="857"/>
      <c r="AL903" s="857"/>
      <c r="AM903" s="857"/>
      <c r="AN903" s="857"/>
      <c r="AO903" s="857"/>
      <c r="AP903" s="857"/>
      <c r="AQ903" s="857"/>
      <c r="AR903" s="857"/>
      <c r="AS903" s="857"/>
      <c r="AT903" s="855"/>
      <c r="AV903" s="857"/>
      <c r="AW903" s="857"/>
      <c r="AX903" s="857"/>
      <c r="AY903" s="857"/>
      <c r="AZ903" s="857"/>
      <c r="BA903" s="857"/>
      <c r="BB903" s="857"/>
      <c r="BC903" s="857"/>
      <c r="BD903" s="857"/>
      <c r="BE903" s="857"/>
      <c r="BF903" s="857"/>
      <c r="BG903" s="857"/>
    </row>
    <row r="904" spans="1:59" ht="15.75" customHeight="1">
      <c r="A904" s="857"/>
      <c r="B904" s="857"/>
      <c r="C904" s="857"/>
      <c r="D904" s="857"/>
      <c r="E904" s="857"/>
      <c r="F904" s="857"/>
      <c r="G904" s="857"/>
      <c r="H904" s="857"/>
      <c r="I904" s="857"/>
      <c r="J904" s="857"/>
      <c r="K904" s="857"/>
      <c r="L904" s="857"/>
      <c r="M904" s="857"/>
      <c r="N904" s="857"/>
      <c r="O904" s="857"/>
      <c r="P904" s="857"/>
      <c r="Q904" s="857"/>
      <c r="R904" s="857"/>
      <c r="S904" s="857"/>
      <c r="T904" s="857"/>
      <c r="U904" s="857"/>
      <c r="V904" s="857"/>
      <c r="W904" s="857"/>
      <c r="X904" s="857"/>
      <c r="Y904" s="857"/>
      <c r="Z904" s="857"/>
      <c r="AA904" s="857"/>
      <c r="AB904" s="857"/>
      <c r="AC904" s="857"/>
      <c r="AD904" s="857"/>
      <c r="AE904" s="857"/>
      <c r="AF904" s="857"/>
      <c r="AG904" s="857"/>
      <c r="AH904" s="857"/>
      <c r="AI904" s="857"/>
      <c r="AJ904" s="857"/>
      <c r="AK904" s="857"/>
      <c r="AL904" s="857"/>
      <c r="AM904" s="857"/>
      <c r="AN904" s="857"/>
      <c r="AO904" s="857"/>
      <c r="AP904" s="857"/>
      <c r="AQ904" s="857"/>
      <c r="AR904" s="857"/>
      <c r="AS904" s="857"/>
      <c r="AT904" s="855"/>
      <c r="AV904" s="857"/>
      <c r="AW904" s="857"/>
      <c r="AX904" s="857"/>
      <c r="AY904" s="857"/>
      <c r="AZ904" s="857"/>
      <c r="BA904" s="857"/>
      <c r="BB904" s="857"/>
      <c r="BC904" s="857"/>
      <c r="BD904" s="857"/>
      <c r="BE904" s="857"/>
      <c r="BF904" s="857"/>
      <c r="BG904" s="857"/>
    </row>
    <row r="905" spans="1:59" ht="15.75" customHeight="1">
      <c r="A905" s="857"/>
      <c r="B905" s="857"/>
      <c r="C905" s="857"/>
      <c r="D905" s="857"/>
      <c r="E905" s="857"/>
      <c r="F905" s="857"/>
      <c r="G905" s="857"/>
      <c r="H905" s="857"/>
      <c r="I905" s="857"/>
      <c r="J905" s="857"/>
      <c r="K905" s="857"/>
      <c r="L905" s="857"/>
      <c r="M905" s="857"/>
      <c r="N905" s="857"/>
      <c r="O905" s="857"/>
      <c r="P905" s="857"/>
      <c r="Q905" s="857"/>
      <c r="R905" s="857"/>
      <c r="S905" s="857"/>
      <c r="T905" s="857"/>
      <c r="U905" s="857"/>
      <c r="V905" s="857"/>
      <c r="W905" s="857"/>
      <c r="X905" s="857"/>
      <c r="Y905" s="857"/>
      <c r="Z905" s="857"/>
      <c r="AA905" s="857"/>
      <c r="AB905" s="857"/>
      <c r="AC905" s="857"/>
      <c r="AD905" s="857"/>
      <c r="AE905" s="857"/>
      <c r="AF905" s="857"/>
      <c r="AG905" s="857"/>
      <c r="AH905" s="857"/>
      <c r="AI905" s="857"/>
      <c r="AJ905" s="857"/>
      <c r="AK905" s="857"/>
      <c r="AL905" s="857"/>
      <c r="AM905" s="857"/>
      <c r="AN905" s="857"/>
      <c r="AO905" s="857"/>
      <c r="AP905" s="857"/>
      <c r="AQ905" s="857"/>
      <c r="AR905" s="857"/>
      <c r="AS905" s="857"/>
      <c r="AT905" s="855"/>
      <c r="AV905" s="857"/>
      <c r="AW905" s="857"/>
      <c r="AX905" s="857"/>
      <c r="AY905" s="857"/>
      <c r="AZ905" s="857"/>
      <c r="BA905" s="857"/>
      <c r="BB905" s="857"/>
      <c r="BC905" s="857"/>
      <c r="BD905" s="857"/>
      <c r="BE905" s="857"/>
      <c r="BF905" s="857"/>
      <c r="BG905" s="857"/>
    </row>
    <row r="906" spans="1:59" ht="15.75" customHeight="1">
      <c r="A906" s="857"/>
      <c r="B906" s="857"/>
      <c r="C906" s="857"/>
      <c r="D906" s="857"/>
      <c r="E906" s="857"/>
      <c r="F906" s="857"/>
      <c r="G906" s="857"/>
      <c r="H906" s="857"/>
      <c r="I906" s="857"/>
      <c r="J906" s="857"/>
      <c r="K906" s="857"/>
      <c r="L906" s="857"/>
      <c r="M906" s="857"/>
      <c r="N906" s="857"/>
      <c r="O906" s="857"/>
      <c r="P906" s="857"/>
      <c r="Q906" s="857"/>
      <c r="R906" s="857"/>
      <c r="S906" s="857"/>
      <c r="T906" s="857"/>
      <c r="U906" s="857"/>
      <c r="V906" s="857"/>
      <c r="W906" s="857"/>
      <c r="X906" s="857"/>
      <c r="Y906" s="857"/>
      <c r="Z906" s="857"/>
      <c r="AA906" s="857"/>
      <c r="AB906" s="857"/>
      <c r="AC906" s="857"/>
      <c r="AD906" s="857"/>
      <c r="AE906" s="857"/>
      <c r="AF906" s="857"/>
      <c r="AG906" s="857"/>
      <c r="AH906" s="857"/>
      <c r="AI906" s="857"/>
      <c r="AJ906" s="857"/>
      <c r="AK906" s="857"/>
      <c r="AL906" s="857"/>
      <c r="AM906" s="857"/>
      <c r="AN906" s="857"/>
      <c r="AO906" s="857"/>
      <c r="AP906" s="857"/>
      <c r="AQ906" s="857"/>
      <c r="AR906" s="857"/>
      <c r="AS906" s="857"/>
      <c r="AT906" s="855"/>
      <c r="AV906" s="857"/>
      <c r="AW906" s="857"/>
      <c r="AX906" s="857"/>
      <c r="AY906" s="857"/>
      <c r="AZ906" s="857"/>
      <c r="BA906" s="857"/>
      <c r="BB906" s="857"/>
      <c r="BC906" s="857"/>
      <c r="BD906" s="857"/>
      <c r="BE906" s="857"/>
      <c r="BF906" s="857"/>
      <c r="BG906" s="857"/>
    </row>
    <row r="907" spans="1:59" ht="15.75" customHeight="1">
      <c r="A907" s="857"/>
      <c r="B907" s="857"/>
      <c r="C907" s="857"/>
      <c r="D907" s="857"/>
      <c r="E907" s="857"/>
      <c r="F907" s="857"/>
      <c r="G907" s="857"/>
      <c r="H907" s="857"/>
      <c r="I907" s="857"/>
      <c r="J907" s="857"/>
      <c r="K907" s="857"/>
      <c r="L907" s="857"/>
      <c r="M907" s="857"/>
      <c r="N907" s="857"/>
      <c r="O907" s="857"/>
      <c r="P907" s="857"/>
      <c r="Q907" s="857"/>
      <c r="R907" s="857"/>
      <c r="S907" s="857"/>
      <c r="T907" s="857"/>
      <c r="U907" s="857"/>
      <c r="V907" s="857"/>
      <c r="W907" s="857"/>
      <c r="X907" s="857"/>
      <c r="Y907" s="857"/>
      <c r="Z907" s="857"/>
      <c r="AA907" s="857"/>
      <c r="AB907" s="857"/>
      <c r="AC907" s="857"/>
      <c r="AD907" s="857"/>
      <c r="AE907" s="857"/>
      <c r="AF907" s="857"/>
      <c r="AG907" s="857"/>
      <c r="AH907" s="857"/>
      <c r="AI907" s="857"/>
      <c r="AJ907" s="857"/>
      <c r="AK907" s="857"/>
      <c r="AL907" s="857"/>
      <c r="AM907" s="857"/>
      <c r="AN907" s="857"/>
      <c r="AO907" s="857"/>
      <c r="AP907" s="857"/>
      <c r="AQ907" s="857"/>
      <c r="AR907" s="857"/>
      <c r="AS907" s="857"/>
      <c r="AT907" s="855"/>
      <c r="AV907" s="857"/>
      <c r="AW907" s="857"/>
      <c r="AX907" s="857"/>
      <c r="AY907" s="857"/>
      <c r="AZ907" s="857"/>
      <c r="BA907" s="857"/>
      <c r="BB907" s="857"/>
      <c r="BC907" s="857"/>
      <c r="BD907" s="857"/>
      <c r="BE907" s="857"/>
      <c r="BF907" s="857"/>
      <c r="BG907" s="857"/>
    </row>
    <row r="908" spans="1:59" ht="15.75" customHeight="1">
      <c r="A908" s="857"/>
      <c r="B908" s="857"/>
      <c r="C908" s="857"/>
      <c r="D908" s="857"/>
      <c r="E908" s="857"/>
      <c r="F908" s="857"/>
      <c r="G908" s="857"/>
      <c r="H908" s="857"/>
      <c r="I908" s="857"/>
      <c r="J908" s="857"/>
      <c r="K908" s="857"/>
      <c r="L908" s="857"/>
      <c r="M908" s="857"/>
      <c r="N908" s="857"/>
      <c r="O908" s="857"/>
      <c r="P908" s="857"/>
      <c r="Q908" s="857"/>
      <c r="R908" s="857"/>
      <c r="S908" s="857"/>
      <c r="T908" s="857"/>
      <c r="U908" s="857"/>
      <c r="V908" s="857"/>
      <c r="W908" s="857"/>
      <c r="X908" s="857"/>
      <c r="Y908" s="857"/>
      <c r="Z908" s="857"/>
      <c r="AA908" s="857"/>
      <c r="AB908" s="857"/>
      <c r="AC908" s="857"/>
      <c r="AD908" s="857"/>
      <c r="AE908" s="857"/>
      <c r="AF908" s="857"/>
      <c r="AG908" s="857"/>
      <c r="AH908" s="857"/>
      <c r="AI908" s="857"/>
      <c r="AJ908" s="857"/>
      <c r="AK908" s="857"/>
      <c r="AL908" s="857"/>
      <c r="AM908" s="857"/>
      <c r="AN908" s="857"/>
      <c r="AO908" s="857"/>
      <c r="AP908" s="857"/>
      <c r="AQ908" s="857"/>
      <c r="AR908" s="857"/>
      <c r="AS908" s="857"/>
      <c r="AT908" s="855"/>
      <c r="AV908" s="857"/>
      <c r="AW908" s="857"/>
      <c r="AX908" s="857"/>
      <c r="AY908" s="857"/>
      <c r="AZ908" s="857"/>
      <c r="BA908" s="857"/>
      <c r="BB908" s="857"/>
      <c r="BC908" s="857"/>
      <c r="BD908" s="857"/>
      <c r="BE908" s="857"/>
      <c r="BF908" s="857"/>
      <c r="BG908" s="857"/>
    </row>
    <row r="909" spans="1:59" ht="15.75" customHeight="1">
      <c r="A909" s="857"/>
      <c r="B909" s="857"/>
      <c r="C909" s="857"/>
      <c r="D909" s="857"/>
      <c r="E909" s="857"/>
      <c r="F909" s="857"/>
      <c r="G909" s="857"/>
      <c r="H909" s="857"/>
      <c r="I909" s="857"/>
      <c r="J909" s="857"/>
      <c r="K909" s="857"/>
      <c r="L909" s="857"/>
      <c r="M909" s="857"/>
      <c r="N909" s="857"/>
      <c r="O909" s="857"/>
      <c r="P909" s="857"/>
      <c r="Q909" s="857"/>
      <c r="R909" s="857"/>
      <c r="S909" s="857"/>
      <c r="T909" s="857"/>
      <c r="U909" s="857"/>
      <c r="V909" s="857"/>
      <c r="W909" s="857"/>
      <c r="X909" s="857"/>
      <c r="Y909" s="857"/>
      <c r="Z909" s="857"/>
      <c r="AA909" s="857"/>
      <c r="AB909" s="857"/>
      <c r="AC909" s="857"/>
      <c r="AD909" s="857"/>
      <c r="AE909" s="857"/>
      <c r="AF909" s="857"/>
      <c r="AG909" s="857"/>
      <c r="AH909" s="857"/>
      <c r="AI909" s="857"/>
      <c r="AJ909" s="857"/>
      <c r="AK909" s="857"/>
      <c r="AL909" s="857"/>
      <c r="AM909" s="857"/>
      <c r="AN909" s="857"/>
      <c r="AO909" s="857"/>
      <c r="AP909" s="857"/>
      <c r="AQ909" s="857"/>
      <c r="AR909" s="857"/>
      <c r="AS909" s="857"/>
      <c r="AT909" s="855"/>
      <c r="AV909" s="857"/>
      <c r="AW909" s="857"/>
      <c r="AX909" s="857"/>
      <c r="AY909" s="857"/>
      <c r="AZ909" s="857"/>
      <c r="BA909" s="857"/>
      <c r="BB909" s="857"/>
      <c r="BC909" s="857"/>
      <c r="BD909" s="857"/>
      <c r="BE909" s="857"/>
      <c r="BF909" s="857"/>
      <c r="BG909" s="857"/>
    </row>
    <row r="910" spans="1:59" ht="15.75" customHeight="1">
      <c r="A910" s="857"/>
      <c r="B910" s="857"/>
      <c r="C910" s="857"/>
      <c r="D910" s="857"/>
      <c r="E910" s="857"/>
      <c r="F910" s="857"/>
      <c r="G910" s="857"/>
      <c r="H910" s="857"/>
      <c r="I910" s="857"/>
      <c r="J910" s="857"/>
      <c r="K910" s="857"/>
      <c r="L910" s="857"/>
      <c r="M910" s="857"/>
      <c r="N910" s="857"/>
      <c r="O910" s="857"/>
      <c r="P910" s="857"/>
      <c r="Q910" s="857"/>
      <c r="R910" s="857"/>
      <c r="S910" s="857"/>
      <c r="T910" s="857"/>
      <c r="U910" s="857"/>
      <c r="V910" s="857"/>
      <c r="W910" s="857"/>
      <c r="X910" s="857"/>
      <c r="Y910" s="857"/>
      <c r="Z910" s="857"/>
      <c r="AA910" s="857"/>
      <c r="AB910" s="857"/>
      <c r="AC910" s="857"/>
      <c r="AD910" s="857"/>
      <c r="AE910" s="857"/>
      <c r="AF910" s="857"/>
      <c r="AG910" s="857"/>
      <c r="AH910" s="857"/>
      <c r="AI910" s="857"/>
      <c r="AJ910" s="857"/>
      <c r="AK910" s="857"/>
      <c r="AL910" s="857"/>
      <c r="AM910" s="857"/>
      <c r="AN910" s="857"/>
      <c r="AO910" s="857"/>
      <c r="AP910" s="857"/>
      <c r="AQ910" s="857"/>
      <c r="AR910" s="857"/>
      <c r="AS910" s="857"/>
      <c r="AT910" s="855"/>
      <c r="AV910" s="857"/>
      <c r="AW910" s="857"/>
      <c r="AX910" s="857"/>
      <c r="AY910" s="857"/>
      <c r="AZ910" s="857"/>
      <c r="BA910" s="857"/>
      <c r="BB910" s="857"/>
      <c r="BC910" s="857"/>
      <c r="BD910" s="857"/>
      <c r="BE910" s="857"/>
      <c r="BF910" s="857"/>
      <c r="BG910" s="857"/>
    </row>
    <row r="911" spans="1:59" ht="15.75" customHeight="1">
      <c r="A911" s="857"/>
      <c r="B911" s="857"/>
      <c r="C911" s="857"/>
      <c r="D911" s="857"/>
      <c r="E911" s="857"/>
      <c r="F911" s="857"/>
      <c r="G911" s="857"/>
      <c r="H911" s="857"/>
      <c r="I911" s="857"/>
      <c r="J911" s="857"/>
      <c r="K911" s="857"/>
      <c r="L911" s="857"/>
      <c r="M911" s="857"/>
      <c r="N911" s="857"/>
      <c r="O911" s="857"/>
      <c r="P911" s="857"/>
      <c r="Q911" s="857"/>
      <c r="R911" s="857"/>
      <c r="S911" s="857"/>
      <c r="T911" s="857"/>
      <c r="U911" s="857"/>
      <c r="V911" s="857"/>
      <c r="W911" s="857"/>
      <c r="X911" s="857"/>
      <c r="Y911" s="857"/>
      <c r="Z911" s="857"/>
      <c r="AA911" s="857"/>
      <c r="AB911" s="857"/>
      <c r="AC911" s="857"/>
      <c r="AD911" s="857"/>
      <c r="AE911" s="857"/>
      <c r="AF911" s="857"/>
      <c r="AG911" s="857"/>
      <c r="AH911" s="857"/>
      <c r="AI911" s="857"/>
      <c r="AJ911" s="857"/>
      <c r="AK911" s="857"/>
      <c r="AL911" s="857"/>
      <c r="AM911" s="857"/>
      <c r="AN911" s="857"/>
      <c r="AO911" s="857"/>
      <c r="AP911" s="857"/>
      <c r="AQ911" s="857"/>
      <c r="AR911" s="857"/>
      <c r="AS911" s="857"/>
      <c r="AT911" s="855"/>
      <c r="AV911" s="857"/>
      <c r="AW911" s="857"/>
      <c r="AX911" s="857"/>
      <c r="AY911" s="857"/>
      <c r="AZ911" s="857"/>
      <c r="BA911" s="857"/>
      <c r="BB911" s="857"/>
      <c r="BC911" s="857"/>
      <c r="BD911" s="857"/>
      <c r="BE911" s="857"/>
      <c r="BF911" s="857"/>
      <c r="BG911" s="857"/>
    </row>
    <row r="912" spans="1:59" ht="15.75" customHeight="1">
      <c r="A912" s="857"/>
      <c r="B912" s="857"/>
      <c r="C912" s="857"/>
      <c r="D912" s="857"/>
      <c r="E912" s="857"/>
      <c r="F912" s="857"/>
      <c r="G912" s="857"/>
      <c r="H912" s="857"/>
      <c r="I912" s="857"/>
      <c r="J912" s="857"/>
      <c r="K912" s="857"/>
      <c r="L912" s="857"/>
      <c r="M912" s="857"/>
      <c r="N912" s="857"/>
      <c r="O912" s="857"/>
      <c r="P912" s="857"/>
      <c r="Q912" s="857"/>
      <c r="R912" s="857"/>
      <c r="S912" s="857"/>
      <c r="T912" s="857"/>
      <c r="U912" s="857"/>
      <c r="V912" s="857"/>
      <c r="W912" s="857"/>
      <c r="X912" s="857"/>
      <c r="Y912" s="857"/>
      <c r="Z912" s="857"/>
      <c r="AA912" s="857"/>
      <c r="AB912" s="857"/>
      <c r="AC912" s="857"/>
      <c r="AD912" s="857"/>
      <c r="AE912" s="857"/>
      <c r="AF912" s="857"/>
      <c r="AG912" s="857"/>
      <c r="AH912" s="857"/>
      <c r="AI912" s="857"/>
      <c r="AJ912" s="857"/>
      <c r="AK912" s="857"/>
      <c r="AL912" s="857"/>
      <c r="AM912" s="857"/>
      <c r="AN912" s="857"/>
      <c r="AO912" s="857"/>
      <c r="AP912" s="857"/>
      <c r="AQ912" s="857"/>
      <c r="AR912" s="857"/>
      <c r="AS912" s="857"/>
      <c r="AT912" s="855"/>
      <c r="AV912" s="857"/>
      <c r="AW912" s="857"/>
      <c r="AX912" s="857"/>
      <c r="AY912" s="857"/>
      <c r="AZ912" s="857"/>
      <c r="BA912" s="857"/>
      <c r="BB912" s="857"/>
      <c r="BC912" s="857"/>
      <c r="BD912" s="857"/>
      <c r="BE912" s="857"/>
      <c r="BF912" s="857"/>
      <c r="BG912" s="857"/>
    </row>
    <row r="913" spans="1:59" ht="15.75" customHeight="1">
      <c r="A913" s="857"/>
      <c r="B913" s="857"/>
      <c r="C913" s="857"/>
      <c r="D913" s="857"/>
      <c r="E913" s="857"/>
      <c r="F913" s="857"/>
      <c r="G913" s="857"/>
      <c r="H913" s="857"/>
      <c r="I913" s="857"/>
      <c r="J913" s="857"/>
      <c r="K913" s="857"/>
      <c r="L913" s="857"/>
      <c r="M913" s="857"/>
      <c r="N913" s="857"/>
      <c r="O913" s="857"/>
      <c r="P913" s="857"/>
      <c r="Q913" s="857"/>
      <c r="R913" s="857"/>
      <c r="S913" s="857"/>
      <c r="T913" s="857"/>
      <c r="U913" s="857"/>
      <c r="V913" s="857"/>
      <c r="W913" s="857"/>
      <c r="X913" s="857"/>
      <c r="Y913" s="857"/>
      <c r="Z913" s="857"/>
      <c r="AA913" s="857"/>
      <c r="AB913" s="857"/>
      <c r="AC913" s="857"/>
      <c r="AD913" s="857"/>
      <c r="AE913" s="857"/>
      <c r="AF913" s="857"/>
      <c r="AG913" s="857"/>
      <c r="AH913" s="857"/>
      <c r="AI913" s="857"/>
      <c r="AJ913" s="857"/>
      <c r="AK913" s="857"/>
      <c r="AL913" s="857"/>
      <c r="AM913" s="857"/>
      <c r="AN913" s="857"/>
      <c r="AO913" s="857"/>
      <c r="AP913" s="857"/>
      <c r="AQ913" s="857"/>
      <c r="AR913" s="857"/>
      <c r="AS913" s="857"/>
      <c r="AT913" s="855"/>
      <c r="AV913" s="857"/>
      <c r="AW913" s="857"/>
      <c r="AX913" s="857"/>
      <c r="AY913" s="857"/>
      <c r="AZ913" s="857"/>
      <c r="BA913" s="857"/>
      <c r="BB913" s="857"/>
      <c r="BC913" s="857"/>
      <c r="BD913" s="857"/>
      <c r="BE913" s="857"/>
      <c r="BF913" s="857"/>
      <c r="BG913" s="857"/>
    </row>
    <row r="914" spans="1:59" ht="15.75" customHeight="1">
      <c r="A914" s="857"/>
      <c r="B914" s="857"/>
      <c r="C914" s="857"/>
      <c r="D914" s="857"/>
      <c r="E914" s="857"/>
      <c r="F914" s="857"/>
      <c r="G914" s="857"/>
      <c r="H914" s="857"/>
      <c r="I914" s="857"/>
      <c r="J914" s="857"/>
      <c r="K914" s="857"/>
      <c r="L914" s="857"/>
      <c r="M914" s="857"/>
      <c r="N914" s="857"/>
      <c r="O914" s="857"/>
      <c r="P914" s="857"/>
      <c r="Q914" s="857"/>
      <c r="R914" s="857"/>
      <c r="S914" s="857"/>
      <c r="T914" s="857"/>
      <c r="U914" s="857"/>
      <c r="V914" s="857"/>
      <c r="W914" s="857"/>
      <c r="X914" s="857"/>
      <c r="Y914" s="857"/>
      <c r="Z914" s="857"/>
      <c r="AA914" s="857"/>
      <c r="AB914" s="857"/>
      <c r="AC914" s="857"/>
      <c r="AD914" s="857"/>
      <c r="AE914" s="857"/>
      <c r="AF914" s="857"/>
      <c r="AG914" s="857"/>
      <c r="AH914" s="857"/>
      <c r="AI914" s="857"/>
      <c r="AJ914" s="857"/>
      <c r="AK914" s="857"/>
      <c r="AL914" s="857"/>
      <c r="AM914" s="857"/>
      <c r="AN914" s="857"/>
      <c r="AO914" s="857"/>
      <c r="AP914" s="857"/>
      <c r="AQ914" s="857"/>
      <c r="AR914" s="857"/>
      <c r="AS914" s="857"/>
      <c r="AT914" s="855"/>
      <c r="AV914" s="857"/>
      <c r="AW914" s="857"/>
      <c r="AX914" s="857"/>
      <c r="AY914" s="857"/>
      <c r="AZ914" s="857"/>
      <c r="BA914" s="857"/>
      <c r="BB914" s="857"/>
      <c r="BC914" s="857"/>
      <c r="BD914" s="857"/>
      <c r="BE914" s="857"/>
      <c r="BF914" s="857"/>
      <c r="BG914" s="857"/>
    </row>
    <row r="915" spans="1:59" ht="15.75" customHeight="1">
      <c r="A915" s="857"/>
      <c r="B915" s="857"/>
      <c r="C915" s="857"/>
      <c r="D915" s="857"/>
      <c r="E915" s="857"/>
      <c r="F915" s="857"/>
      <c r="G915" s="857"/>
      <c r="H915" s="857"/>
      <c r="I915" s="857"/>
      <c r="J915" s="857"/>
      <c r="K915" s="857"/>
      <c r="L915" s="857"/>
      <c r="M915" s="857"/>
      <c r="N915" s="857"/>
      <c r="O915" s="857"/>
      <c r="P915" s="857"/>
      <c r="Q915" s="857"/>
      <c r="R915" s="857"/>
      <c r="S915" s="857"/>
      <c r="T915" s="857"/>
      <c r="U915" s="857"/>
      <c r="V915" s="857"/>
      <c r="W915" s="857"/>
      <c r="X915" s="857"/>
      <c r="Y915" s="857"/>
      <c r="Z915" s="857"/>
      <c r="AA915" s="857"/>
      <c r="AB915" s="857"/>
      <c r="AC915" s="857"/>
      <c r="AD915" s="857"/>
      <c r="AE915" s="857"/>
      <c r="AF915" s="857"/>
      <c r="AG915" s="857"/>
      <c r="AH915" s="857"/>
      <c r="AI915" s="857"/>
      <c r="AJ915" s="857"/>
      <c r="AK915" s="857"/>
      <c r="AL915" s="857"/>
      <c r="AM915" s="857"/>
      <c r="AN915" s="857"/>
      <c r="AO915" s="857"/>
      <c r="AP915" s="857"/>
      <c r="AQ915" s="857"/>
      <c r="AR915" s="857"/>
      <c r="AS915" s="857"/>
      <c r="AT915" s="855"/>
      <c r="AV915" s="857"/>
      <c r="AW915" s="857"/>
      <c r="AX915" s="857"/>
      <c r="AY915" s="857"/>
      <c r="AZ915" s="857"/>
      <c r="BA915" s="857"/>
      <c r="BB915" s="857"/>
      <c r="BC915" s="857"/>
      <c r="BD915" s="857"/>
      <c r="BE915" s="857"/>
      <c r="BF915" s="857"/>
      <c r="BG915" s="857"/>
    </row>
    <row r="916" spans="1:59" ht="15.75" customHeight="1">
      <c r="A916" s="857"/>
      <c r="B916" s="857"/>
      <c r="C916" s="857"/>
      <c r="D916" s="857"/>
      <c r="E916" s="857"/>
      <c r="F916" s="857"/>
      <c r="G916" s="857"/>
      <c r="H916" s="857"/>
      <c r="I916" s="857"/>
      <c r="J916" s="857"/>
      <c r="K916" s="857"/>
      <c r="L916" s="857"/>
      <c r="M916" s="857"/>
      <c r="N916" s="857"/>
      <c r="O916" s="857"/>
      <c r="P916" s="857"/>
      <c r="Q916" s="857"/>
      <c r="R916" s="857"/>
      <c r="S916" s="857"/>
      <c r="T916" s="857"/>
      <c r="U916" s="857"/>
      <c r="V916" s="857"/>
      <c r="W916" s="857"/>
      <c r="X916" s="857"/>
      <c r="Y916" s="857"/>
      <c r="Z916" s="857"/>
      <c r="AA916" s="857"/>
      <c r="AB916" s="857"/>
      <c r="AC916" s="857"/>
      <c r="AD916" s="857"/>
      <c r="AE916" s="857"/>
      <c r="AF916" s="857"/>
      <c r="AG916" s="857"/>
      <c r="AH916" s="857"/>
      <c r="AI916" s="857"/>
      <c r="AJ916" s="857"/>
      <c r="AK916" s="857"/>
      <c r="AL916" s="857"/>
      <c r="AM916" s="857"/>
      <c r="AN916" s="857"/>
      <c r="AO916" s="857"/>
      <c r="AP916" s="857"/>
      <c r="AQ916" s="857"/>
      <c r="AR916" s="857"/>
      <c r="AS916" s="857"/>
      <c r="AT916" s="855"/>
      <c r="AV916" s="857"/>
      <c r="AW916" s="857"/>
      <c r="AX916" s="857"/>
      <c r="AY916" s="857"/>
      <c r="AZ916" s="857"/>
      <c r="BA916" s="857"/>
      <c r="BB916" s="857"/>
      <c r="BC916" s="857"/>
      <c r="BD916" s="857"/>
      <c r="BE916" s="857"/>
      <c r="BF916" s="857"/>
      <c r="BG916" s="857"/>
    </row>
    <row r="917" spans="1:59" ht="15.75" customHeight="1">
      <c r="A917" s="857"/>
      <c r="B917" s="857"/>
      <c r="C917" s="857"/>
      <c r="D917" s="857"/>
      <c r="E917" s="857"/>
      <c r="F917" s="857"/>
      <c r="G917" s="857"/>
      <c r="H917" s="857"/>
      <c r="I917" s="857"/>
      <c r="J917" s="857"/>
      <c r="K917" s="857"/>
      <c r="L917" s="857"/>
      <c r="M917" s="857"/>
      <c r="N917" s="857"/>
      <c r="O917" s="857"/>
      <c r="P917" s="857"/>
      <c r="Q917" s="857"/>
      <c r="R917" s="857"/>
      <c r="S917" s="857"/>
      <c r="T917" s="857"/>
      <c r="U917" s="857"/>
      <c r="V917" s="857"/>
      <c r="W917" s="857"/>
      <c r="X917" s="857"/>
      <c r="Y917" s="857"/>
      <c r="Z917" s="857"/>
      <c r="AA917" s="857"/>
      <c r="AB917" s="857"/>
      <c r="AC917" s="857"/>
      <c r="AD917" s="857"/>
      <c r="AE917" s="857"/>
      <c r="AF917" s="857"/>
      <c r="AG917" s="857"/>
      <c r="AH917" s="857"/>
      <c r="AI917" s="857"/>
      <c r="AJ917" s="857"/>
      <c r="AK917" s="857"/>
      <c r="AL917" s="857"/>
      <c r="AM917" s="857"/>
      <c r="AN917" s="857"/>
      <c r="AO917" s="857"/>
      <c r="AP917" s="857"/>
      <c r="AQ917" s="857"/>
      <c r="AR917" s="857"/>
      <c r="AS917" s="857"/>
      <c r="AT917" s="855"/>
      <c r="AV917" s="857"/>
      <c r="AW917" s="857"/>
      <c r="AX917" s="857"/>
      <c r="AY917" s="857"/>
      <c r="AZ917" s="857"/>
      <c r="BA917" s="857"/>
      <c r="BB917" s="857"/>
      <c r="BC917" s="857"/>
      <c r="BD917" s="857"/>
      <c r="BE917" s="857"/>
      <c r="BF917" s="857"/>
      <c r="BG917" s="857"/>
    </row>
    <row r="918" spans="1:59" ht="15.75" customHeight="1">
      <c r="A918" s="857"/>
      <c r="B918" s="857"/>
      <c r="C918" s="857"/>
      <c r="D918" s="857"/>
      <c r="E918" s="857"/>
      <c r="F918" s="857"/>
      <c r="G918" s="857"/>
      <c r="H918" s="857"/>
      <c r="I918" s="857"/>
      <c r="J918" s="857"/>
      <c r="K918" s="857"/>
      <c r="L918" s="857"/>
      <c r="M918" s="857"/>
      <c r="N918" s="857"/>
      <c r="O918" s="857"/>
      <c r="P918" s="857"/>
      <c r="Q918" s="857"/>
      <c r="R918" s="857"/>
      <c r="S918" s="857"/>
      <c r="T918" s="857"/>
      <c r="U918" s="857"/>
      <c r="V918" s="857"/>
      <c r="W918" s="857"/>
      <c r="X918" s="857"/>
      <c r="Y918" s="857"/>
      <c r="Z918" s="857"/>
      <c r="AA918" s="857"/>
      <c r="AB918" s="857"/>
      <c r="AC918" s="857"/>
      <c r="AD918" s="857"/>
      <c r="AE918" s="857"/>
      <c r="AF918" s="857"/>
      <c r="AG918" s="857"/>
      <c r="AH918" s="857"/>
      <c r="AI918" s="857"/>
      <c r="AJ918" s="857"/>
      <c r="AK918" s="857"/>
      <c r="AL918" s="857"/>
      <c r="AM918" s="857"/>
      <c r="AN918" s="857"/>
      <c r="AO918" s="857"/>
      <c r="AP918" s="857"/>
      <c r="AQ918" s="857"/>
      <c r="AR918" s="857"/>
      <c r="AS918" s="857"/>
      <c r="AT918" s="855"/>
      <c r="AV918" s="857"/>
      <c r="AW918" s="857"/>
      <c r="AX918" s="857"/>
      <c r="AY918" s="857"/>
      <c r="AZ918" s="857"/>
      <c r="BA918" s="857"/>
      <c r="BB918" s="857"/>
      <c r="BC918" s="857"/>
      <c r="BD918" s="857"/>
      <c r="BE918" s="857"/>
      <c r="BF918" s="857"/>
      <c r="BG918" s="857"/>
    </row>
    <row r="919" spans="1:59" ht="15.75" customHeight="1">
      <c r="A919" s="857"/>
      <c r="B919" s="857"/>
      <c r="C919" s="857"/>
      <c r="D919" s="857"/>
      <c r="E919" s="857"/>
      <c r="F919" s="857"/>
      <c r="G919" s="857"/>
      <c r="H919" s="857"/>
      <c r="I919" s="857"/>
      <c r="J919" s="857"/>
      <c r="K919" s="857"/>
      <c r="L919" s="857"/>
      <c r="M919" s="857"/>
      <c r="N919" s="857"/>
      <c r="O919" s="857"/>
      <c r="P919" s="857"/>
      <c r="Q919" s="857"/>
      <c r="R919" s="857"/>
      <c r="S919" s="857"/>
      <c r="T919" s="857"/>
      <c r="U919" s="857"/>
      <c r="V919" s="857"/>
      <c r="W919" s="857"/>
      <c r="X919" s="857"/>
      <c r="Y919" s="857"/>
      <c r="Z919" s="857"/>
      <c r="AA919" s="857"/>
      <c r="AB919" s="857"/>
      <c r="AC919" s="857"/>
      <c r="AD919" s="857"/>
      <c r="AE919" s="857"/>
      <c r="AF919" s="857"/>
      <c r="AG919" s="857"/>
      <c r="AH919" s="857"/>
      <c r="AI919" s="857"/>
      <c r="AJ919" s="857"/>
      <c r="AK919" s="857"/>
      <c r="AL919" s="857"/>
      <c r="AM919" s="857"/>
      <c r="AN919" s="857"/>
      <c r="AO919" s="857"/>
      <c r="AP919" s="857"/>
      <c r="AQ919" s="857"/>
      <c r="AR919" s="857"/>
      <c r="AS919" s="857"/>
      <c r="AT919" s="855"/>
      <c r="AV919" s="857"/>
      <c r="AW919" s="857"/>
      <c r="AX919" s="857"/>
      <c r="AY919" s="857"/>
      <c r="AZ919" s="857"/>
      <c r="BA919" s="857"/>
      <c r="BB919" s="857"/>
      <c r="BC919" s="857"/>
      <c r="BD919" s="857"/>
      <c r="BE919" s="857"/>
      <c r="BF919" s="857"/>
      <c r="BG919" s="857"/>
    </row>
    <row r="920" spans="1:59" ht="15.75" customHeight="1">
      <c r="A920" s="857"/>
      <c r="B920" s="857"/>
      <c r="C920" s="857"/>
      <c r="D920" s="857"/>
      <c r="E920" s="857"/>
      <c r="F920" s="857"/>
      <c r="G920" s="857"/>
      <c r="H920" s="857"/>
      <c r="I920" s="857"/>
      <c r="J920" s="857"/>
      <c r="K920" s="857"/>
      <c r="L920" s="857"/>
      <c r="M920" s="857"/>
      <c r="N920" s="857"/>
      <c r="O920" s="857"/>
      <c r="P920" s="857"/>
      <c r="Q920" s="857"/>
      <c r="R920" s="857"/>
      <c r="S920" s="857"/>
      <c r="T920" s="857"/>
      <c r="U920" s="857"/>
      <c r="V920" s="857"/>
      <c r="W920" s="857"/>
      <c r="X920" s="857"/>
      <c r="Y920" s="857"/>
      <c r="Z920" s="857"/>
      <c r="AA920" s="857"/>
      <c r="AB920" s="857"/>
      <c r="AC920" s="857"/>
      <c r="AD920" s="857"/>
      <c r="AE920" s="857"/>
      <c r="AF920" s="857"/>
      <c r="AG920" s="857"/>
      <c r="AH920" s="857"/>
      <c r="AI920" s="857"/>
      <c r="AJ920" s="857"/>
      <c r="AK920" s="857"/>
      <c r="AL920" s="857"/>
      <c r="AM920" s="857"/>
      <c r="AN920" s="857"/>
      <c r="AO920" s="857"/>
      <c r="AP920" s="857"/>
      <c r="AQ920" s="857"/>
      <c r="AR920" s="857"/>
      <c r="AS920" s="857"/>
      <c r="AT920" s="855"/>
      <c r="AV920" s="857"/>
      <c r="AW920" s="857"/>
      <c r="AX920" s="857"/>
      <c r="AY920" s="857"/>
      <c r="AZ920" s="857"/>
      <c r="BA920" s="857"/>
      <c r="BB920" s="857"/>
      <c r="BC920" s="857"/>
      <c r="BD920" s="857"/>
      <c r="BE920" s="857"/>
      <c r="BF920" s="857"/>
      <c r="BG920" s="857"/>
    </row>
    <row r="921" spans="1:59" ht="15.75" customHeight="1">
      <c r="A921" s="857"/>
      <c r="B921" s="857"/>
      <c r="C921" s="857"/>
      <c r="D921" s="857"/>
      <c r="E921" s="857"/>
      <c r="F921" s="857"/>
      <c r="G921" s="857"/>
      <c r="H921" s="857"/>
      <c r="I921" s="857"/>
      <c r="J921" s="857"/>
      <c r="K921" s="857"/>
      <c r="L921" s="857"/>
      <c r="M921" s="857"/>
      <c r="N921" s="857"/>
      <c r="O921" s="857"/>
      <c r="P921" s="857"/>
      <c r="Q921" s="857"/>
      <c r="R921" s="857"/>
      <c r="S921" s="857"/>
      <c r="T921" s="857"/>
      <c r="U921" s="857"/>
      <c r="V921" s="857"/>
      <c r="W921" s="857"/>
      <c r="X921" s="857"/>
      <c r="Y921" s="857"/>
      <c r="Z921" s="857"/>
      <c r="AA921" s="857"/>
      <c r="AB921" s="857"/>
      <c r="AC921" s="857"/>
      <c r="AD921" s="857"/>
      <c r="AE921" s="857"/>
      <c r="AF921" s="857"/>
      <c r="AG921" s="857"/>
      <c r="AH921" s="857"/>
      <c r="AI921" s="857"/>
      <c r="AJ921" s="857"/>
      <c r="AK921" s="857"/>
      <c r="AL921" s="857"/>
      <c r="AM921" s="857"/>
      <c r="AN921" s="857"/>
      <c r="AO921" s="857"/>
      <c r="AP921" s="857"/>
      <c r="AQ921" s="857"/>
      <c r="AR921" s="857"/>
      <c r="AS921" s="857"/>
      <c r="AT921" s="855"/>
      <c r="AV921" s="857"/>
      <c r="AW921" s="857"/>
      <c r="AX921" s="857"/>
      <c r="AY921" s="857"/>
      <c r="AZ921" s="857"/>
      <c r="BA921" s="857"/>
      <c r="BB921" s="857"/>
      <c r="BC921" s="857"/>
      <c r="BD921" s="857"/>
      <c r="BE921" s="857"/>
      <c r="BF921" s="857"/>
      <c r="BG921" s="857"/>
    </row>
    <row r="922" spans="1:59" ht="15.75" customHeight="1">
      <c r="A922" s="857"/>
      <c r="B922" s="857"/>
      <c r="C922" s="857"/>
      <c r="D922" s="857"/>
      <c r="E922" s="857"/>
      <c r="F922" s="857"/>
      <c r="G922" s="857"/>
      <c r="H922" s="857"/>
      <c r="I922" s="857"/>
      <c r="J922" s="857"/>
      <c r="K922" s="857"/>
      <c r="L922" s="857"/>
      <c r="M922" s="857"/>
      <c r="N922" s="857"/>
      <c r="O922" s="857"/>
      <c r="P922" s="857"/>
      <c r="Q922" s="857"/>
      <c r="R922" s="857"/>
      <c r="S922" s="857"/>
      <c r="T922" s="857"/>
      <c r="U922" s="857"/>
      <c r="V922" s="857"/>
      <c r="W922" s="857"/>
      <c r="X922" s="857"/>
      <c r="Y922" s="857"/>
      <c r="Z922" s="857"/>
      <c r="AA922" s="857"/>
      <c r="AB922" s="857"/>
      <c r="AC922" s="857"/>
      <c r="AD922" s="857"/>
      <c r="AE922" s="857"/>
      <c r="AF922" s="857"/>
      <c r="AG922" s="857"/>
      <c r="AH922" s="857"/>
      <c r="AI922" s="857"/>
      <c r="AJ922" s="857"/>
      <c r="AK922" s="857"/>
      <c r="AL922" s="857"/>
      <c r="AM922" s="857"/>
      <c r="AN922" s="857"/>
      <c r="AO922" s="857"/>
      <c r="AP922" s="857"/>
      <c r="AQ922" s="857"/>
      <c r="AR922" s="857"/>
      <c r="AS922" s="857"/>
      <c r="AT922" s="855"/>
      <c r="AV922" s="857"/>
      <c r="AW922" s="857"/>
      <c r="AX922" s="857"/>
      <c r="AY922" s="857"/>
      <c r="AZ922" s="857"/>
      <c r="BA922" s="857"/>
      <c r="BB922" s="857"/>
      <c r="BC922" s="857"/>
      <c r="BD922" s="857"/>
      <c r="BE922" s="857"/>
      <c r="BF922" s="857"/>
      <c r="BG922" s="857"/>
    </row>
    <row r="923" spans="1:59" ht="15.75" customHeight="1">
      <c r="A923" s="857"/>
      <c r="B923" s="857"/>
      <c r="C923" s="857"/>
      <c r="D923" s="857"/>
      <c r="E923" s="857"/>
      <c r="F923" s="857"/>
      <c r="G923" s="857"/>
      <c r="H923" s="857"/>
      <c r="I923" s="857"/>
      <c r="J923" s="857"/>
      <c r="K923" s="857"/>
      <c r="L923" s="857"/>
      <c r="M923" s="857"/>
      <c r="N923" s="857"/>
      <c r="O923" s="857"/>
      <c r="P923" s="857"/>
      <c r="Q923" s="857"/>
      <c r="R923" s="857"/>
      <c r="S923" s="857"/>
      <c r="T923" s="857"/>
      <c r="U923" s="857"/>
      <c r="V923" s="857"/>
      <c r="W923" s="857"/>
      <c r="X923" s="857"/>
      <c r="Y923" s="857"/>
      <c r="Z923" s="857"/>
      <c r="AA923" s="857"/>
      <c r="AB923" s="857"/>
      <c r="AC923" s="857"/>
      <c r="AD923" s="857"/>
      <c r="AE923" s="857"/>
      <c r="AF923" s="857"/>
      <c r="AG923" s="857"/>
      <c r="AH923" s="857"/>
      <c r="AI923" s="857"/>
      <c r="AJ923" s="857"/>
      <c r="AK923" s="857"/>
      <c r="AL923" s="857"/>
      <c r="AM923" s="857"/>
      <c r="AN923" s="857"/>
      <c r="AO923" s="857"/>
      <c r="AP923" s="857"/>
      <c r="AQ923" s="857"/>
      <c r="AR923" s="857"/>
      <c r="AS923" s="857"/>
      <c r="AT923" s="855"/>
      <c r="AV923" s="857"/>
      <c r="AW923" s="857"/>
      <c r="AX923" s="857"/>
      <c r="AY923" s="857"/>
      <c r="AZ923" s="857"/>
      <c r="BA923" s="857"/>
      <c r="BB923" s="857"/>
      <c r="BC923" s="857"/>
      <c r="BD923" s="857"/>
      <c r="BE923" s="857"/>
      <c r="BF923" s="857"/>
      <c r="BG923" s="857"/>
    </row>
    <row r="924" spans="1:59" ht="15.75" customHeight="1">
      <c r="A924" s="857"/>
      <c r="B924" s="857"/>
      <c r="C924" s="857"/>
      <c r="D924" s="857"/>
      <c r="E924" s="857"/>
      <c r="F924" s="857"/>
      <c r="G924" s="857"/>
      <c r="H924" s="857"/>
      <c r="I924" s="857"/>
      <c r="J924" s="857"/>
      <c r="K924" s="857"/>
      <c r="L924" s="857"/>
      <c r="M924" s="857"/>
      <c r="N924" s="857"/>
      <c r="O924" s="857"/>
      <c r="P924" s="857"/>
      <c r="Q924" s="857"/>
      <c r="R924" s="857"/>
      <c r="S924" s="857"/>
      <c r="T924" s="857"/>
      <c r="U924" s="857"/>
      <c r="V924" s="857"/>
      <c r="W924" s="857"/>
      <c r="X924" s="857"/>
      <c r="Y924" s="857"/>
      <c r="Z924" s="857"/>
      <c r="AA924" s="857"/>
      <c r="AB924" s="857"/>
      <c r="AC924" s="857"/>
      <c r="AD924" s="857"/>
      <c r="AE924" s="857"/>
      <c r="AF924" s="857"/>
      <c r="AG924" s="857"/>
      <c r="AH924" s="857"/>
      <c r="AI924" s="857"/>
      <c r="AJ924" s="857"/>
      <c r="AK924" s="857"/>
      <c r="AL924" s="857"/>
      <c r="AM924" s="857"/>
      <c r="AN924" s="857"/>
      <c r="AO924" s="857"/>
      <c r="AP924" s="857"/>
      <c r="AQ924" s="857"/>
      <c r="AR924" s="857"/>
      <c r="AS924" s="857"/>
      <c r="AT924" s="855"/>
      <c r="AV924" s="857"/>
      <c r="AW924" s="857"/>
      <c r="AX924" s="857"/>
      <c r="AY924" s="857"/>
      <c r="AZ924" s="857"/>
      <c r="BA924" s="857"/>
      <c r="BB924" s="857"/>
      <c r="BC924" s="857"/>
      <c r="BD924" s="857"/>
      <c r="BE924" s="857"/>
      <c r="BF924" s="857"/>
      <c r="BG924" s="857"/>
    </row>
    <row r="925" spans="1:59" ht="15.75" customHeight="1">
      <c r="A925" s="857"/>
      <c r="B925" s="857"/>
      <c r="C925" s="857"/>
      <c r="D925" s="857"/>
      <c r="E925" s="857"/>
      <c r="F925" s="857"/>
      <c r="G925" s="857"/>
      <c r="H925" s="857"/>
      <c r="I925" s="857"/>
      <c r="J925" s="857"/>
      <c r="K925" s="857"/>
      <c r="L925" s="857"/>
      <c r="M925" s="857"/>
      <c r="N925" s="857"/>
      <c r="O925" s="857"/>
      <c r="P925" s="857"/>
      <c r="Q925" s="857"/>
      <c r="R925" s="857"/>
      <c r="S925" s="857"/>
      <c r="T925" s="857"/>
      <c r="U925" s="857"/>
      <c r="V925" s="857"/>
      <c r="W925" s="857"/>
      <c r="X925" s="857"/>
      <c r="Y925" s="857"/>
      <c r="Z925" s="857"/>
      <c r="AA925" s="857"/>
      <c r="AB925" s="857"/>
      <c r="AC925" s="857"/>
      <c r="AD925" s="857"/>
      <c r="AE925" s="857"/>
      <c r="AF925" s="857"/>
      <c r="AG925" s="857"/>
      <c r="AH925" s="857"/>
      <c r="AI925" s="857"/>
      <c r="AJ925" s="857"/>
      <c r="AK925" s="857"/>
      <c r="AL925" s="857"/>
      <c r="AM925" s="857"/>
      <c r="AN925" s="857"/>
      <c r="AO925" s="857"/>
      <c r="AP925" s="857"/>
      <c r="AQ925" s="857"/>
      <c r="AR925" s="857"/>
      <c r="AS925" s="857"/>
      <c r="AT925" s="855"/>
      <c r="AV925" s="857"/>
      <c r="AW925" s="857"/>
      <c r="AX925" s="857"/>
      <c r="AY925" s="857"/>
      <c r="AZ925" s="857"/>
      <c r="BA925" s="857"/>
      <c r="BB925" s="857"/>
      <c r="BC925" s="857"/>
      <c r="BD925" s="857"/>
      <c r="BE925" s="857"/>
      <c r="BF925" s="857"/>
      <c r="BG925" s="857"/>
    </row>
    <row r="926" spans="1:59" ht="15.75" customHeight="1">
      <c r="A926" s="857"/>
      <c r="B926" s="857"/>
      <c r="C926" s="857"/>
      <c r="D926" s="857"/>
      <c r="E926" s="857"/>
      <c r="F926" s="857"/>
      <c r="G926" s="857"/>
      <c r="H926" s="857"/>
      <c r="I926" s="857"/>
      <c r="J926" s="857"/>
      <c r="K926" s="857"/>
      <c r="L926" s="857"/>
      <c r="M926" s="857"/>
      <c r="N926" s="857"/>
      <c r="O926" s="857"/>
      <c r="P926" s="857"/>
      <c r="Q926" s="857"/>
      <c r="R926" s="857"/>
      <c r="S926" s="857"/>
      <c r="T926" s="857"/>
      <c r="U926" s="857"/>
      <c r="V926" s="857"/>
      <c r="W926" s="857"/>
      <c r="X926" s="857"/>
      <c r="Y926" s="857"/>
      <c r="Z926" s="857"/>
      <c r="AA926" s="857"/>
      <c r="AB926" s="857"/>
      <c r="AC926" s="857"/>
      <c r="AD926" s="857"/>
      <c r="AE926" s="857"/>
      <c r="AF926" s="857"/>
      <c r="AG926" s="857"/>
      <c r="AH926" s="857"/>
      <c r="AI926" s="857"/>
      <c r="AJ926" s="857"/>
      <c r="AK926" s="857"/>
      <c r="AL926" s="857"/>
      <c r="AM926" s="857"/>
      <c r="AN926" s="857"/>
      <c r="AO926" s="857"/>
      <c r="AP926" s="857"/>
      <c r="AQ926" s="857"/>
      <c r="AR926" s="857"/>
      <c r="AS926" s="857"/>
      <c r="AT926" s="855"/>
      <c r="AV926" s="857"/>
      <c r="AW926" s="857"/>
      <c r="AX926" s="857"/>
      <c r="AY926" s="857"/>
      <c r="AZ926" s="857"/>
      <c r="BA926" s="857"/>
      <c r="BB926" s="857"/>
      <c r="BC926" s="857"/>
      <c r="BD926" s="857"/>
      <c r="BE926" s="857"/>
      <c r="BF926" s="857"/>
      <c r="BG926" s="857"/>
    </row>
    <row r="927" spans="1:59" ht="15.75" customHeight="1">
      <c r="A927" s="857"/>
      <c r="B927" s="857"/>
      <c r="C927" s="857"/>
      <c r="D927" s="857"/>
      <c r="E927" s="857"/>
      <c r="F927" s="857"/>
      <c r="G927" s="857"/>
      <c r="H927" s="857"/>
      <c r="I927" s="857"/>
      <c r="J927" s="857"/>
      <c r="K927" s="857"/>
      <c r="L927" s="857"/>
      <c r="M927" s="857"/>
      <c r="N927" s="857"/>
      <c r="O927" s="857"/>
      <c r="P927" s="857"/>
      <c r="Q927" s="857"/>
      <c r="R927" s="857"/>
      <c r="S927" s="857"/>
      <c r="T927" s="857"/>
      <c r="U927" s="857"/>
      <c r="V927" s="857"/>
      <c r="W927" s="857"/>
      <c r="X927" s="857"/>
      <c r="Y927" s="857"/>
      <c r="Z927" s="857"/>
      <c r="AA927" s="857"/>
      <c r="AB927" s="857"/>
      <c r="AC927" s="857"/>
      <c r="AD927" s="857"/>
      <c r="AE927" s="857"/>
      <c r="AF927" s="857"/>
      <c r="AG927" s="857"/>
      <c r="AH927" s="857"/>
      <c r="AI927" s="857"/>
      <c r="AJ927" s="857"/>
      <c r="AK927" s="857"/>
      <c r="AL927" s="857"/>
      <c r="AM927" s="857"/>
      <c r="AN927" s="857"/>
      <c r="AO927" s="857"/>
      <c r="AP927" s="857"/>
      <c r="AQ927" s="857"/>
      <c r="AR927" s="857"/>
      <c r="AS927" s="857"/>
      <c r="AT927" s="855"/>
      <c r="AV927" s="857"/>
      <c r="AW927" s="857"/>
      <c r="AX927" s="857"/>
      <c r="AY927" s="857"/>
      <c r="AZ927" s="857"/>
      <c r="BA927" s="857"/>
      <c r="BB927" s="857"/>
      <c r="BC927" s="857"/>
      <c r="BD927" s="857"/>
      <c r="BE927" s="857"/>
      <c r="BF927" s="857"/>
      <c r="BG927" s="857"/>
    </row>
    <row r="928" spans="1:59" ht="15.75" customHeight="1">
      <c r="A928" s="857"/>
      <c r="B928" s="857"/>
      <c r="C928" s="857"/>
      <c r="D928" s="857"/>
      <c r="E928" s="857"/>
      <c r="F928" s="857"/>
      <c r="G928" s="857"/>
      <c r="H928" s="857"/>
      <c r="I928" s="857"/>
      <c r="J928" s="857"/>
      <c r="K928" s="857"/>
      <c r="L928" s="857"/>
      <c r="M928" s="857"/>
      <c r="N928" s="857"/>
      <c r="O928" s="857"/>
      <c r="P928" s="857"/>
      <c r="Q928" s="857"/>
      <c r="R928" s="857"/>
      <c r="S928" s="857"/>
      <c r="T928" s="857"/>
      <c r="U928" s="857"/>
      <c r="V928" s="857"/>
      <c r="W928" s="857"/>
      <c r="X928" s="857"/>
      <c r="Y928" s="857"/>
      <c r="Z928" s="857"/>
      <c r="AA928" s="857"/>
      <c r="AB928" s="857"/>
      <c r="AC928" s="857"/>
      <c r="AD928" s="857"/>
      <c r="AE928" s="857"/>
      <c r="AF928" s="857"/>
      <c r="AG928" s="857"/>
      <c r="AH928" s="857"/>
      <c r="AI928" s="857"/>
      <c r="AJ928" s="857"/>
      <c r="AK928" s="857"/>
      <c r="AL928" s="857"/>
      <c r="AM928" s="857"/>
      <c r="AN928" s="857"/>
      <c r="AO928" s="857"/>
      <c r="AP928" s="857"/>
      <c r="AQ928" s="857"/>
      <c r="AR928" s="857"/>
      <c r="AS928" s="857"/>
      <c r="AT928" s="855"/>
      <c r="AV928" s="857"/>
      <c r="AW928" s="857"/>
      <c r="AX928" s="857"/>
      <c r="AY928" s="857"/>
      <c r="AZ928" s="857"/>
      <c r="BA928" s="857"/>
      <c r="BB928" s="857"/>
      <c r="BC928" s="857"/>
      <c r="BD928" s="857"/>
      <c r="BE928" s="857"/>
      <c r="BF928" s="857"/>
      <c r="BG928" s="857"/>
    </row>
    <row r="929" spans="1:59" ht="15.75" customHeight="1">
      <c r="A929" s="857"/>
      <c r="B929" s="857"/>
      <c r="C929" s="857"/>
      <c r="D929" s="857"/>
      <c r="E929" s="857"/>
      <c r="F929" s="857"/>
      <c r="G929" s="857"/>
      <c r="H929" s="857"/>
      <c r="I929" s="857"/>
      <c r="J929" s="857"/>
      <c r="K929" s="857"/>
      <c r="L929" s="857"/>
      <c r="M929" s="857"/>
      <c r="N929" s="857"/>
      <c r="O929" s="857"/>
      <c r="P929" s="857"/>
      <c r="Q929" s="857"/>
      <c r="R929" s="857"/>
      <c r="S929" s="857"/>
      <c r="T929" s="857"/>
      <c r="U929" s="857"/>
      <c r="V929" s="857"/>
      <c r="W929" s="857"/>
      <c r="X929" s="857"/>
      <c r="Y929" s="857"/>
      <c r="Z929" s="857"/>
      <c r="AA929" s="857"/>
      <c r="AB929" s="857"/>
      <c r="AC929" s="857"/>
      <c r="AD929" s="857"/>
      <c r="AE929" s="857"/>
      <c r="AF929" s="857"/>
      <c r="AG929" s="857"/>
      <c r="AH929" s="857"/>
      <c r="AI929" s="857"/>
      <c r="AJ929" s="857"/>
      <c r="AK929" s="857"/>
      <c r="AL929" s="857"/>
      <c r="AM929" s="857"/>
      <c r="AN929" s="857"/>
      <c r="AO929" s="857"/>
      <c r="AP929" s="857"/>
      <c r="AQ929" s="857"/>
      <c r="AR929" s="857"/>
      <c r="AS929" s="857"/>
      <c r="AT929" s="855"/>
      <c r="AV929" s="857"/>
      <c r="AW929" s="857"/>
      <c r="AX929" s="857"/>
      <c r="AY929" s="857"/>
      <c r="AZ929" s="857"/>
      <c r="BA929" s="857"/>
      <c r="BB929" s="857"/>
      <c r="BC929" s="857"/>
      <c r="BD929" s="857"/>
      <c r="BE929" s="857"/>
      <c r="BF929" s="857"/>
      <c r="BG929" s="857"/>
    </row>
    <row r="930" spans="1:59" ht="15.75" customHeight="1">
      <c r="A930" s="857"/>
      <c r="B930" s="857"/>
      <c r="C930" s="857"/>
      <c r="D930" s="857"/>
      <c r="E930" s="857"/>
      <c r="F930" s="857"/>
      <c r="G930" s="857"/>
      <c r="H930" s="857"/>
      <c r="I930" s="857"/>
      <c r="J930" s="857"/>
      <c r="K930" s="857"/>
      <c r="L930" s="857"/>
      <c r="M930" s="857"/>
      <c r="N930" s="857"/>
      <c r="O930" s="857"/>
      <c r="P930" s="857"/>
      <c r="Q930" s="857"/>
      <c r="R930" s="857"/>
      <c r="S930" s="857"/>
      <c r="T930" s="857"/>
      <c r="U930" s="857"/>
      <c r="V930" s="857"/>
      <c r="W930" s="857"/>
      <c r="X930" s="857"/>
      <c r="Y930" s="857"/>
      <c r="Z930" s="857"/>
      <c r="AA930" s="857"/>
      <c r="AB930" s="857"/>
      <c r="AC930" s="857"/>
      <c r="AD930" s="857"/>
      <c r="AE930" s="857"/>
      <c r="AF930" s="857"/>
      <c r="AG930" s="857"/>
      <c r="AH930" s="857"/>
      <c r="AI930" s="857"/>
      <c r="AJ930" s="857"/>
      <c r="AK930" s="857"/>
      <c r="AL930" s="857"/>
      <c r="AM930" s="857"/>
      <c r="AN930" s="857"/>
      <c r="AO930" s="857"/>
      <c r="AP930" s="857"/>
      <c r="AQ930" s="857"/>
      <c r="AR930" s="857"/>
      <c r="AS930" s="857"/>
      <c r="AT930" s="855"/>
      <c r="AV930" s="857"/>
      <c r="AW930" s="857"/>
      <c r="AX930" s="857"/>
      <c r="AY930" s="857"/>
      <c r="AZ930" s="857"/>
      <c r="BA930" s="857"/>
      <c r="BB930" s="857"/>
      <c r="BC930" s="857"/>
      <c r="BD930" s="857"/>
      <c r="BE930" s="857"/>
      <c r="BF930" s="857"/>
      <c r="BG930" s="857"/>
    </row>
    <row r="931" spans="1:59" ht="15.75" customHeight="1">
      <c r="A931" s="857"/>
      <c r="B931" s="857"/>
      <c r="C931" s="857"/>
      <c r="D931" s="857"/>
      <c r="E931" s="857"/>
      <c r="F931" s="857"/>
      <c r="G931" s="857"/>
      <c r="H931" s="857"/>
      <c r="I931" s="857"/>
      <c r="J931" s="857"/>
      <c r="K931" s="857"/>
      <c r="L931" s="857"/>
      <c r="M931" s="857"/>
      <c r="N931" s="857"/>
      <c r="O931" s="857"/>
      <c r="P931" s="857"/>
      <c r="Q931" s="857"/>
      <c r="R931" s="857"/>
      <c r="S931" s="857"/>
      <c r="T931" s="857"/>
      <c r="U931" s="857"/>
      <c r="V931" s="857"/>
      <c r="W931" s="857"/>
      <c r="X931" s="857"/>
      <c r="Y931" s="857"/>
      <c r="Z931" s="857"/>
      <c r="AA931" s="857"/>
      <c r="AB931" s="857"/>
      <c r="AC931" s="857"/>
      <c r="AD931" s="857"/>
      <c r="AE931" s="857"/>
      <c r="AF931" s="857"/>
      <c r="AG931" s="857"/>
      <c r="AH931" s="857"/>
      <c r="AI931" s="857"/>
      <c r="AJ931" s="857"/>
      <c r="AK931" s="857"/>
      <c r="AL931" s="857"/>
      <c r="AM931" s="857"/>
      <c r="AN931" s="857"/>
      <c r="AO931" s="857"/>
      <c r="AP931" s="857"/>
      <c r="AQ931" s="857"/>
      <c r="AR931" s="857"/>
      <c r="AS931" s="857"/>
      <c r="AT931" s="855"/>
      <c r="AV931" s="857"/>
      <c r="AW931" s="857"/>
      <c r="AX931" s="857"/>
      <c r="AY931" s="857"/>
      <c r="AZ931" s="857"/>
      <c r="BA931" s="857"/>
      <c r="BB931" s="857"/>
      <c r="BC931" s="857"/>
      <c r="BD931" s="857"/>
      <c r="BE931" s="857"/>
      <c r="BF931" s="857"/>
      <c r="BG931" s="857"/>
    </row>
    <row r="932" spans="1:59" ht="15.75" customHeight="1">
      <c r="A932" s="857"/>
      <c r="B932" s="857"/>
      <c r="C932" s="857"/>
      <c r="D932" s="857"/>
      <c r="E932" s="857"/>
      <c r="F932" s="857"/>
      <c r="G932" s="857"/>
      <c r="H932" s="857"/>
      <c r="I932" s="857"/>
      <c r="J932" s="857"/>
      <c r="K932" s="857"/>
      <c r="L932" s="857"/>
      <c r="M932" s="857"/>
      <c r="N932" s="857"/>
      <c r="O932" s="857"/>
      <c r="P932" s="857"/>
      <c r="Q932" s="857"/>
      <c r="R932" s="857"/>
      <c r="S932" s="857"/>
      <c r="T932" s="857"/>
      <c r="U932" s="857"/>
      <c r="V932" s="857"/>
      <c r="W932" s="857"/>
      <c r="X932" s="857"/>
      <c r="Y932" s="857"/>
      <c r="Z932" s="857"/>
      <c r="AA932" s="857"/>
      <c r="AB932" s="857"/>
      <c r="AC932" s="857"/>
      <c r="AD932" s="857"/>
      <c r="AE932" s="857"/>
      <c r="AF932" s="857"/>
      <c r="AG932" s="857"/>
      <c r="AH932" s="857"/>
      <c r="AI932" s="857"/>
      <c r="AJ932" s="857"/>
      <c r="AK932" s="857"/>
      <c r="AL932" s="857"/>
      <c r="AM932" s="857"/>
      <c r="AN932" s="857"/>
      <c r="AO932" s="857"/>
      <c r="AP932" s="857"/>
      <c r="AQ932" s="857"/>
      <c r="AR932" s="857"/>
      <c r="AS932" s="857"/>
      <c r="AT932" s="855"/>
      <c r="AV932" s="857"/>
      <c r="AW932" s="857"/>
      <c r="AX932" s="857"/>
      <c r="AY932" s="857"/>
      <c r="AZ932" s="857"/>
      <c r="BA932" s="857"/>
      <c r="BB932" s="857"/>
      <c r="BC932" s="857"/>
      <c r="BD932" s="857"/>
      <c r="BE932" s="857"/>
      <c r="BF932" s="857"/>
      <c r="BG932" s="857"/>
    </row>
    <row r="933" spans="1:59" ht="15.75" customHeight="1">
      <c r="A933" s="857"/>
      <c r="B933" s="857"/>
      <c r="C933" s="857"/>
      <c r="D933" s="857"/>
      <c r="E933" s="857"/>
      <c r="F933" s="857"/>
      <c r="G933" s="857"/>
      <c r="H933" s="857"/>
      <c r="I933" s="857"/>
      <c r="J933" s="857"/>
      <c r="K933" s="857"/>
      <c r="L933" s="857"/>
      <c r="M933" s="857"/>
      <c r="N933" s="857"/>
      <c r="O933" s="857"/>
      <c r="P933" s="857"/>
      <c r="Q933" s="857"/>
      <c r="R933" s="857"/>
      <c r="S933" s="857"/>
      <c r="T933" s="857"/>
      <c r="U933" s="857"/>
      <c r="V933" s="857"/>
      <c r="W933" s="857"/>
      <c r="X933" s="857"/>
      <c r="Y933" s="857"/>
      <c r="Z933" s="857"/>
      <c r="AA933" s="857"/>
      <c r="AB933" s="857"/>
      <c r="AC933" s="857"/>
      <c r="AD933" s="857"/>
      <c r="AE933" s="857"/>
      <c r="AF933" s="857"/>
      <c r="AG933" s="857"/>
      <c r="AH933" s="857"/>
      <c r="AI933" s="857"/>
      <c r="AJ933" s="857"/>
      <c r="AK933" s="857"/>
      <c r="AL933" s="857"/>
      <c r="AM933" s="857"/>
      <c r="AN933" s="857"/>
      <c r="AO933" s="857"/>
      <c r="AP933" s="857"/>
      <c r="AQ933" s="857"/>
      <c r="AR933" s="857"/>
      <c r="AS933" s="857"/>
      <c r="AT933" s="855"/>
      <c r="AV933" s="857"/>
      <c r="AW933" s="857"/>
      <c r="AX933" s="857"/>
      <c r="AY933" s="857"/>
      <c r="AZ933" s="857"/>
      <c r="BA933" s="857"/>
      <c r="BB933" s="857"/>
      <c r="BC933" s="857"/>
      <c r="BD933" s="857"/>
      <c r="BE933" s="857"/>
      <c r="BF933" s="857"/>
      <c r="BG933" s="857"/>
    </row>
    <row r="934" spans="1:59" ht="15.75" customHeight="1">
      <c r="A934" s="857"/>
      <c r="B934" s="857"/>
      <c r="C934" s="857"/>
      <c r="D934" s="857"/>
      <c r="E934" s="857"/>
      <c r="F934" s="857"/>
      <c r="G934" s="857"/>
      <c r="H934" s="857"/>
      <c r="I934" s="857"/>
      <c r="J934" s="857"/>
      <c r="K934" s="857"/>
      <c r="L934" s="857"/>
      <c r="M934" s="857"/>
      <c r="N934" s="857"/>
      <c r="O934" s="857"/>
      <c r="P934" s="857"/>
      <c r="Q934" s="857"/>
      <c r="R934" s="857"/>
      <c r="S934" s="857"/>
      <c r="T934" s="857"/>
      <c r="U934" s="857"/>
      <c r="V934" s="857"/>
      <c r="W934" s="857"/>
      <c r="X934" s="857"/>
      <c r="Y934" s="857"/>
      <c r="Z934" s="857"/>
      <c r="AA934" s="857"/>
      <c r="AB934" s="857"/>
      <c r="AC934" s="857"/>
      <c r="AD934" s="857"/>
      <c r="AE934" s="857"/>
      <c r="AF934" s="857"/>
      <c r="AG934" s="857"/>
      <c r="AH934" s="857"/>
      <c r="AI934" s="857"/>
      <c r="AJ934" s="857"/>
      <c r="AK934" s="857"/>
      <c r="AL934" s="857"/>
      <c r="AM934" s="857"/>
      <c r="AN934" s="857"/>
      <c r="AO934" s="857"/>
      <c r="AP934" s="857"/>
      <c r="AQ934" s="857"/>
      <c r="AR934" s="857"/>
      <c r="AS934" s="857"/>
      <c r="AT934" s="855"/>
      <c r="AV934" s="857"/>
      <c r="AW934" s="857"/>
      <c r="AX934" s="857"/>
      <c r="AY934" s="857"/>
      <c r="AZ934" s="857"/>
      <c r="BA934" s="857"/>
      <c r="BB934" s="857"/>
      <c r="BC934" s="857"/>
      <c r="BD934" s="857"/>
      <c r="BE934" s="857"/>
      <c r="BF934" s="857"/>
      <c r="BG934" s="857"/>
    </row>
    <row r="935" spans="1:59" ht="15.75" customHeight="1">
      <c r="A935" s="857"/>
      <c r="B935" s="857"/>
      <c r="C935" s="857"/>
      <c r="D935" s="857"/>
      <c r="E935" s="857"/>
      <c r="F935" s="857"/>
      <c r="G935" s="857"/>
      <c r="H935" s="857"/>
      <c r="I935" s="857"/>
      <c r="J935" s="857"/>
      <c r="K935" s="857"/>
      <c r="L935" s="857"/>
      <c r="M935" s="857"/>
      <c r="N935" s="857"/>
      <c r="O935" s="857"/>
      <c r="P935" s="857"/>
      <c r="Q935" s="857"/>
      <c r="R935" s="857"/>
      <c r="S935" s="857"/>
      <c r="T935" s="857"/>
      <c r="U935" s="857"/>
      <c r="V935" s="857"/>
      <c r="W935" s="857"/>
      <c r="X935" s="857"/>
      <c r="Y935" s="857"/>
      <c r="Z935" s="857"/>
      <c r="AA935" s="857"/>
      <c r="AB935" s="857"/>
      <c r="AC935" s="857"/>
      <c r="AD935" s="857"/>
      <c r="AE935" s="857"/>
      <c r="AF935" s="857"/>
      <c r="AG935" s="857"/>
      <c r="AH935" s="857"/>
      <c r="AI935" s="857"/>
      <c r="AJ935" s="857"/>
      <c r="AK935" s="857"/>
      <c r="AL935" s="857"/>
      <c r="AM935" s="857"/>
      <c r="AN935" s="857"/>
      <c r="AO935" s="857"/>
      <c r="AP935" s="857"/>
      <c r="AQ935" s="857"/>
      <c r="AR935" s="857"/>
      <c r="AS935" s="857"/>
      <c r="AT935" s="855"/>
      <c r="AV935" s="857"/>
      <c r="AW935" s="857"/>
      <c r="AX935" s="857"/>
      <c r="AY935" s="857"/>
      <c r="AZ935" s="857"/>
      <c r="BA935" s="857"/>
      <c r="BB935" s="857"/>
      <c r="BC935" s="857"/>
      <c r="BD935" s="857"/>
      <c r="BE935" s="857"/>
      <c r="BF935" s="857"/>
      <c r="BG935" s="857"/>
    </row>
    <row r="936" spans="1:59" ht="15.75" customHeight="1">
      <c r="A936" s="857"/>
      <c r="B936" s="857"/>
      <c r="C936" s="857"/>
      <c r="D936" s="857"/>
      <c r="E936" s="857"/>
      <c r="F936" s="857"/>
      <c r="G936" s="857"/>
      <c r="H936" s="857"/>
      <c r="I936" s="857"/>
      <c r="J936" s="857"/>
      <c r="K936" s="857"/>
      <c r="L936" s="857"/>
      <c r="M936" s="857"/>
      <c r="N936" s="857"/>
      <c r="O936" s="857"/>
      <c r="P936" s="857"/>
      <c r="Q936" s="857"/>
      <c r="R936" s="857"/>
      <c r="S936" s="857"/>
      <c r="T936" s="857"/>
      <c r="U936" s="857"/>
      <c r="V936" s="857"/>
      <c r="W936" s="857"/>
      <c r="X936" s="857"/>
      <c r="Y936" s="857"/>
      <c r="Z936" s="857"/>
      <c r="AA936" s="857"/>
      <c r="AB936" s="857"/>
      <c r="AC936" s="857"/>
      <c r="AD936" s="857"/>
      <c r="AE936" s="857"/>
      <c r="AF936" s="857"/>
      <c r="AG936" s="857"/>
      <c r="AH936" s="857"/>
      <c r="AI936" s="857"/>
      <c r="AJ936" s="857"/>
      <c r="AK936" s="857"/>
      <c r="AL936" s="857"/>
      <c r="AM936" s="857"/>
      <c r="AN936" s="857"/>
      <c r="AO936" s="857"/>
      <c r="AP936" s="857"/>
      <c r="AQ936" s="857"/>
      <c r="AR936" s="857"/>
      <c r="AS936" s="857"/>
      <c r="AT936" s="855"/>
      <c r="AV936" s="857"/>
      <c r="AW936" s="857"/>
      <c r="AX936" s="857"/>
      <c r="AY936" s="857"/>
      <c r="AZ936" s="857"/>
      <c r="BA936" s="857"/>
      <c r="BB936" s="857"/>
      <c r="BC936" s="857"/>
      <c r="BD936" s="857"/>
      <c r="BE936" s="857"/>
      <c r="BF936" s="857"/>
      <c r="BG936" s="857"/>
    </row>
    <row r="937" spans="1:59" ht="15.75" customHeight="1">
      <c r="A937" s="857"/>
      <c r="B937" s="857"/>
      <c r="C937" s="857"/>
      <c r="D937" s="857"/>
      <c r="E937" s="857"/>
      <c r="F937" s="857"/>
      <c r="G937" s="857"/>
      <c r="H937" s="857"/>
      <c r="I937" s="857"/>
      <c r="J937" s="857"/>
      <c r="K937" s="857"/>
      <c r="L937" s="857"/>
      <c r="M937" s="857"/>
      <c r="N937" s="857"/>
      <c r="O937" s="857"/>
      <c r="P937" s="857"/>
      <c r="Q937" s="857"/>
      <c r="R937" s="857"/>
      <c r="S937" s="857"/>
      <c r="T937" s="857"/>
      <c r="U937" s="857"/>
      <c r="V937" s="857"/>
      <c r="W937" s="857"/>
      <c r="X937" s="857"/>
      <c r="Y937" s="857"/>
      <c r="Z937" s="857"/>
      <c r="AA937" s="857"/>
      <c r="AB937" s="857"/>
      <c r="AC937" s="857"/>
      <c r="AD937" s="857"/>
      <c r="AE937" s="857"/>
      <c r="AF937" s="857"/>
      <c r="AG937" s="857"/>
      <c r="AH937" s="857"/>
      <c r="AI937" s="857"/>
      <c r="AJ937" s="857"/>
      <c r="AK937" s="857"/>
      <c r="AL937" s="857"/>
      <c r="AM937" s="857"/>
      <c r="AN937" s="857"/>
      <c r="AO937" s="857"/>
      <c r="AP937" s="857"/>
      <c r="AQ937" s="857"/>
      <c r="AR937" s="857"/>
      <c r="AS937" s="857"/>
      <c r="AT937" s="855"/>
      <c r="AV937" s="857"/>
      <c r="AW937" s="857"/>
      <c r="AX937" s="857"/>
      <c r="AY937" s="857"/>
      <c r="AZ937" s="857"/>
      <c r="BA937" s="857"/>
      <c r="BB937" s="857"/>
      <c r="BC937" s="857"/>
      <c r="BD937" s="857"/>
      <c r="BE937" s="857"/>
      <c r="BF937" s="857"/>
      <c r="BG937" s="857"/>
    </row>
    <row r="938" spans="1:59" ht="15.75" customHeight="1">
      <c r="A938" s="857"/>
      <c r="B938" s="857"/>
      <c r="C938" s="857"/>
      <c r="D938" s="857"/>
      <c r="E938" s="857"/>
      <c r="F938" s="857"/>
      <c r="G938" s="857"/>
      <c r="H938" s="857"/>
      <c r="I938" s="857"/>
      <c r="J938" s="857"/>
      <c r="K938" s="857"/>
      <c r="L938" s="857"/>
      <c r="M938" s="857"/>
      <c r="N938" s="857"/>
      <c r="O938" s="857"/>
      <c r="P938" s="857"/>
      <c r="Q938" s="857"/>
      <c r="R938" s="857"/>
      <c r="S938" s="857"/>
      <c r="T938" s="857"/>
      <c r="U938" s="857"/>
      <c r="V938" s="857"/>
      <c r="W938" s="857"/>
      <c r="X938" s="857"/>
      <c r="Y938" s="857"/>
      <c r="Z938" s="857"/>
      <c r="AA938" s="857"/>
      <c r="AB938" s="857"/>
      <c r="AC938" s="857"/>
      <c r="AD938" s="857"/>
      <c r="AE938" s="857"/>
      <c r="AF938" s="857"/>
      <c r="AG938" s="857"/>
      <c r="AH938" s="857"/>
      <c r="AI938" s="857"/>
      <c r="AJ938" s="857"/>
      <c r="AK938" s="857"/>
      <c r="AL938" s="857"/>
      <c r="AM938" s="857"/>
      <c r="AN938" s="857"/>
      <c r="AO938" s="857"/>
      <c r="AP938" s="857"/>
      <c r="AQ938" s="857"/>
      <c r="AR938" s="857"/>
      <c r="AS938" s="857"/>
      <c r="AT938" s="855"/>
      <c r="AV938" s="857"/>
      <c r="AW938" s="857"/>
      <c r="AX938" s="857"/>
      <c r="AY938" s="857"/>
      <c r="AZ938" s="857"/>
      <c r="BA938" s="857"/>
      <c r="BB938" s="857"/>
      <c r="BC938" s="857"/>
      <c r="BD938" s="857"/>
      <c r="BE938" s="857"/>
      <c r="BF938" s="857"/>
      <c r="BG938" s="857"/>
    </row>
    <row r="939" spans="1:59" ht="15.75" customHeight="1">
      <c r="A939" s="857"/>
      <c r="B939" s="857"/>
      <c r="C939" s="857"/>
      <c r="D939" s="857"/>
      <c r="E939" s="857"/>
      <c r="F939" s="857"/>
      <c r="G939" s="857"/>
      <c r="H939" s="857"/>
      <c r="I939" s="857"/>
      <c r="J939" s="857"/>
      <c r="K939" s="857"/>
      <c r="L939" s="857"/>
      <c r="M939" s="857"/>
      <c r="N939" s="857"/>
      <c r="O939" s="857"/>
      <c r="P939" s="857"/>
      <c r="Q939" s="857"/>
      <c r="R939" s="857"/>
      <c r="S939" s="857"/>
      <c r="T939" s="857"/>
      <c r="U939" s="857"/>
      <c r="V939" s="857"/>
      <c r="W939" s="857"/>
      <c r="X939" s="857"/>
      <c r="Y939" s="857"/>
      <c r="Z939" s="857"/>
      <c r="AA939" s="857"/>
      <c r="AB939" s="857"/>
      <c r="AC939" s="857"/>
      <c r="AD939" s="857"/>
      <c r="AE939" s="857"/>
      <c r="AF939" s="857"/>
      <c r="AG939" s="857"/>
      <c r="AH939" s="857"/>
      <c r="AI939" s="857"/>
      <c r="AJ939" s="857"/>
      <c r="AK939" s="857"/>
      <c r="AL939" s="857"/>
      <c r="AM939" s="857"/>
      <c r="AN939" s="857"/>
      <c r="AO939" s="857"/>
      <c r="AP939" s="857"/>
      <c r="AQ939" s="857"/>
      <c r="AR939" s="857"/>
      <c r="AS939" s="857"/>
      <c r="AT939" s="855"/>
      <c r="AV939" s="857"/>
      <c r="AW939" s="857"/>
      <c r="AX939" s="857"/>
      <c r="AY939" s="857"/>
      <c r="AZ939" s="857"/>
      <c r="BA939" s="857"/>
      <c r="BB939" s="857"/>
      <c r="BC939" s="857"/>
      <c r="BD939" s="857"/>
      <c r="BE939" s="857"/>
      <c r="BF939" s="857"/>
      <c r="BG939" s="857"/>
    </row>
    <row r="940" spans="1:59" ht="15.75" customHeight="1">
      <c r="A940" s="857"/>
      <c r="B940" s="857"/>
      <c r="C940" s="857"/>
      <c r="D940" s="857"/>
      <c r="E940" s="857"/>
      <c r="F940" s="857"/>
      <c r="G940" s="857"/>
      <c r="H940" s="857"/>
      <c r="I940" s="857"/>
      <c r="J940" s="857"/>
      <c r="K940" s="857"/>
      <c r="L940" s="857"/>
      <c r="M940" s="857"/>
      <c r="N940" s="857"/>
      <c r="O940" s="857"/>
      <c r="P940" s="857"/>
      <c r="Q940" s="857"/>
      <c r="R940" s="857"/>
      <c r="S940" s="857"/>
      <c r="T940" s="857"/>
      <c r="U940" s="857"/>
      <c r="V940" s="857"/>
      <c r="W940" s="857"/>
      <c r="X940" s="857"/>
      <c r="Y940" s="857"/>
      <c r="Z940" s="857"/>
      <c r="AA940" s="857"/>
      <c r="AB940" s="857"/>
      <c r="AC940" s="857"/>
      <c r="AD940" s="857"/>
      <c r="AE940" s="857"/>
      <c r="AF940" s="857"/>
      <c r="AG940" s="857"/>
      <c r="AH940" s="857"/>
      <c r="AI940" s="857"/>
      <c r="AJ940" s="857"/>
      <c r="AK940" s="857"/>
      <c r="AL940" s="857"/>
      <c r="AM940" s="857"/>
      <c r="AN940" s="857"/>
      <c r="AO940" s="857"/>
      <c r="AP940" s="857"/>
      <c r="AQ940" s="857"/>
      <c r="AR940" s="857"/>
      <c r="AS940" s="857"/>
      <c r="AT940" s="855"/>
      <c r="AV940" s="857"/>
      <c r="AW940" s="857"/>
      <c r="AX940" s="857"/>
      <c r="AY940" s="857"/>
      <c r="AZ940" s="857"/>
      <c r="BA940" s="857"/>
      <c r="BB940" s="857"/>
      <c r="BC940" s="857"/>
      <c r="BD940" s="857"/>
      <c r="BE940" s="857"/>
      <c r="BF940" s="857"/>
      <c r="BG940" s="857"/>
    </row>
    <row r="941" spans="1:59" ht="15.75" customHeight="1">
      <c r="A941" s="857"/>
      <c r="B941" s="857"/>
      <c r="C941" s="857"/>
      <c r="D941" s="857"/>
      <c r="E941" s="857"/>
      <c r="F941" s="857"/>
      <c r="G941" s="857"/>
      <c r="H941" s="857"/>
      <c r="I941" s="857"/>
      <c r="J941" s="857"/>
      <c r="K941" s="857"/>
      <c r="L941" s="857"/>
      <c r="M941" s="857"/>
      <c r="N941" s="857"/>
      <c r="O941" s="857"/>
      <c r="P941" s="857"/>
      <c r="Q941" s="857"/>
      <c r="R941" s="857"/>
      <c r="S941" s="857"/>
      <c r="T941" s="857"/>
      <c r="U941" s="857"/>
      <c r="V941" s="857"/>
      <c r="W941" s="857"/>
      <c r="X941" s="857"/>
      <c r="Y941" s="857"/>
      <c r="Z941" s="857"/>
      <c r="AA941" s="857"/>
      <c r="AB941" s="857"/>
      <c r="AC941" s="857"/>
      <c r="AD941" s="857"/>
      <c r="AE941" s="857"/>
      <c r="AF941" s="857"/>
      <c r="AG941" s="857"/>
      <c r="AH941" s="857"/>
      <c r="AI941" s="857"/>
      <c r="AJ941" s="857"/>
      <c r="AK941" s="857"/>
      <c r="AL941" s="857"/>
      <c r="AM941" s="857"/>
      <c r="AN941" s="857"/>
      <c r="AO941" s="857"/>
      <c r="AP941" s="857"/>
      <c r="AQ941" s="857"/>
      <c r="AR941" s="857"/>
      <c r="AS941" s="857"/>
      <c r="AT941" s="855"/>
      <c r="AV941" s="857"/>
      <c r="AW941" s="857"/>
      <c r="AX941" s="857"/>
      <c r="AY941" s="857"/>
      <c r="AZ941" s="857"/>
      <c r="BA941" s="857"/>
      <c r="BB941" s="857"/>
      <c r="BC941" s="857"/>
      <c r="BD941" s="857"/>
      <c r="BE941" s="857"/>
      <c r="BF941" s="857"/>
      <c r="BG941" s="857"/>
    </row>
    <row r="942" spans="1:59" ht="15.75" customHeight="1">
      <c r="A942" s="857"/>
      <c r="B942" s="857"/>
      <c r="C942" s="857"/>
      <c r="D942" s="857"/>
      <c r="E942" s="857"/>
      <c r="F942" s="857"/>
      <c r="G942" s="857"/>
      <c r="H942" s="857"/>
      <c r="I942" s="857"/>
      <c r="J942" s="857"/>
      <c r="K942" s="857"/>
      <c r="L942" s="857"/>
      <c r="M942" s="857"/>
      <c r="N942" s="857"/>
      <c r="O942" s="857"/>
      <c r="P942" s="857"/>
      <c r="Q942" s="857"/>
      <c r="R942" s="857"/>
      <c r="S942" s="857"/>
      <c r="T942" s="857"/>
      <c r="U942" s="857"/>
      <c r="V942" s="857"/>
      <c r="W942" s="857"/>
      <c r="X942" s="857"/>
      <c r="Y942" s="857"/>
      <c r="Z942" s="857"/>
      <c r="AA942" s="857"/>
      <c r="AB942" s="857"/>
      <c r="AC942" s="857"/>
      <c r="AD942" s="857"/>
      <c r="AE942" s="857"/>
      <c r="AF942" s="857"/>
      <c r="AG942" s="857"/>
      <c r="AH942" s="857"/>
      <c r="AI942" s="857"/>
      <c r="AJ942" s="857"/>
      <c r="AK942" s="857"/>
      <c r="AL942" s="857"/>
      <c r="AM942" s="857"/>
      <c r="AN942" s="857"/>
      <c r="AO942" s="857"/>
      <c r="AP942" s="857"/>
      <c r="AQ942" s="857"/>
      <c r="AR942" s="857"/>
      <c r="AS942" s="857"/>
      <c r="AT942" s="855"/>
      <c r="AV942" s="857"/>
      <c r="AW942" s="857"/>
      <c r="AX942" s="857"/>
      <c r="AY942" s="857"/>
      <c r="AZ942" s="857"/>
      <c r="BA942" s="857"/>
      <c r="BB942" s="857"/>
      <c r="BC942" s="857"/>
      <c r="BD942" s="857"/>
      <c r="BE942" s="857"/>
      <c r="BF942" s="857"/>
      <c r="BG942" s="857"/>
    </row>
    <row r="943" spans="1:59" ht="15.75" customHeight="1">
      <c r="A943" s="857"/>
      <c r="B943" s="857"/>
      <c r="C943" s="857"/>
      <c r="D943" s="857"/>
      <c r="E943" s="857"/>
      <c r="F943" s="857"/>
      <c r="G943" s="857"/>
      <c r="H943" s="857"/>
      <c r="I943" s="857"/>
      <c r="J943" s="857"/>
      <c r="K943" s="857"/>
      <c r="L943" s="857"/>
      <c r="M943" s="857"/>
      <c r="N943" s="857"/>
      <c r="O943" s="857"/>
      <c r="P943" s="857"/>
      <c r="Q943" s="857"/>
      <c r="R943" s="857"/>
      <c r="S943" s="857"/>
      <c r="T943" s="857"/>
      <c r="U943" s="857"/>
      <c r="V943" s="857"/>
      <c r="W943" s="857"/>
      <c r="X943" s="857"/>
      <c r="Y943" s="857"/>
      <c r="Z943" s="857"/>
      <c r="AA943" s="857"/>
      <c r="AB943" s="857"/>
      <c r="AC943" s="857"/>
      <c r="AD943" s="857"/>
      <c r="AE943" s="857"/>
      <c r="AF943" s="857"/>
      <c r="AG943" s="857"/>
      <c r="AH943" s="857"/>
      <c r="AI943" s="857"/>
      <c r="AJ943" s="857"/>
      <c r="AK943" s="857"/>
      <c r="AL943" s="857"/>
      <c r="AM943" s="857"/>
      <c r="AN943" s="857"/>
      <c r="AO943" s="857"/>
      <c r="AP943" s="857"/>
      <c r="AQ943" s="857"/>
      <c r="AR943" s="857"/>
      <c r="AS943" s="857"/>
      <c r="AT943" s="855"/>
      <c r="AV943" s="857"/>
      <c r="AW943" s="857"/>
      <c r="AX943" s="857"/>
      <c r="AY943" s="857"/>
      <c r="AZ943" s="857"/>
      <c r="BA943" s="857"/>
      <c r="BB943" s="857"/>
      <c r="BC943" s="857"/>
      <c r="BD943" s="857"/>
      <c r="BE943" s="857"/>
      <c r="BF943" s="857"/>
      <c r="BG943" s="857"/>
    </row>
    <row r="944" spans="1:59" ht="15.75" customHeight="1">
      <c r="A944" s="857"/>
      <c r="B944" s="857"/>
      <c r="C944" s="857"/>
      <c r="D944" s="857"/>
      <c r="E944" s="857"/>
      <c r="F944" s="857"/>
      <c r="G944" s="857"/>
      <c r="H944" s="857"/>
      <c r="I944" s="857"/>
      <c r="J944" s="857"/>
      <c r="K944" s="857"/>
      <c r="L944" s="857"/>
      <c r="M944" s="857"/>
      <c r="N944" s="857"/>
      <c r="O944" s="857"/>
      <c r="P944" s="857"/>
      <c r="Q944" s="857"/>
      <c r="R944" s="857"/>
      <c r="S944" s="857"/>
      <c r="T944" s="857"/>
      <c r="U944" s="857"/>
      <c r="V944" s="857"/>
      <c r="W944" s="857"/>
      <c r="X944" s="857"/>
      <c r="Y944" s="857"/>
      <c r="Z944" s="857"/>
      <c r="AA944" s="857"/>
      <c r="AB944" s="857"/>
      <c r="AC944" s="857"/>
      <c r="AD944" s="857"/>
      <c r="AE944" s="857"/>
      <c r="AF944" s="857"/>
      <c r="AG944" s="857"/>
      <c r="AH944" s="857"/>
      <c r="AI944" s="857"/>
      <c r="AJ944" s="857"/>
      <c r="AK944" s="857"/>
      <c r="AL944" s="857"/>
      <c r="AM944" s="857"/>
      <c r="AN944" s="857"/>
      <c r="AO944" s="857"/>
      <c r="AP944" s="857"/>
      <c r="AQ944" s="857"/>
      <c r="AR944" s="857"/>
      <c r="AS944" s="857"/>
      <c r="AT944" s="855"/>
      <c r="AV944" s="857"/>
      <c r="AW944" s="857"/>
      <c r="AX944" s="857"/>
      <c r="AY944" s="857"/>
      <c r="AZ944" s="857"/>
      <c r="BA944" s="857"/>
      <c r="BB944" s="857"/>
      <c r="BC944" s="857"/>
      <c r="BD944" s="857"/>
      <c r="BE944" s="857"/>
      <c r="BF944" s="857"/>
      <c r="BG944" s="857"/>
    </row>
    <row r="945" spans="1:59" ht="15.75" customHeight="1">
      <c r="A945" s="857"/>
      <c r="B945" s="857"/>
      <c r="C945" s="857"/>
      <c r="D945" s="857"/>
      <c r="E945" s="857"/>
      <c r="F945" s="857"/>
      <c r="G945" s="857"/>
      <c r="H945" s="857"/>
      <c r="I945" s="857"/>
      <c r="J945" s="857"/>
      <c r="K945" s="857"/>
      <c r="L945" s="857"/>
      <c r="M945" s="857"/>
      <c r="N945" s="857"/>
      <c r="O945" s="857"/>
      <c r="P945" s="857"/>
      <c r="Q945" s="857"/>
      <c r="R945" s="857"/>
      <c r="S945" s="857"/>
      <c r="T945" s="857"/>
      <c r="U945" s="857"/>
      <c r="V945" s="857"/>
      <c r="W945" s="857"/>
      <c r="X945" s="857"/>
      <c r="Y945" s="857"/>
      <c r="Z945" s="857"/>
      <c r="AA945" s="857"/>
      <c r="AB945" s="857"/>
      <c r="AC945" s="857"/>
      <c r="AD945" s="857"/>
      <c r="AE945" s="857"/>
      <c r="AF945" s="857"/>
      <c r="AG945" s="857"/>
      <c r="AH945" s="857"/>
      <c r="AI945" s="857"/>
      <c r="AJ945" s="857"/>
      <c r="AK945" s="857"/>
      <c r="AL945" s="857"/>
      <c r="AM945" s="857"/>
      <c r="AN945" s="857"/>
      <c r="AO945" s="857"/>
      <c r="AP945" s="857"/>
      <c r="AQ945" s="857"/>
      <c r="AR945" s="857"/>
      <c r="AS945" s="857"/>
      <c r="AT945" s="855"/>
      <c r="AV945" s="857"/>
      <c r="AW945" s="857"/>
      <c r="AX945" s="857"/>
      <c r="AY945" s="857"/>
      <c r="AZ945" s="857"/>
      <c r="BA945" s="857"/>
      <c r="BB945" s="857"/>
      <c r="BC945" s="857"/>
      <c r="BD945" s="857"/>
      <c r="BE945" s="857"/>
      <c r="BF945" s="857"/>
      <c r="BG945" s="857"/>
    </row>
    <row r="946" spans="1:59" ht="15.75" customHeight="1">
      <c r="A946" s="857"/>
      <c r="B946" s="857"/>
      <c r="C946" s="857"/>
      <c r="D946" s="857"/>
      <c r="E946" s="857"/>
      <c r="F946" s="857"/>
      <c r="G946" s="857"/>
      <c r="H946" s="857"/>
      <c r="I946" s="857"/>
      <c r="J946" s="857"/>
      <c r="K946" s="857"/>
      <c r="L946" s="857"/>
      <c r="M946" s="857"/>
      <c r="N946" s="857"/>
      <c r="O946" s="857"/>
      <c r="P946" s="857"/>
      <c r="Q946" s="857"/>
      <c r="R946" s="857"/>
      <c r="S946" s="857"/>
      <c r="T946" s="857"/>
      <c r="U946" s="857"/>
      <c r="V946" s="857"/>
      <c r="W946" s="857"/>
      <c r="X946" s="857"/>
      <c r="Y946" s="857"/>
      <c r="Z946" s="857"/>
      <c r="AA946" s="857"/>
      <c r="AB946" s="857"/>
      <c r="AC946" s="857"/>
      <c r="AD946" s="857"/>
      <c r="AE946" s="857"/>
      <c r="AF946" s="857"/>
      <c r="AG946" s="857"/>
      <c r="AH946" s="857"/>
      <c r="AI946" s="857"/>
      <c r="AJ946" s="857"/>
      <c r="AK946" s="857"/>
      <c r="AL946" s="857"/>
      <c r="AM946" s="857"/>
      <c r="AN946" s="857"/>
      <c r="AO946" s="857"/>
      <c r="AP946" s="857"/>
      <c r="AQ946" s="857"/>
      <c r="AR946" s="857"/>
      <c r="AS946" s="857"/>
      <c r="AT946" s="855"/>
      <c r="AV946" s="857"/>
      <c r="AW946" s="857"/>
      <c r="AX946" s="857"/>
      <c r="AY946" s="857"/>
      <c r="AZ946" s="857"/>
      <c r="BA946" s="857"/>
      <c r="BB946" s="857"/>
      <c r="BC946" s="857"/>
      <c r="BD946" s="857"/>
      <c r="BE946" s="857"/>
      <c r="BF946" s="857"/>
      <c r="BG946" s="857"/>
    </row>
    <row r="947" spans="1:59" ht="15.75" customHeight="1">
      <c r="A947" s="857"/>
      <c r="B947" s="857"/>
      <c r="C947" s="857"/>
      <c r="D947" s="857"/>
      <c r="E947" s="857"/>
      <c r="F947" s="857"/>
      <c r="G947" s="857"/>
      <c r="H947" s="857"/>
      <c r="I947" s="857"/>
      <c r="J947" s="857"/>
      <c r="K947" s="857"/>
      <c r="L947" s="857"/>
      <c r="M947" s="857"/>
      <c r="N947" s="857"/>
      <c r="O947" s="857"/>
      <c r="P947" s="857"/>
      <c r="Q947" s="857"/>
      <c r="R947" s="857"/>
      <c r="S947" s="857"/>
      <c r="T947" s="857"/>
      <c r="U947" s="857"/>
      <c r="V947" s="857"/>
      <c r="W947" s="857"/>
      <c r="X947" s="857"/>
      <c r="Y947" s="857"/>
      <c r="Z947" s="857"/>
      <c r="AA947" s="857"/>
      <c r="AB947" s="857"/>
      <c r="AC947" s="857"/>
      <c r="AD947" s="857"/>
      <c r="AE947" s="857"/>
      <c r="AF947" s="857"/>
      <c r="AG947" s="857"/>
      <c r="AH947" s="857"/>
      <c r="AI947" s="857"/>
      <c r="AJ947" s="857"/>
      <c r="AK947" s="857"/>
      <c r="AL947" s="857"/>
      <c r="AM947" s="857"/>
      <c r="AN947" s="857"/>
      <c r="AO947" s="857"/>
      <c r="AP947" s="857"/>
      <c r="AQ947" s="857"/>
      <c r="AR947" s="857"/>
      <c r="AS947" s="857"/>
      <c r="AT947" s="855"/>
      <c r="AV947" s="857"/>
      <c r="AW947" s="857"/>
      <c r="AX947" s="857"/>
      <c r="AY947" s="857"/>
      <c r="AZ947" s="857"/>
      <c r="BA947" s="857"/>
      <c r="BB947" s="857"/>
      <c r="BC947" s="857"/>
      <c r="BD947" s="857"/>
      <c r="BE947" s="857"/>
      <c r="BF947" s="857"/>
      <c r="BG947" s="857"/>
    </row>
    <row r="948" spans="1:59" ht="15.75" customHeight="1">
      <c r="A948" s="857"/>
      <c r="B948" s="857"/>
      <c r="C948" s="857"/>
      <c r="D948" s="857"/>
      <c r="E948" s="857"/>
      <c r="F948" s="857"/>
      <c r="G948" s="857"/>
      <c r="H948" s="857"/>
      <c r="I948" s="857"/>
      <c r="J948" s="857"/>
      <c r="K948" s="857"/>
      <c r="L948" s="857"/>
      <c r="M948" s="857"/>
      <c r="N948" s="857"/>
      <c r="O948" s="857"/>
      <c r="P948" s="857"/>
      <c r="Q948" s="857"/>
      <c r="R948" s="857"/>
      <c r="S948" s="857"/>
      <c r="T948" s="857"/>
      <c r="U948" s="857"/>
      <c r="V948" s="857"/>
      <c r="W948" s="857"/>
      <c r="X948" s="857"/>
      <c r="Y948" s="857"/>
      <c r="Z948" s="857"/>
      <c r="AA948" s="857"/>
      <c r="AB948" s="857"/>
      <c r="AC948" s="857"/>
      <c r="AD948" s="857"/>
      <c r="AE948" s="857"/>
      <c r="AF948" s="857"/>
      <c r="AG948" s="857"/>
      <c r="AH948" s="857"/>
      <c r="AI948" s="857"/>
      <c r="AJ948" s="857"/>
      <c r="AK948" s="857"/>
      <c r="AL948" s="857"/>
      <c r="AM948" s="857"/>
      <c r="AN948" s="857"/>
      <c r="AO948" s="857"/>
      <c r="AP948" s="857"/>
      <c r="AQ948" s="857"/>
      <c r="AR948" s="857"/>
      <c r="AS948" s="857"/>
      <c r="AT948" s="855"/>
      <c r="AV948" s="857"/>
      <c r="AW948" s="857"/>
      <c r="AX948" s="857"/>
      <c r="AY948" s="857"/>
      <c r="AZ948" s="857"/>
      <c r="BA948" s="857"/>
      <c r="BB948" s="857"/>
      <c r="BC948" s="857"/>
      <c r="BD948" s="857"/>
      <c r="BE948" s="857"/>
      <c r="BF948" s="857"/>
      <c r="BG948" s="857"/>
    </row>
    <row r="949" spans="1:59" ht="15.75" customHeight="1">
      <c r="A949" s="857"/>
      <c r="B949" s="857"/>
      <c r="C949" s="857"/>
      <c r="D949" s="857"/>
      <c r="E949" s="857"/>
      <c r="F949" s="857"/>
      <c r="G949" s="857"/>
      <c r="H949" s="857"/>
      <c r="I949" s="857"/>
      <c r="J949" s="857"/>
      <c r="K949" s="857"/>
      <c r="L949" s="857"/>
      <c r="M949" s="857"/>
      <c r="N949" s="857"/>
      <c r="O949" s="857"/>
      <c r="P949" s="857"/>
      <c r="Q949" s="857"/>
      <c r="R949" s="857"/>
      <c r="S949" s="857"/>
      <c r="T949" s="857"/>
      <c r="U949" s="857"/>
      <c r="V949" s="857"/>
      <c r="W949" s="857"/>
      <c r="X949" s="857"/>
      <c r="Y949" s="857"/>
      <c r="Z949" s="857"/>
      <c r="AA949" s="857"/>
      <c r="AB949" s="857"/>
      <c r="AC949" s="857"/>
      <c r="AD949" s="857"/>
      <c r="AE949" s="857"/>
      <c r="AF949" s="857"/>
      <c r="AG949" s="857"/>
      <c r="AH949" s="857"/>
      <c r="AI949" s="857"/>
      <c r="AJ949" s="857"/>
      <c r="AK949" s="857"/>
      <c r="AL949" s="857"/>
      <c r="AM949" s="857"/>
      <c r="AN949" s="857"/>
      <c r="AO949" s="857"/>
      <c r="AP949" s="857"/>
      <c r="AQ949" s="857"/>
      <c r="AR949" s="857"/>
      <c r="AS949" s="857"/>
      <c r="AT949" s="855"/>
      <c r="AV949" s="857"/>
      <c r="AW949" s="857"/>
      <c r="AX949" s="857"/>
      <c r="AY949" s="857"/>
      <c r="AZ949" s="857"/>
      <c r="BA949" s="857"/>
      <c r="BB949" s="857"/>
      <c r="BC949" s="857"/>
      <c r="BD949" s="857"/>
      <c r="BE949" s="857"/>
      <c r="BF949" s="857"/>
      <c r="BG949" s="857"/>
    </row>
    <row r="950" spans="1:59" ht="15.75" customHeight="1">
      <c r="A950" s="857"/>
      <c r="B950" s="857"/>
      <c r="C950" s="857"/>
      <c r="D950" s="857"/>
      <c r="E950" s="857"/>
      <c r="F950" s="857"/>
      <c r="G950" s="857"/>
      <c r="H950" s="857"/>
      <c r="I950" s="857"/>
      <c r="J950" s="857"/>
      <c r="K950" s="857"/>
      <c r="L950" s="857"/>
      <c r="M950" s="857"/>
      <c r="N950" s="857"/>
      <c r="O950" s="857"/>
      <c r="P950" s="857"/>
      <c r="Q950" s="857"/>
      <c r="R950" s="857"/>
      <c r="S950" s="857"/>
      <c r="T950" s="857"/>
      <c r="U950" s="857"/>
      <c r="V950" s="857"/>
      <c r="W950" s="857"/>
      <c r="X950" s="857"/>
      <c r="Y950" s="857"/>
      <c r="Z950" s="857"/>
      <c r="AA950" s="857"/>
      <c r="AB950" s="857"/>
      <c r="AC950" s="857"/>
      <c r="AD950" s="857"/>
      <c r="AE950" s="857"/>
      <c r="AF950" s="857"/>
      <c r="AG950" s="857"/>
      <c r="AH950" s="857"/>
      <c r="AI950" s="857"/>
      <c r="AJ950" s="857"/>
      <c r="AK950" s="857"/>
      <c r="AL950" s="857"/>
      <c r="AM950" s="857"/>
      <c r="AN950" s="857"/>
      <c r="AO950" s="857"/>
      <c r="AP950" s="857"/>
      <c r="AQ950" s="857"/>
      <c r="AR950" s="857"/>
      <c r="AS950" s="857"/>
      <c r="AT950" s="855"/>
      <c r="AV950" s="857"/>
      <c r="AW950" s="857"/>
      <c r="AX950" s="857"/>
      <c r="AY950" s="857"/>
      <c r="AZ950" s="857"/>
      <c r="BA950" s="857"/>
      <c r="BB950" s="857"/>
      <c r="BC950" s="857"/>
      <c r="BD950" s="857"/>
      <c r="BE950" s="857"/>
      <c r="BF950" s="857"/>
      <c r="BG950" s="857"/>
    </row>
    <row r="951" spans="1:59" ht="15.75" customHeight="1">
      <c r="A951" s="857"/>
      <c r="B951" s="857"/>
      <c r="C951" s="857"/>
      <c r="D951" s="857"/>
      <c r="E951" s="857"/>
      <c r="F951" s="857"/>
      <c r="G951" s="857"/>
      <c r="H951" s="857"/>
      <c r="I951" s="857"/>
      <c r="J951" s="857"/>
      <c r="K951" s="857"/>
      <c r="L951" s="857"/>
      <c r="M951" s="857"/>
      <c r="N951" s="857"/>
      <c r="O951" s="857"/>
      <c r="P951" s="857"/>
      <c r="Q951" s="857"/>
      <c r="R951" s="857"/>
      <c r="S951" s="857"/>
      <c r="T951" s="857"/>
      <c r="U951" s="857"/>
      <c r="V951" s="857"/>
      <c r="W951" s="857"/>
      <c r="X951" s="857"/>
      <c r="Y951" s="857"/>
      <c r="Z951" s="857"/>
      <c r="AA951" s="857"/>
      <c r="AB951" s="857"/>
      <c r="AC951" s="857"/>
      <c r="AD951" s="857"/>
      <c r="AE951" s="857"/>
      <c r="AF951" s="857"/>
      <c r="AG951" s="857"/>
      <c r="AH951" s="857"/>
      <c r="AI951" s="857"/>
      <c r="AJ951" s="857"/>
      <c r="AK951" s="857"/>
      <c r="AL951" s="857"/>
      <c r="AM951" s="857"/>
      <c r="AN951" s="857"/>
      <c r="AO951" s="857"/>
      <c r="AP951" s="857"/>
      <c r="AQ951" s="857"/>
      <c r="AR951" s="857"/>
      <c r="AS951" s="857"/>
      <c r="AT951" s="855"/>
      <c r="AV951" s="857"/>
      <c r="AW951" s="857"/>
      <c r="AX951" s="857"/>
      <c r="AY951" s="857"/>
      <c r="AZ951" s="857"/>
      <c r="BA951" s="857"/>
      <c r="BB951" s="857"/>
      <c r="BC951" s="857"/>
      <c r="BD951" s="857"/>
      <c r="BE951" s="857"/>
      <c r="BF951" s="857"/>
      <c r="BG951" s="857"/>
    </row>
    <row r="952" spans="1:59" ht="15.75" customHeight="1">
      <c r="A952" s="857"/>
      <c r="B952" s="857"/>
      <c r="C952" s="857"/>
      <c r="D952" s="857"/>
      <c r="E952" s="857"/>
      <c r="F952" s="857"/>
      <c r="G952" s="857"/>
      <c r="H952" s="857"/>
      <c r="I952" s="857"/>
      <c r="J952" s="857"/>
      <c r="K952" s="857"/>
      <c r="L952" s="857"/>
      <c r="M952" s="857"/>
      <c r="N952" s="857"/>
      <c r="O952" s="857"/>
      <c r="P952" s="857"/>
      <c r="Q952" s="857"/>
      <c r="R952" s="857"/>
      <c r="S952" s="857"/>
      <c r="T952" s="857"/>
      <c r="U952" s="857"/>
      <c r="V952" s="857"/>
      <c r="W952" s="857"/>
      <c r="X952" s="857"/>
      <c r="Y952" s="857"/>
      <c r="Z952" s="857"/>
      <c r="AA952" s="857"/>
      <c r="AB952" s="857"/>
      <c r="AC952" s="857"/>
      <c r="AD952" s="857"/>
      <c r="AE952" s="857"/>
      <c r="AF952" s="857"/>
      <c r="AG952" s="857"/>
      <c r="AH952" s="857"/>
      <c r="AI952" s="857"/>
      <c r="AJ952" s="857"/>
      <c r="AK952" s="857"/>
      <c r="AL952" s="857"/>
      <c r="AM952" s="857"/>
      <c r="AN952" s="857"/>
      <c r="AO952" s="857"/>
      <c r="AP952" s="857"/>
      <c r="AQ952" s="857"/>
      <c r="AR952" s="857"/>
      <c r="AS952" s="857"/>
      <c r="AT952" s="855"/>
      <c r="AV952" s="857"/>
      <c r="AW952" s="857"/>
      <c r="AX952" s="857"/>
      <c r="AY952" s="857"/>
      <c r="AZ952" s="857"/>
      <c r="BA952" s="857"/>
      <c r="BB952" s="857"/>
      <c r="BC952" s="857"/>
      <c r="BD952" s="857"/>
      <c r="BE952" s="857"/>
      <c r="BF952" s="857"/>
      <c r="BG952" s="857"/>
    </row>
    <row r="953" spans="1:59" ht="15.75" customHeight="1">
      <c r="A953" s="857"/>
      <c r="B953" s="857"/>
      <c r="C953" s="857"/>
      <c r="D953" s="857"/>
      <c r="E953" s="857"/>
      <c r="F953" s="857"/>
      <c r="G953" s="857"/>
      <c r="H953" s="857"/>
      <c r="I953" s="857"/>
      <c r="J953" s="857"/>
      <c r="K953" s="857"/>
      <c r="L953" s="857"/>
      <c r="M953" s="857"/>
      <c r="N953" s="857"/>
      <c r="O953" s="857"/>
      <c r="P953" s="857"/>
      <c r="Q953" s="857"/>
      <c r="R953" s="857"/>
      <c r="S953" s="857"/>
      <c r="T953" s="857"/>
      <c r="U953" s="857"/>
      <c r="V953" s="857"/>
      <c r="W953" s="857"/>
      <c r="X953" s="857"/>
      <c r="Y953" s="857"/>
      <c r="Z953" s="857"/>
      <c r="AA953" s="857"/>
      <c r="AB953" s="857"/>
      <c r="AC953" s="857"/>
      <c r="AD953" s="857"/>
      <c r="AE953" s="857"/>
      <c r="AF953" s="857"/>
      <c r="AG953" s="857"/>
      <c r="AH953" s="857"/>
      <c r="AI953" s="857"/>
      <c r="AJ953" s="857"/>
      <c r="AK953" s="857"/>
      <c r="AL953" s="857"/>
      <c r="AM953" s="857"/>
      <c r="AN953" s="857"/>
      <c r="AO953" s="857"/>
      <c r="AP953" s="857"/>
      <c r="AQ953" s="857"/>
      <c r="AR953" s="857"/>
      <c r="AS953" s="857"/>
      <c r="AT953" s="855"/>
      <c r="AV953" s="857"/>
      <c r="AW953" s="857"/>
      <c r="AX953" s="857"/>
      <c r="AY953" s="857"/>
      <c r="AZ953" s="857"/>
      <c r="BA953" s="857"/>
      <c r="BB953" s="857"/>
      <c r="BC953" s="857"/>
      <c r="BD953" s="857"/>
      <c r="BE953" s="857"/>
      <c r="BF953" s="857"/>
      <c r="BG953" s="857"/>
    </row>
    <row r="954" spans="1:59" ht="15.75" customHeight="1">
      <c r="A954" s="857"/>
      <c r="B954" s="857"/>
      <c r="C954" s="857"/>
      <c r="D954" s="857"/>
      <c r="E954" s="857"/>
      <c r="F954" s="857"/>
      <c r="G954" s="857"/>
      <c r="H954" s="857"/>
      <c r="I954" s="857"/>
      <c r="J954" s="857"/>
      <c r="K954" s="857"/>
      <c r="L954" s="857"/>
      <c r="M954" s="857"/>
      <c r="N954" s="857"/>
      <c r="O954" s="857"/>
      <c r="P954" s="857"/>
      <c r="Q954" s="857"/>
      <c r="R954" s="857"/>
      <c r="S954" s="857"/>
      <c r="T954" s="857"/>
      <c r="U954" s="857"/>
      <c r="V954" s="857"/>
      <c r="W954" s="857"/>
      <c r="X954" s="857"/>
      <c r="Y954" s="857"/>
      <c r="Z954" s="857"/>
      <c r="AA954" s="857"/>
      <c r="AB954" s="857"/>
      <c r="AC954" s="857"/>
      <c r="AD954" s="857"/>
      <c r="AE954" s="857"/>
      <c r="AF954" s="857"/>
      <c r="AG954" s="857"/>
      <c r="AH954" s="857"/>
      <c r="AI954" s="857"/>
      <c r="AJ954" s="857"/>
      <c r="AK954" s="857"/>
      <c r="AL954" s="857"/>
      <c r="AM954" s="857"/>
      <c r="AN954" s="857"/>
      <c r="AO954" s="857"/>
      <c r="AP954" s="857"/>
      <c r="AQ954" s="857"/>
      <c r="AR954" s="857"/>
      <c r="AS954" s="857"/>
      <c r="AT954" s="855"/>
      <c r="AV954" s="857"/>
      <c r="AW954" s="857"/>
      <c r="AX954" s="857"/>
      <c r="AY954" s="857"/>
      <c r="AZ954" s="857"/>
      <c r="BA954" s="857"/>
      <c r="BB954" s="857"/>
      <c r="BC954" s="857"/>
      <c r="BD954" s="857"/>
      <c r="BE954" s="857"/>
      <c r="BF954" s="857"/>
      <c r="BG954" s="857"/>
    </row>
    <row r="955" spans="1:59" ht="15.75" customHeight="1">
      <c r="A955" s="857"/>
      <c r="B955" s="857"/>
      <c r="C955" s="857"/>
      <c r="D955" s="857"/>
      <c r="E955" s="857"/>
      <c r="F955" s="857"/>
      <c r="G955" s="857"/>
      <c r="H955" s="857"/>
      <c r="I955" s="857"/>
      <c r="J955" s="857"/>
      <c r="K955" s="857"/>
      <c r="L955" s="857"/>
      <c r="M955" s="857"/>
      <c r="N955" s="857"/>
      <c r="O955" s="857"/>
      <c r="P955" s="857"/>
      <c r="Q955" s="857"/>
      <c r="R955" s="857"/>
      <c r="S955" s="857"/>
      <c r="T955" s="857"/>
      <c r="U955" s="857"/>
      <c r="V955" s="857"/>
      <c r="W955" s="857"/>
      <c r="X955" s="857"/>
      <c r="Y955" s="857"/>
      <c r="Z955" s="857"/>
      <c r="AA955" s="857"/>
      <c r="AB955" s="857"/>
      <c r="AC955" s="857"/>
      <c r="AD955" s="857"/>
      <c r="AE955" s="857"/>
      <c r="AF955" s="857"/>
      <c r="AG955" s="857"/>
      <c r="AH955" s="857"/>
      <c r="AI955" s="857"/>
      <c r="AJ955" s="857"/>
      <c r="AK955" s="857"/>
      <c r="AL955" s="857"/>
      <c r="AM955" s="857"/>
      <c r="AN955" s="857"/>
      <c r="AO955" s="857"/>
      <c r="AP955" s="857"/>
      <c r="AQ955" s="857"/>
      <c r="AR955" s="857"/>
      <c r="AS955" s="857"/>
      <c r="AT955" s="855"/>
      <c r="AV955" s="857"/>
      <c r="AW955" s="857"/>
      <c r="AX955" s="857"/>
      <c r="AY955" s="857"/>
      <c r="AZ955" s="857"/>
      <c r="BA955" s="857"/>
      <c r="BB955" s="857"/>
      <c r="BC955" s="857"/>
      <c r="BD955" s="857"/>
      <c r="BE955" s="857"/>
      <c r="BF955" s="857"/>
      <c r="BG955" s="857"/>
    </row>
    <row r="956" spans="1:59" ht="15.75" customHeight="1">
      <c r="A956" s="857"/>
      <c r="B956" s="857"/>
      <c r="C956" s="857"/>
      <c r="D956" s="857"/>
      <c r="E956" s="857"/>
      <c r="F956" s="857"/>
      <c r="G956" s="857"/>
      <c r="H956" s="857"/>
      <c r="I956" s="857"/>
      <c r="J956" s="857"/>
      <c r="K956" s="857"/>
      <c r="L956" s="857"/>
      <c r="M956" s="857"/>
      <c r="N956" s="857"/>
      <c r="O956" s="857"/>
      <c r="P956" s="857"/>
      <c r="Q956" s="857"/>
      <c r="R956" s="857"/>
      <c r="S956" s="857"/>
      <c r="T956" s="857"/>
      <c r="U956" s="857"/>
      <c r="V956" s="857"/>
      <c r="W956" s="857"/>
      <c r="X956" s="857"/>
      <c r="Y956" s="857"/>
      <c r="Z956" s="857"/>
      <c r="AA956" s="857"/>
      <c r="AB956" s="857"/>
      <c r="AC956" s="857"/>
      <c r="AD956" s="857"/>
      <c r="AE956" s="857"/>
      <c r="AF956" s="857"/>
      <c r="AG956" s="857"/>
      <c r="AH956" s="857"/>
      <c r="AI956" s="857"/>
      <c r="AJ956" s="857"/>
      <c r="AK956" s="857"/>
      <c r="AL956" s="857"/>
      <c r="AM956" s="857"/>
      <c r="AN956" s="857"/>
      <c r="AO956" s="857"/>
      <c r="AP956" s="857"/>
      <c r="AQ956" s="857"/>
      <c r="AR956" s="857"/>
      <c r="AS956" s="857"/>
      <c r="AT956" s="855"/>
      <c r="AV956" s="857"/>
      <c r="AW956" s="857"/>
      <c r="AX956" s="857"/>
      <c r="AY956" s="857"/>
      <c r="AZ956" s="857"/>
      <c r="BA956" s="857"/>
      <c r="BB956" s="857"/>
      <c r="BC956" s="857"/>
      <c r="BD956" s="857"/>
      <c r="BE956" s="857"/>
      <c r="BF956" s="857"/>
      <c r="BG956" s="857"/>
    </row>
    <row r="957" spans="1:59" ht="15.75" customHeight="1">
      <c r="A957" s="857"/>
      <c r="B957" s="857"/>
      <c r="C957" s="857"/>
      <c r="D957" s="857"/>
      <c r="E957" s="857"/>
      <c r="F957" s="857"/>
      <c r="G957" s="857"/>
      <c r="H957" s="857"/>
      <c r="I957" s="857"/>
      <c r="J957" s="857"/>
      <c r="K957" s="857"/>
      <c r="L957" s="857"/>
      <c r="M957" s="857"/>
      <c r="N957" s="857"/>
      <c r="O957" s="857"/>
      <c r="P957" s="857"/>
      <c r="Q957" s="857"/>
      <c r="R957" s="857"/>
      <c r="S957" s="857"/>
      <c r="T957" s="857"/>
      <c r="U957" s="857"/>
      <c r="V957" s="857"/>
      <c r="W957" s="857"/>
      <c r="X957" s="857"/>
      <c r="Y957" s="857"/>
      <c r="Z957" s="857"/>
      <c r="AA957" s="857"/>
      <c r="AB957" s="857"/>
      <c r="AC957" s="857"/>
      <c r="AD957" s="857"/>
      <c r="AE957" s="857"/>
      <c r="AF957" s="857"/>
      <c r="AG957" s="857"/>
      <c r="AH957" s="857"/>
      <c r="AI957" s="857"/>
      <c r="AJ957" s="857"/>
      <c r="AK957" s="857"/>
      <c r="AL957" s="857"/>
      <c r="AM957" s="857"/>
      <c r="AN957" s="857"/>
      <c r="AO957" s="857"/>
      <c r="AP957" s="857"/>
      <c r="AQ957" s="857"/>
      <c r="AR957" s="857"/>
      <c r="AS957" s="857"/>
      <c r="AT957" s="855"/>
      <c r="AV957" s="857"/>
      <c r="AW957" s="857"/>
      <c r="AX957" s="857"/>
      <c r="AY957" s="857"/>
      <c r="AZ957" s="857"/>
      <c r="BA957" s="857"/>
      <c r="BB957" s="857"/>
      <c r="BC957" s="857"/>
      <c r="BD957" s="857"/>
      <c r="BE957" s="857"/>
      <c r="BF957" s="857"/>
      <c r="BG957" s="857"/>
    </row>
    <row r="958" spans="1:59" ht="15.75" customHeight="1">
      <c r="A958" s="857"/>
      <c r="B958" s="857"/>
      <c r="C958" s="857"/>
      <c r="D958" s="857"/>
      <c r="E958" s="857"/>
      <c r="F958" s="857"/>
      <c r="G958" s="857"/>
      <c r="H958" s="857"/>
      <c r="I958" s="857"/>
      <c r="J958" s="857"/>
      <c r="K958" s="857"/>
      <c r="L958" s="857"/>
      <c r="M958" s="857"/>
      <c r="N958" s="857"/>
      <c r="O958" s="857"/>
      <c r="P958" s="857"/>
      <c r="Q958" s="857"/>
      <c r="R958" s="857"/>
      <c r="S958" s="857"/>
      <c r="T958" s="857"/>
      <c r="U958" s="857"/>
      <c r="V958" s="857"/>
      <c r="W958" s="857"/>
      <c r="X958" s="857"/>
      <c r="Y958" s="857"/>
      <c r="Z958" s="857"/>
      <c r="AA958" s="857"/>
      <c r="AB958" s="857"/>
      <c r="AC958" s="857"/>
      <c r="AD958" s="857"/>
      <c r="AE958" s="857"/>
      <c r="AF958" s="857"/>
      <c r="AG958" s="857"/>
      <c r="AH958" s="857"/>
      <c r="AI958" s="857"/>
      <c r="AJ958" s="857"/>
      <c r="AK958" s="857"/>
      <c r="AL958" s="857"/>
      <c r="AM958" s="857"/>
      <c r="AN958" s="857"/>
      <c r="AO958" s="857"/>
      <c r="AP958" s="857"/>
      <c r="AQ958" s="857"/>
      <c r="AR958" s="857"/>
      <c r="AS958" s="857"/>
      <c r="AT958" s="855"/>
      <c r="AV958" s="857"/>
      <c r="AW958" s="857"/>
      <c r="AX958" s="857"/>
      <c r="AY958" s="857"/>
      <c r="AZ958" s="857"/>
      <c r="BA958" s="857"/>
      <c r="BB958" s="857"/>
      <c r="BC958" s="857"/>
      <c r="BD958" s="857"/>
      <c r="BE958" s="857"/>
      <c r="BF958" s="857"/>
      <c r="BG958" s="857"/>
    </row>
    <row r="959" spans="1:59" ht="15.75" customHeight="1">
      <c r="A959" s="857"/>
      <c r="B959" s="857"/>
      <c r="C959" s="857"/>
      <c r="D959" s="857"/>
      <c r="E959" s="857"/>
      <c r="F959" s="857"/>
      <c r="G959" s="857"/>
      <c r="H959" s="857"/>
      <c r="I959" s="857"/>
      <c r="J959" s="857"/>
      <c r="K959" s="857"/>
      <c r="L959" s="857"/>
      <c r="M959" s="857"/>
      <c r="N959" s="857"/>
      <c r="O959" s="857"/>
      <c r="P959" s="857"/>
      <c r="Q959" s="857"/>
      <c r="R959" s="857"/>
      <c r="S959" s="857"/>
      <c r="T959" s="857"/>
      <c r="U959" s="857"/>
      <c r="V959" s="857"/>
      <c r="W959" s="857"/>
      <c r="X959" s="857"/>
      <c r="Y959" s="857"/>
      <c r="Z959" s="857"/>
      <c r="AA959" s="857"/>
      <c r="AB959" s="857"/>
      <c r="AC959" s="857"/>
      <c r="AD959" s="857"/>
      <c r="AE959" s="857"/>
      <c r="AF959" s="857"/>
      <c r="AG959" s="857"/>
      <c r="AH959" s="857"/>
      <c r="AI959" s="857"/>
      <c r="AJ959" s="857"/>
      <c r="AK959" s="857"/>
      <c r="AL959" s="857"/>
      <c r="AM959" s="857"/>
      <c r="AN959" s="857"/>
      <c r="AO959" s="857"/>
      <c r="AP959" s="857"/>
      <c r="AQ959" s="857"/>
      <c r="AR959" s="857"/>
      <c r="AS959" s="857"/>
      <c r="AT959" s="855"/>
      <c r="AV959" s="857"/>
      <c r="AW959" s="857"/>
      <c r="AX959" s="857"/>
      <c r="AY959" s="857"/>
      <c r="AZ959" s="857"/>
      <c r="BA959" s="857"/>
      <c r="BB959" s="857"/>
      <c r="BC959" s="857"/>
      <c r="BD959" s="857"/>
      <c r="BE959" s="857"/>
      <c r="BF959" s="857"/>
      <c r="BG959" s="857"/>
    </row>
    <row r="960" spans="1:59" ht="15.75" customHeight="1">
      <c r="A960" s="857"/>
      <c r="B960" s="857"/>
      <c r="C960" s="857"/>
      <c r="D960" s="857"/>
      <c r="E960" s="857"/>
      <c r="F960" s="857"/>
      <c r="G960" s="857"/>
      <c r="H960" s="857"/>
      <c r="I960" s="857"/>
      <c r="J960" s="857"/>
      <c r="K960" s="857"/>
      <c r="L960" s="857"/>
      <c r="M960" s="857"/>
      <c r="N960" s="857"/>
      <c r="O960" s="857"/>
      <c r="P960" s="857"/>
      <c r="Q960" s="857"/>
      <c r="R960" s="857"/>
      <c r="S960" s="857"/>
      <c r="T960" s="857"/>
      <c r="U960" s="857"/>
      <c r="V960" s="857"/>
      <c r="W960" s="857"/>
      <c r="X960" s="857"/>
      <c r="Y960" s="857"/>
      <c r="Z960" s="857"/>
      <c r="AA960" s="857"/>
      <c r="AB960" s="857"/>
      <c r="AC960" s="857"/>
      <c r="AD960" s="857"/>
      <c r="AE960" s="857"/>
      <c r="AF960" s="857"/>
      <c r="AG960" s="857"/>
      <c r="AH960" s="857"/>
      <c r="AI960" s="857"/>
      <c r="AJ960" s="857"/>
      <c r="AK960" s="857"/>
      <c r="AL960" s="857"/>
      <c r="AM960" s="857"/>
      <c r="AN960" s="857"/>
      <c r="AO960" s="857"/>
      <c r="AP960" s="857"/>
      <c r="AQ960" s="857"/>
      <c r="AR960" s="857"/>
      <c r="AS960" s="857"/>
      <c r="AT960" s="855"/>
      <c r="AV960" s="857"/>
      <c r="AW960" s="857"/>
      <c r="AX960" s="857"/>
      <c r="AY960" s="857"/>
      <c r="AZ960" s="857"/>
      <c r="BA960" s="857"/>
      <c r="BB960" s="857"/>
      <c r="BC960" s="857"/>
      <c r="BD960" s="857"/>
      <c r="BE960" s="857"/>
      <c r="BF960" s="857"/>
      <c r="BG960" s="857"/>
    </row>
    <row r="961" spans="1:59" ht="15.75" customHeight="1">
      <c r="A961" s="857"/>
      <c r="B961" s="857"/>
      <c r="C961" s="857"/>
      <c r="D961" s="857"/>
      <c r="E961" s="857"/>
      <c r="F961" s="857"/>
      <c r="G961" s="857"/>
      <c r="H961" s="857"/>
      <c r="I961" s="857"/>
      <c r="J961" s="857"/>
      <c r="K961" s="857"/>
      <c r="L961" s="857"/>
      <c r="M961" s="857"/>
      <c r="N961" s="857"/>
      <c r="O961" s="857"/>
      <c r="P961" s="857"/>
      <c r="Q961" s="857"/>
      <c r="R961" s="857"/>
      <c r="S961" s="857"/>
      <c r="T961" s="857"/>
      <c r="U961" s="857"/>
      <c r="V961" s="857"/>
      <c r="W961" s="857"/>
      <c r="X961" s="857"/>
      <c r="Y961" s="857"/>
      <c r="Z961" s="857"/>
      <c r="AA961" s="857"/>
      <c r="AB961" s="857"/>
      <c r="AC961" s="857"/>
      <c r="AD961" s="857"/>
      <c r="AE961" s="857"/>
      <c r="AF961" s="857"/>
      <c r="AG961" s="857"/>
      <c r="AH961" s="857"/>
      <c r="AI961" s="857"/>
      <c r="AJ961" s="857"/>
      <c r="AK961" s="857"/>
      <c r="AL961" s="857"/>
      <c r="AM961" s="857"/>
      <c r="AN961" s="857"/>
      <c r="AO961" s="857"/>
      <c r="AP961" s="857"/>
      <c r="AQ961" s="857"/>
      <c r="AR961" s="857"/>
      <c r="AS961" s="857"/>
      <c r="AT961" s="855"/>
      <c r="AV961" s="857"/>
      <c r="AW961" s="857"/>
      <c r="AX961" s="857"/>
      <c r="AY961" s="857"/>
      <c r="AZ961" s="857"/>
      <c r="BA961" s="857"/>
      <c r="BB961" s="857"/>
      <c r="BC961" s="857"/>
      <c r="BD961" s="857"/>
      <c r="BE961" s="857"/>
      <c r="BF961" s="857"/>
      <c r="BG961" s="857"/>
    </row>
    <row r="962" spans="1:59" ht="15.75" customHeight="1">
      <c r="A962" s="857"/>
      <c r="B962" s="857"/>
      <c r="C962" s="857"/>
      <c r="D962" s="857"/>
      <c r="E962" s="857"/>
      <c r="F962" s="857"/>
      <c r="G962" s="857"/>
      <c r="H962" s="857"/>
      <c r="I962" s="857"/>
      <c r="J962" s="857"/>
      <c r="K962" s="857"/>
      <c r="L962" s="857"/>
      <c r="M962" s="857"/>
      <c r="N962" s="857"/>
      <c r="O962" s="857"/>
      <c r="P962" s="857"/>
      <c r="Q962" s="857"/>
      <c r="R962" s="857"/>
      <c r="S962" s="857"/>
      <c r="T962" s="857"/>
      <c r="U962" s="857"/>
      <c r="V962" s="857"/>
      <c r="W962" s="857"/>
      <c r="X962" s="857"/>
      <c r="Y962" s="857"/>
      <c r="Z962" s="857"/>
      <c r="AA962" s="857"/>
      <c r="AB962" s="857"/>
      <c r="AC962" s="857"/>
      <c r="AD962" s="857"/>
      <c r="AE962" s="857"/>
      <c r="AF962" s="857"/>
      <c r="AG962" s="857"/>
      <c r="AH962" s="857"/>
      <c r="AI962" s="857"/>
      <c r="AJ962" s="857"/>
      <c r="AK962" s="857"/>
      <c r="AL962" s="857"/>
      <c r="AM962" s="857"/>
      <c r="AN962" s="857"/>
      <c r="AO962" s="857"/>
      <c r="AP962" s="857"/>
      <c r="AQ962" s="857"/>
      <c r="AR962" s="857"/>
      <c r="AS962" s="857"/>
      <c r="AT962" s="855"/>
      <c r="AV962" s="857"/>
      <c r="AW962" s="857"/>
      <c r="AX962" s="857"/>
      <c r="AY962" s="857"/>
      <c r="AZ962" s="857"/>
      <c r="BA962" s="857"/>
      <c r="BB962" s="857"/>
      <c r="BC962" s="857"/>
      <c r="BD962" s="857"/>
      <c r="BE962" s="857"/>
      <c r="BF962" s="857"/>
      <c r="BG962" s="857"/>
    </row>
    <row r="963" spans="1:59" ht="15.75" customHeight="1">
      <c r="A963" s="857"/>
      <c r="B963" s="857"/>
      <c r="C963" s="857"/>
      <c r="D963" s="857"/>
      <c r="E963" s="857"/>
      <c r="F963" s="857"/>
      <c r="G963" s="857"/>
      <c r="H963" s="857"/>
      <c r="I963" s="857"/>
      <c r="J963" s="857"/>
      <c r="K963" s="857"/>
      <c r="L963" s="857"/>
      <c r="M963" s="857"/>
      <c r="N963" s="857"/>
      <c r="O963" s="857"/>
      <c r="P963" s="857"/>
      <c r="Q963" s="857"/>
      <c r="R963" s="857"/>
      <c r="S963" s="857"/>
      <c r="T963" s="857"/>
      <c r="U963" s="857"/>
      <c r="V963" s="857"/>
      <c r="W963" s="857"/>
      <c r="X963" s="857"/>
      <c r="Y963" s="857"/>
      <c r="Z963" s="857"/>
      <c r="AA963" s="857"/>
      <c r="AB963" s="857"/>
      <c r="AC963" s="857"/>
      <c r="AD963" s="857"/>
      <c r="AE963" s="857"/>
      <c r="AF963" s="857"/>
      <c r="AG963" s="857"/>
      <c r="AH963" s="857"/>
      <c r="AI963" s="857"/>
      <c r="AJ963" s="857"/>
      <c r="AK963" s="857"/>
      <c r="AL963" s="857"/>
      <c r="AM963" s="857"/>
      <c r="AN963" s="857"/>
      <c r="AO963" s="857"/>
      <c r="AP963" s="857"/>
      <c r="AQ963" s="857"/>
      <c r="AR963" s="857"/>
      <c r="AS963" s="857"/>
      <c r="AT963" s="855"/>
      <c r="AV963" s="857"/>
      <c r="AW963" s="857"/>
      <c r="AX963" s="857"/>
      <c r="AY963" s="857"/>
      <c r="AZ963" s="857"/>
      <c r="BA963" s="857"/>
      <c r="BB963" s="857"/>
      <c r="BC963" s="857"/>
      <c r="BD963" s="857"/>
      <c r="BE963" s="857"/>
      <c r="BF963" s="857"/>
      <c r="BG963" s="857"/>
    </row>
    <row r="964" spans="1:59" ht="15.75" customHeight="1">
      <c r="A964" s="857"/>
      <c r="B964" s="857"/>
      <c r="C964" s="857"/>
      <c r="D964" s="857"/>
      <c r="E964" s="857"/>
      <c r="F964" s="857"/>
      <c r="G964" s="857"/>
      <c r="H964" s="857"/>
      <c r="I964" s="857"/>
      <c r="J964" s="857"/>
      <c r="K964" s="857"/>
      <c r="L964" s="857"/>
      <c r="M964" s="857"/>
      <c r="N964" s="857"/>
      <c r="O964" s="857"/>
      <c r="P964" s="857"/>
      <c r="Q964" s="857"/>
      <c r="R964" s="857"/>
      <c r="S964" s="857"/>
      <c r="T964" s="857"/>
      <c r="U964" s="857"/>
      <c r="V964" s="857"/>
      <c r="W964" s="857"/>
      <c r="X964" s="857"/>
      <c r="Y964" s="857"/>
      <c r="Z964" s="857"/>
      <c r="AA964" s="857"/>
      <c r="AB964" s="857"/>
      <c r="AC964" s="857"/>
      <c r="AD964" s="857"/>
      <c r="AE964" s="857"/>
      <c r="AF964" s="857"/>
      <c r="AG964" s="857"/>
      <c r="AH964" s="857"/>
      <c r="AI964" s="857"/>
      <c r="AJ964" s="857"/>
      <c r="AK964" s="857"/>
      <c r="AL964" s="857"/>
      <c r="AM964" s="857"/>
      <c r="AN964" s="857"/>
      <c r="AO964" s="857"/>
      <c r="AP964" s="857"/>
      <c r="AQ964" s="857"/>
      <c r="AR964" s="857"/>
      <c r="AS964" s="857"/>
      <c r="AT964" s="855"/>
      <c r="AV964" s="857"/>
      <c r="AW964" s="857"/>
      <c r="AX964" s="857"/>
      <c r="AY964" s="857"/>
      <c r="AZ964" s="857"/>
      <c r="BA964" s="857"/>
      <c r="BB964" s="857"/>
      <c r="BC964" s="857"/>
      <c r="BD964" s="857"/>
      <c r="BE964" s="857"/>
      <c r="BF964" s="857"/>
      <c r="BG964" s="857"/>
    </row>
    <row r="965" spans="1:59" ht="15.75" customHeight="1">
      <c r="A965" s="857"/>
      <c r="B965" s="857"/>
      <c r="C965" s="857"/>
      <c r="D965" s="857"/>
      <c r="E965" s="857"/>
      <c r="F965" s="857"/>
      <c r="G965" s="857"/>
      <c r="H965" s="857"/>
      <c r="I965" s="857"/>
      <c r="J965" s="857"/>
      <c r="K965" s="857"/>
      <c r="L965" s="857"/>
      <c r="M965" s="857"/>
      <c r="N965" s="857"/>
      <c r="O965" s="857"/>
      <c r="P965" s="857"/>
      <c r="Q965" s="857"/>
      <c r="R965" s="857"/>
      <c r="S965" s="857"/>
      <c r="T965" s="857"/>
      <c r="U965" s="857"/>
      <c r="V965" s="857"/>
      <c r="W965" s="857"/>
      <c r="X965" s="857"/>
      <c r="Y965" s="857"/>
      <c r="Z965" s="857"/>
      <c r="AA965" s="857"/>
      <c r="AB965" s="857"/>
      <c r="AC965" s="857"/>
      <c r="AD965" s="857"/>
      <c r="AE965" s="857"/>
      <c r="AF965" s="857"/>
      <c r="AG965" s="857"/>
      <c r="AH965" s="857"/>
      <c r="AI965" s="857"/>
      <c r="AJ965" s="857"/>
      <c r="AK965" s="857"/>
      <c r="AL965" s="857"/>
      <c r="AM965" s="857"/>
      <c r="AN965" s="857"/>
      <c r="AO965" s="857"/>
      <c r="AP965" s="857"/>
      <c r="AQ965" s="857"/>
      <c r="AR965" s="857"/>
      <c r="AS965" s="857"/>
      <c r="AT965" s="855"/>
      <c r="AV965" s="857"/>
      <c r="AW965" s="857"/>
      <c r="AX965" s="857"/>
      <c r="AY965" s="857"/>
      <c r="AZ965" s="857"/>
      <c r="BA965" s="857"/>
      <c r="BB965" s="857"/>
      <c r="BC965" s="857"/>
      <c r="BD965" s="857"/>
      <c r="BE965" s="857"/>
      <c r="BF965" s="857"/>
      <c r="BG965" s="857"/>
    </row>
    <row r="966" spans="1:59" ht="15.75" customHeight="1">
      <c r="A966" s="857"/>
      <c r="B966" s="857"/>
      <c r="C966" s="857"/>
      <c r="D966" s="857"/>
      <c r="E966" s="857"/>
      <c r="F966" s="857"/>
      <c r="G966" s="857"/>
      <c r="H966" s="857"/>
      <c r="I966" s="857"/>
      <c r="J966" s="857"/>
      <c r="K966" s="857"/>
      <c r="L966" s="857"/>
      <c r="M966" s="857"/>
      <c r="N966" s="857"/>
      <c r="O966" s="857"/>
      <c r="P966" s="857"/>
      <c r="Q966" s="857"/>
      <c r="R966" s="857"/>
      <c r="S966" s="857"/>
      <c r="T966" s="857"/>
      <c r="U966" s="857"/>
      <c r="V966" s="857"/>
      <c r="W966" s="857"/>
      <c r="X966" s="857"/>
      <c r="Y966" s="857"/>
      <c r="Z966" s="857"/>
      <c r="AA966" s="857"/>
      <c r="AB966" s="857"/>
      <c r="AC966" s="857"/>
      <c r="AD966" s="857"/>
      <c r="AE966" s="857"/>
      <c r="AF966" s="857"/>
      <c r="AG966" s="857"/>
      <c r="AH966" s="857"/>
      <c r="AI966" s="857"/>
      <c r="AJ966" s="857"/>
      <c r="AK966" s="857"/>
      <c r="AL966" s="857"/>
      <c r="AM966" s="857"/>
      <c r="AN966" s="857"/>
      <c r="AO966" s="857"/>
      <c r="AP966" s="857"/>
      <c r="AQ966" s="857"/>
      <c r="AR966" s="857"/>
      <c r="AS966" s="857"/>
      <c r="AT966" s="855"/>
      <c r="AV966" s="857"/>
      <c r="AW966" s="857"/>
      <c r="AX966" s="857"/>
      <c r="AY966" s="857"/>
      <c r="AZ966" s="857"/>
      <c r="BA966" s="857"/>
      <c r="BB966" s="857"/>
      <c r="BC966" s="857"/>
      <c r="BD966" s="857"/>
      <c r="BE966" s="857"/>
      <c r="BF966" s="857"/>
      <c r="BG966" s="857"/>
    </row>
    <row r="967" spans="1:59" ht="15.75" customHeight="1">
      <c r="A967" s="857"/>
      <c r="B967" s="857"/>
      <c r="C967" s="857"/>
      <c r="D967" s="857"/>
      <c r="E967" s="857"/>
      <c r="F967" s="857"/>
      <c r="G967" s="857"/>
      <c r="H967" s="857"/>
      <c r="I967" s="857"/>
      <c r="J967" s="857"/>
      <c r="K967" s="857"/>
      <c r="L967" s="857"/>
      <c r="M967" s="857"/>
      <c r="N967" s="857"/>
      <c r="O967" s="857"/>
      <c r="P967" s="857"/>
      <c r="Q967" s="857"/>
      <c r="R967" s="857"/>
      <c r="S967" s="857"/>
      <c r="T967" s="857"/>
      <c r="U967" s="857"/>
      <c r="V967" s="857"/>
      <c r="W967" s="857"/>
      <c r="X967" s="857"/>
      <c r="Y967" s="857"/>
      <c r="Z967" s="857"/>
      <c r="AA967" s="857"/>
      <c r="AB967" s="857"/>
      <c r="AC967" s="857"/>
      <c r="AD967" s="857"/>
      <c r="AE967" s="857"/>
      <c r="AF967" s="857"/>
      <c r="AG967" s="857"/>
      <c r="AH967" s="857"/>
      <c r="AI967" s="857"/>
      <c r="AJ967" s="857"/>
      <c r="AK967" s="857"/>
      <c r="AL967" s="857"/>
      <c r="AM967" s="857"/>
      <c r="AN967" s="857"/>
      <c r="AO967" s="857"/>
      <c r="AP967" s="857"/>
      <c r="AQ967" s="857"/>
      <c r="AR967" s="857"/>
      <c r="AS967" s="857"/>
      <c r="AT967" s="855"/>
      <c r="AV967" s="857"/>
      <c r="AW967" s="857"/>
      <c r="AX967" s="857"/>
      <c r="AY967" s="857"/>
      <c r="AZ967" s="857"/>
      <c r="BA967" s="857"/>
      <c r="BB967" s="857"/>
      <c r="BC967" s="857"/>
      <c r="BD967" s="857"/>
      <c r="BE967" s="857"/>
      <c r="BF967" s="857"/>
      <c r="BG967" s="857"/>
    </row>
    <row r="968" spans="1:59" ht="15.75" customHeight="1">
      <c r="A968" s="857"/>
      <c r="B968" s="857"/>
      <c r="C968" s="857"/>
      <c r="D968" s="857"/>
      <c r="E968" s="857"/>
      <c r="F968" s="857"/>
      <c r="G968" s="857"/>
      <c r="H968" s="857"/>
      <c r="I968" s="857"/>
      <c r="J968" s="857"/>
      <c r="K968" s="857"/>
      <c r="L968" s="857"/>
      <c r="M968" s="857"/>
      <c r="N968" s="857"/>
      <c r="O968" s="857"/>
      <c r="P968" s="857"/>
      <c r="Q968" s="857"/>
      <c r="R968" s="857"/>
      <c r="S968" s="857"/>
      <c r="T968" s="857"/>
      <c r="U968" s="857"/>
      <c r="V968" s="857"/>
      <c r="W968" s="857"/>
      <c r="X968" s="857"/>
      <c r="Y968" s="857"/>
      <c r="Z968" s="857"/>
      <c r="AA968" s="857"/>
      <c r="AB968" s="857"/>
      <c r="AC968" s="857"/>
      <c r="AD968" s="857"/>
      <c r="AE968" s="857"/>
      <c r="AF968" s="857"/>
      <c r="AG968" s="857"/>
      <c r="AH968" s="857"/>
      <c r="AI968" s="857"/>
      <c r="AJ968" s="857"/>
      <c r="AK968" s="857"/>
      <c r="AL968" s="857"/>
      <c r="AM968" s="857"/>
      <c r="AN968" s="857"/>
      <c r="AO968" s="857"/>
      <c r="AP968" s="857"/>
      <c r="AQ968" s="857"/>
      <c r="AR968" s="857"/>
      <c r="AS968" s="857"/>
      <c r="AT968" s="855"/>
      <c r="AV968" s="857"/>
      <c r="AW968" s="857"/>
      <c r="AX968" s="857"/>
      <c r="AY968" s="857"/>
      <c r="AZ968" s="857"/>
      <c r="BA968" s="857"/>
      <c r="BB968" s="857"/>
      <c r="BC968" s="857"/>
      <c r="BD968" s="857"/>
      <c r="BE968" s="857"/>
      <c r="BF968" s="857"/>
      <c r="BG968" s="857"/>
    </row>
    <row r="969" spans="1:59" ht="15.75" customHeight="1">
      <c r="A969" s="857"/>
      <c r="B969" s="857"/>
      <c r="C969" s="857"/>
      <c r="D969" s="857"/>
      <c r="E969" s="857"/>
      <c r="F969" s="857"/>
      <c r="G969" s="857"/>
      <c r="H969" s="857"/>
      <c r="I969" s="857"/>
      <c r="J969" s="857"/>
      <c r="K969" s="857"/>
      <c r="L969" s="857"/>
      <c r="M969" s="857"/>
      <c r="N969" s="857"/>
      <c r="O969" s="857"/>
      <c r="P969" s="857"/>
      <c r="Q969" s="857"/>
      <c r="R969" s="857"/>
      <c r="S969" s="857"/>
      <c r="T969" s="857"/>
      <c r="U969" s="857"/>
      <c r="V969" s="857"/>
      <c r="W969" s="857"/>
      <c r="X969" s="857"/>
      <c r="Y969" s="857"/>
      <c r="Z969" s="857"/>
      <c r="AA969" s="857"/>
      <c r="AB969" s="857"/>
      <c r="AC969" s="857"/>
      <c r="AD969" s="857"/>
      <c r="AE969" s="857"/>
      <c r="AF969" s="857"/>
      <c r="AG969" s="857"/>
      <c r="AH969" s="857"/>
      <c r="AI969" s="857"/>
      <c r="AJ969" s="857"/>
      <c r="AK969" s="857"/>
      <c r="AL969" s="857"/>
      <c r="AM969" s="857"/>
      <c r="AN969" s="857"/>
      <c r="AO969" s="857"/>
      <c r="AP969" s="857"/>
      <c r="AQ969" s="857"/>
      <c r="AR969" s="857"/>
      <c r="AS969" s="857"/>
      <c r="AT969" s="855"/>
      <c r="AV969" s="857"/>
      <c r="AW969" s="857"/>
      <c r="AX969" s="857"/>
      <c r="AY969" s="857"/>
      <c r="AZ969" s="857"/>
      <c r="BA969" s="857"/>
      <c r="BB969" s="857"/>
      <c r="BC969" s="857"/>
      <c r="BD969" s="857"/>
      <c r="BE969" s="857"/>
      <c r="BF969" s="857"/>
      <c r="BG969" s="857"/>
    </row>
    <row r="970" spans="1:59" ht="15.75" customHeight="1">
      <c r="A970" s="857"/>
      <c r="B970" s="857"/>
      <c r="C970" s="857"/>
      <c r="D970" s="857"/>
      <c r="E970" s="857"/>
      <c r="F970" s="857"/>
      <c r="G970" s="857"/>
      <c r="H970" s="857"/>
      <c r="I970" s="857"/>
      <c r="J970" s="857"/>
      <c r="K970" s="857"/>
      <c r="L970" s="857"/>
      <c r="M970" s="857"/>
      <c r="N970" s="857"/>
      <c r="O970" s="857"/>
      <c r="P970" s="857"/>
      <c r="Q970" s="857"/>
      <c r="R970" s="857"/>
      <c r="S970" s="857"/>
      <c r="T970" s="857"/>
      <c r="U970" s="857"/>
      <c r="V970" s="857"/>
      <c r="W970" s="857"/>
      <c r="X970" s="857"/>
      <c r="Y970" s="857"/>
      <c r="Z970" s="857"/>
      <c r="AA970" s="857"/>
      <c r="AB970" s="857"/>
      <c r="AC970" s="857"/>
      <c r="AD970" s="857"/>
      <c r="AE970" s="857"/>
      <c r="AF970" s="857"/>
      <c r="AG970" s="857"/>
      <c r="AH970" s="857"/>
      <c r="AI970" s="857"/>
      <c r="AJ970" s="857"/>
      <c r="AK970" s="857"/>
      <c r="AL970" s="857"/>
      <c r="AM970" s="857"/>
      <c r="AN970" s="857"/>
      <c r="AO970" s="857"/>
      <c r="AP970" s="857"/>
      <c r="AQ970" s="857"/>
      <c r="AR970" s="857"/>
      <c r="AS970" s="857"/>
      <c r="AT970" s="855"/>
      <c r="AV970" s="857"/>
      <c r="AW970" s="857"/>
      <c r="AX970" s="857"/>
      <c r="AY970" s="857"/>
      <c r="AZ970" s="857"/>
      <c r="BA970" s="857"/>
      <c r="BB970" s="857"/>
      <c r="BC970" s="857"/>
      <c r="BD970" s="857"/>
      <c r="BE970" s="857"/>
      <c r="BF970" s="857"/>
      <c r="BG970" s="857"/>
    </row>
    <row r="971" spans="1:59" ht="15.75" customHeight="1">
      <c r="A971" s="857"/>
      <c r="B971" s="857"/>
      <c r="C971" s="857"/>
      <c r="D971" s="857"/>
      <c r="E971" s="857"/>
      <c r="F971" s="857"/>
      <c r="G971" s="857"/>
      <c r="H971" s="857"/>
      <c r="I971" s="857"/>
      <c r="J971" s="857"/>
      <c r="K971" s="857"/>
      <c r="L971" s="857"/>
      <c r="M971" s="857"/>
      <c r="N971" s="857"/>
      <c r="O971" s="857"/>
      <c r="P971" s="857"/>
      <c r="Q971" s="857"/>
      <c r="R971" s="857"/>
      <c r="S971" s="857"/>
      <c r="T971" s="857"/>
      <c r="U971" s="857"/>
      <c r="V971" s="857"/>
      <c r="W971" s="857"/>
      <c r="X971" s="857"/>
      <c r="Y971" s="857"/>
      <c r="Z971" s="857"/>
      <c r="AA971" s="857"/>
      <c r="AB971" s="857"/>
      <c r="AC971" s="857"/>
      <c r="AD971" s="857"/>
      <c r="AE971" s="857"/>
      <c r="AF971" s="857"/>
      <c r="AG971" s="857"/>
      <c r="AH971" s="857"/>
      <c r="AI971" s="857"/>
      <c r="AJ971" s="857"/>
      <c r="AK971" s="857"/>
      <c r="AL971" s="857"/>
      <c r="AM971" s="857"/>
      <c r="AN971" s="857"/>
      <c r="AO971" s="857"/>
      <c r="AP971" s="857"/>
      <c r="AQ971" s="857"/>
      <c r="AR971" s="857"/>
      <c r="AS971" s="857"/>
      <c r="AT971" s="855"/>
      <c r="AV971" s="857"/>
      <c r="AW971" s="857"/>
      <c r="AX971" s="857"/>
      <c r="AY971" s="857"/>
      <c r="AZ971" s="857"/>
      <c r="BA971" s="857"/>
      <c r="BB971" s="857"/>
      <c r="BC971" s="857"/>
      <c r="BD971" s="857"/>
      <c r="BE971" s="857"/>
      <c r="BF971" s="857"/>
      <c r="BG971" s="857"/>
    </row>
    <row r="972" spans="1:59" ht="15.75" customHeight="1">
      <c r="A972" s="857"/>
      <c r="B972" s="857"/>
      <c r="C972" s="857"/>
      <c r="D972" s="857"/>
      <c r="E972" s="857"/>
      <c r="F972" s="857"/>
      <c r="G972" s="857"/>
      <c r="H972" s="857"/>
      <c r="I972" s="857"/>
      <c r="J972" s="857"/>
      <c r="K972" s="857"/>
      <c r="L972" s="857"/>
      <c r="M972" s="857"/>
      <c r="N972" s="857"/>
      <c r="O972" s="857"/>
      <c r="P972" s="857"/>
      <c r="Q972" s="857"/>
      <c r="R972" s="857"/>
      <c r="S972" s="857"/>
      <c r="T972" s="857"/>
      <c r="U972" s="857"/>
      <c r="V972" s="857"/>
      <c r="W972" s="857"/>
      <c r="X972" s="857"/>
      <c r="Y972" s="857"/>
      <c r="Z972" s="857"/>
      <c r="AA972" s="857"/>
      <c r="AB972" s="857"/>
      <c r="AC972" s="857"/>
      <c r="AD972" s="857"/>
      <c r="AE972" s="857"/>
      <c r="AF972" s="857"/>
      <c r="AG972" s="857"/>
      <c r="AH972" s="857"/>
      <c r="AI972" s="857"/>
      <c r="AJ972" s="857"/>
      <c r="AK972" s="857"/>
      <c r="AL972" s="857"/>
      <c r="AM972" s="857"/>
      <c r="AN972" s="857"/>
      <c r="AO972" s="857"/>
      <c r="AP972" s="857"/>
      <c r="AQ972" s="857"/>
      <c r="AR972" s="857"/>
      <c r="AS972" s="857"/>
      <c r="AT972" s="855"/>
      <c r="AV972" s="857"/>
      <c r="AW972" s="857"/>
      <c r="AX972" s="857"/>
      <c r="AY972" s="857"/>
      <c r="AZ972" s="857"/>
      <c r="BA972" s="857"/>
      <c r="BB972" s="857"/>
      <c r="BC972" s="857"/>
      <c r="BD972" s="857"/>
      <c r="BE972" s="857"/>
      <c r="BF972" s="857"/>
      <c r="BG972" s="857"/>
    </row>
    <row r="973" spans="1:59" ht="15.75" customHeight="1">
      <c r="A973" s="857"/>
      <c r="B973" s="857"/>
      <c r="C973" s="857"/>
      <c r="D973" s="857"/>
      <c r="E973" s="857"/>
      <c r="F973" s="857"/>
      <c r="G973" s="857"/>
      <c r="H973" s="857"/>
      <c r="I973" s="857"/>
      <c r="J973" s="857"/>
      <c r="K973" s="857"/>
      <c r="L973" s="857"/>
      <c r="M973" s="857"/>
      <c r="N973" s="857"/>
      <c r="O973" s="857"/>
      <c r="P973" s="857"/>
      <c r="Q973" s="857"/>
      <c r="R973" s="857"/>
      <c r="S973" s="857"/>
      <c r="T973" s="857"/>
      <c r="U973" s="857"/>
      <c r="V973" s="857"/>
      <c r="W973" s="857"/>
      <c r="X973" s="857"/>
      <c r="Y973" s="857"/>
      <c r="Z973" s="857"/>
      <c r="AA973" s="857"/>
      <c r="AB973" s="857"/>
      <c r="AC973" s="857"/>
      <c r="AD973" s="857"/>
      <c r="AE973" s="857"/>
      <c r="AF973" s="857"/>
      <c r="AG973" s="857"/>
      <c r="AH973" s="857"/>
      <c r="AI973" s="857"/>
      <c r="AJ973" s="857"/>
      <c r="AK973" s="857"/>
      <c r="AL973" s="857"/>
      <c r="AM973" s="857"/>
      <c r="AN973" s="857"/>
      <c r="AO973" s="857"/>
      <c r="AP973" s="857"/>
      <c r="AQ973" s="857"/>
      <c r="AR973" s="857"/>
      <c r="AS973" s="857"/>
      <c r="AT973" s="855"/>
      <c r="AV973" s="857"/>
      <c r="AW973" s="857"/>
      <c r="AX973" s="857"/>
      <c r="AY973" s="857"/>
      <c r="AZ973" s="857"/>
      <c r="BA973" s="857"/>
      <c r="BB973" s="857"/>
      <c r="BC973" s="857"/>
      <c r="BD973" s="857"/>
      <c r="BE973" s="857"/>
      <c r="BF973" s="857"/>
      <c r="BG973" s="857"/>
    </row>
    <row r="974" spans="1:59" ht="15.75" customHeight="1">
      <c r="A974" s="857"/>
      <c r="B974" s="857"/>
      <c r="C974" s="857"/>
      <c r="D974" s="857"/>
      <c r="E974" s="857"/>
      <c r="F974" s="857"/>
      <c r="G974" s="857"/>
      <c r="H974" s="857"/>
      <c r="I974" s="857"/>
      <c r="J974" s="857"/>
      <c r="K974" s="857"/>
      <c r="L974" s="857"/>
      <c r="M974" s="857"/>
      <c r="N974" s="857"/>
      <c r="O974" s="857"/>
      <c r="P974" s="857"/>
      <c r="Q974" s="857"/>
      <c r="R974" s="857"/>
      <c r="S974" s="857"/>
      <c r="T974" s="857"/>
      <c r="U974" s="857"/>
      <c r="V974" s="857"/>
      <c r="W974" s="857"/>
      <c r="X974" s="857"/>
      <c r="Y974" s="857"/>
      <c r="Z974" s="857"/>
      <c r="AA974" s="857"/>
      <c r="AB974" s="857"/>
      <c r="AC974" s="857"/>
      <c r="AD974" s="857"/>
      <c r="AE974" s="857"/>
      <c r="AF974" s="857"/>
      <c r="AG974" s="857"/>
      <c r="AH974" s="857"/>
      <c r="AI974" s="857"/>
      <c r="AJ974" s="857"/>
      <c r="AK974" s="857"/>
      <c r="AL974" s="857"/>
      <c r="AM974" s="857"/>
      <c r="AN974" s="857"/>
      <c r="AO974" s="857"/>
      <c r="AP974" s="857"/>
      <c r="AQ974" s="857"/>
      <c r="AR974" s="857"/>
      <c r="AS974" s="857"/>
      <c r="AT974" s="855"/>
      <c r="AV974" s="857"/>
      <c r="AW974" s="857"/>
      <c r="AX974" s="857"/>
      <c r="AY974" s="857"/>
      <c r="AZ974" s="857"/>
      <c r="BA974" s="857"/>
      <c r="BB974" s="857"/>
      <c r="BC974" s="857"/>
      <c r="BD974" s="857"/>
      <c r="BE974" s="857"/>
      <c r="BF974" s="857"/>
      <c r="BG974" s="857"/>
    </row>
    <row r="975" spans="1:59" ht="15.75" customHeight="1">
      <c r="A975" s="857"/>
      <c r="B975" s="857"/>
      <c r="C975" s="857"/>
      <c r="D975" s="857"/>
      <c r="E975" s="857"/>
      <c r="F975" s="857"/>
      <c r="G975" s="857"/>
      <c r="H975" s="857"/>
      <c r="I975" s="857"/>
      <c r="J975" s="857"/>
      <c r="K975" s="857"/>
      <c r="L975" s="857"/>
      <c r="M975" s="857"/>
      <c r="N975" s="857"/>
      <c r="O975" s="857"/>
      <c r="P975" s="857"/>
      <c r="Q975" s="857"/>
      <c r="R975" s="857"/>
      <c r="S975" s="857"/>
      <c r="T975" s="857"/>
      <c r="U975" s="857"/>
      <c r="V975" s="857"/>
      <c r="W975" s="857"/>
      <c r="X975" s="857"/>
      <c r="Y975" s="857"/>
      <c r="Z975" s="857"/>
      <c r="AA975" s="857"/>
      <c r="AB975" s="857"/>
      <c r="AC975" s="857"/>
      <c r="AD975" s="857"/>
      <c r="AE975" s="857"/>
      <c r="AF975" s="857"/>
      <c r="AG975" s="857"/>
      <c r="AH975" s="857"/>
      <c r="AI975" s="857"/>
      <c r="AJ975" s="857"/>
      <c r="AK975" s="857"/>
      <c r="AL975" s="857"/>
      <c r="AM975" s="857"/>
      <c r="AN975" s="857"/>
      <c r="AO975" s="857"/>
      <c r="AP975" s="857"/>
      <c r="AQ975" s="857"/>
      <c r="AR975" s="857"/>
      <c r="AS975" s="857"/>
      <c r="AT975" s="855"/>
      <c r="AV975" s="857"/>
      <c r="AW975" s="857"/>
      <c r="AX975" s="857"/>
      <c r="AY975" s="857"/>
      <c r="AZ975" s="857"/>
      <c r="BA975" s="857"/>
      <c r="BB975" s="857"/>
      <c r="BC975" s="857"/>
      <c r="BD975" s="857"/>
      <c r="BE975" s="857"/>
      <c r="BF975" s="857"/>
      <c r="BG975" s="857"/>
    </row>
    <row r="976" spans="1:59" ht="15.75" customHeight="1">
      <c r="A976" s="857"/>
      <c r="B976" s="857"/>
      <c r="C976" s="857"/>
      <c r="D976" s="857"/>
      <c r="E976" s="857"/>
      <c r="F976" s="857"/>
      <c r="G976" s="857"/>
      <c r="H976" s="857"/>
      <c r="I976" s="857"/>
      <c r="J976" s="857"/>
      <c r="K976" s="857"/>
      <c r="L976" s="857"/>
      <c r="M976" s="857"/>
      <c r="N976" s="857"/>
      <c r="O976" s="857"/>
      <c r="P976" s="857"/>
      <c r="Q976" s="857"/>
      <c r="R976" s="857"/>
      <c r="S976" s="857"/>
      <c r="T976" s="857"/>
      <c r="U976" s="857"/>
      <c r="V976" s="857"/>
      <c r="W976" s="857"/>
      <c r="X976" s="857"/>
      <c r="Y976" s="857"/>
      <c r="Z976" s="857"/>
      <c r="AA976" s="857"/>
      <c r="AB976" s="857"/>
      <c r="AC976" s="857"/>
      <c r="AD976" s="857"/>
      <c r="AE976" s="857"/>
      <c r="AF976" s="857"/>
      <c r="AG976" s="857"/>
      <c r="AH976" s="857"/>
      <c r="AI976" s="857"/>
      <c r="AJ976" s="857"/>
      <c r="AK976" s="857"/>
      <c r="AL976" s="857"/>
      <c r="AM976" s="857"/>
      <c r="AN976" s="857"/>
      <c r="AO976" s="857"/>
      <c r="AP976" s="857"/>
      <c r="AQ976" s="857"/>
      <c r="AR976" s="857"/>
      <c r="AS976" s="857"/>
      <c r="AT976" s="855"/>
      <c r="AV976" s="857"/>
      <c r="AW976" s="857"/>
      <c r="AX976" s="857"/>
      <c r="AY976" s="857"/>
      <c r="AZ976" s="857"/>
      <c r="BA976" s="857"/>
      <c r="BB976" s="857"/>
      <c r="BC976" s="857"/>
      <c r="BD976" s="857"/>
      <c r="BE976" s="857"/>
      <c r="BF976" s="857"/>
      <c r="BG976" s="857"/>
    </row>
    <row r="977" spans="1:59" ht="15.75" customHeight="1">
      <c r="A977" s="857"/>
      <c r="B977" s="857"/>
      <c r="C977" s="857"/>
      <c r="D977" s="857"/>
      <c r="E977" s="857"/>
      <c r="F977" s="857"/>
      <c r="G977" s="857"/>
      <c r="H977" s="857"/>
      <c r="I977" s="857"/>
      <c r="J977" s="857"/>
      <c r="K977" s="857"/>
      <c r="L977" s="857"/>
      <c r="M977" s="857"/>
      <c r="N977" s="857"/>
      <c r="O977" s="857"/>
      <c r="P977" s="857"/>
      <c r="Q977" s="857"/>
      <c r="R977" s="857"/>
      <c r="S977" s="857"/>
      <c r="T977" s="857"/>
      <c r="U977" s="857"/>
      <c r="V977" s="857"/>
      <c r="W977" s="857"/>
      <c r="X977" s="857"/>
      <c r="Y977" s="857"/>
      <c r="Z977" s="857"/>
      <c r="AA977" s="857"/>
      <c r="AB977" s="857"/>
      <c r="AC977" s="857"/>
      <c r="AD977" s="857"/>
      <c r="AE977" s="857"/>
      <c r="AF977" s="857"/>
      <c r="AG977" s="857"/>
      <c r="AH977" s="857"/>
      <c r="AI977" s="857"/>
      <c r="AJ977" s="857"/>
      <c r="AK977" s="857"/>
      <c r="AL977" s="857"/>
      <c r="AM977" s="857"/>
      <c r="AN977" s="857"/>
      <c r="AO977" s="857"/>
      <c r="AP977" s="857"/>
      <c r="AQ977" s="857"/>
      <c r="AR977" s="857"/>
      <c r="AS977" s="857"/>
      <c r="AT977" s="855"/>
      <c r="AV977" s="857"/>
      <c r="AW977" s="857"/>
      <c r="AX977" s="857"/>
      <c r="AY977" s="857"/>
      <c r="AZ977" s="857"/>
      <c r="BA977" s="857"/>
      <c r="BB977" s="857"/>
      <c r="BC977" s="857"/>
      <c r="BD977" s="857"/>
      <c r="BE977" s="857"/>
      <c r="BF977" s="857"/>
      <c r="BG977" s="857"/>
    </row>
    <row r="978" spans="1:59" ht="15.75" customHeight="1">
      <c r="A978" s="857"/>
      <c r="B978" s="857"/>
      <c r="C978" s="857"/>
      <c r="D978" s="857"/>
      <c r="E978" s="857"/>
      <c r="F978" s="857"/>
      <c r="G978" s="857"/>
      <c r="H978" s="857"/>
      <c r="I978" s="857"/>
      <c r="J978" s="857"/>
      <c r="K978" s="857"/>
      <c r="L978" s="857"/>
      <c r="M978" s="857"/>
      <c r="N978" s="857"/>
      <c r="O978" s="857"/>
      <c r="P978" s="857"/>
      <c r="Q978" s="857"/>
      <c r="R978" s="857"/>
      <c r="S978" s="857"/>
      <c r="T978" s="857"/>
      <c r="U978" s="857"/>
      <c r="V978" s="857"/>
      <c r="W978" s="857"/>
      <c r="X978" s="857"/>
      <c r="Y978" s="857"/>
      <c r="Z978" s="857"/>
      <c r="AA978" s="857"/>
      <c r="AB978" s="857"/>
      <c r="AC978" s="857"/>
      <c r="AD978" s="857"/>
      <c r="AE978" s="857"/>
      <c r="AF978" s="857"/>
      <c r="AG978" s="857"/>
      <c r="AH978" s="857"/>
      <c r="AI978" s="857"/>
      <c r="AJ978" s="857"/>
      <c r="AK978" s="857"/>
      <c r="AL978" s="857"/>
      <c r="AM978" s="857"/>
      <c r="AN978" s="857"/>
      <c r="AO978" s="857"/>
      <c r="AP978" s="857"/>
      <c r="AQ978" s="857"/>
      <c r="AR978" s="857"/>
      <c r="AS978" s="857"/>
      <c r="AT978" s="855"/>
      <c r="AV978" s="857"/>
      <c r="AW978" s="857"/>
      <c r="AX978" s="857"/>
      <c r="AY978" s="857"/>
      <c r="AZ978" s="857"/>
      <c r="BA978" s="857"/>
      <c r="BB978" s="857"/>
      <c r="BC978" s="857"/>
      <c r="BD978" s="857"/>
      <c r="BE978" s="857"/>
      <c r="BF978" s="857"/>
      <c r="BG978" s="857"/>
    </row>
    <row r="979" spans="1:59" ht="15.75" customHeight="1">
      <c r="A979" s="857"/>
      <c r="B979" s="857"/>
      <c r="C979" s="857"/>
      <c r="D979" s="857"/>
      <c r="E979" s="857"/>
      <c r="F979" s="857"/>
      <c r="G979" s="857"/>
      <c r="H979" s="857"/>
      <c r="I979" s="857"/>
      <c r="J979" s="857"/>
      <c r="K979" s="857"/>
      <c r="L979" s="857"/>
      <c r="M979" s="857"/>
      <c r="N979" s="857"/>
      <c r="O979" s="857"/>
      <c r="P979" s="857"/>
      <c r="Q979" s="857"/>
      <c r="R979" s="857"/>
      <c r="S979" s="857"/>
      <c r="T979" s="857"/>
      <c r="U979" s="857"/>
      <c r="V979" s="857"/>
      <c r="W979" s="857"/>
      <c r="X979" s="857"/>
      <c r="Y979" s="857"/>
      <c r="Z979" s="857"/>
      <c r="AA979" s="857"/>
      <c r="AB979" s="857"/>
      <c r="AC979" s="857"/>
      <c r="AD979" s="857"/>
      <c r="AE979" s="857"/>
      <c r="AF979" s="857"/>
      <c r="AG979" s="857"/>
      <c r="AH979" s="857"/>
      <c r="AI979" s="857"/>
      <c r="AJ979" s="857"/>
      <c r="AK979" s="857"/>
      <c r="AL979" s="857"/>
      <c r="AM979" s="857"/>
      <c r="AN979" s="857"/>
      <c r="AO979" s="857"/>
      <c r="AP979" s="857"/>
      <c r="AQ979" s="857"/>
      <c r="AR979" s="857"/>
      <c r="AS979" s="857"/>
      <c r="AT979" s="855"/>
      <c r="AV979" s="857"/>
      <c r="AW979" s="857"/>
      <c r="AX979" s="857"/>
      <c r="AY979" s="857"/>
      <c r="AZ979" s="857"/>
      <c r="BA979" s="857"/>
      <c r="BB979" s="857"/>
      <c r="BC979" s="857"/>
      <c r="BD979" s="857"/>
      <c r="BE979" s="857"/>
      <c r="BF979" s="857"/>
      <c r="BG979" s="857"/>
    </row>
    <row r="980" spans="1:59" ht="15.75" customHeight="1">
      <c r="A980" s="857"/>
      <c r="B980" s="857"/>
      <c r="C980" s="857"/>
      <c r="D980" s="857"/>
      <c r="E980" s="857"/>
      <c r="F980" s="857"/>
      <c r="G980" s="857"/>
      <c r="H980" s="857"/>
      <c r="I980" s="857"/>
      <c r="J980" s="857"/>
      <c r="K980" s="857"/>
      <c r="L980" s="857"/>
      <c r="M980" s="857"/>
      <c r="N980" s="857"/>
      <c r="O980" s="857"/>
      <c r="P980" s="857"/>
      <c r="Q980" s="857"/>
      <c r="R980" s="857"/>
      <c r="S980" s="857"/>
      <c r="T980" s="857"/>
      <c r="U980" s="857"/>
      <c r="V980" s="857"/>
      <c r="W980" s="857"/>
      <c r="X980" s="857"/>
      <c r="Y980" s="857"/>
      <c r="Z980" s="857"/>
      <c r="AA980" s="857"/>
      <c r="AB980" s="857"/>
      <c r="AC980" s="857"/>
      <c r="AD980" s="857"/>
      <c r="AE980" s="857"/>
      <c r="AF980" s="857"/>
      <c r="AG980" s="857"/>
      <c r="AH980" s="857"/>
      <c r="AI980" s="857"/>
      <c r="AJ980" s="857"/>
      <c r="AK980" s="857"/>
      <c r="AL980" s="857"/>
      <c r="AM980" s="857"/>
      <c r="AN980" s="857"/>
      <c r="AO980" s="857"/>
      <c r="AP980" s="857"/>
      <c r="AQ980" s="857"/>
      <c r="AR980" s="857"/>
      <c r="AS980" s="857"/>
      <c r="AT980" s="855"/>
      <c r="AV980" s="857"/>
      <c r="AW980" s="857"/>
      <c r="AX980" s="857"/>
      <c r="AY980" s="857"/>
      <c r="AZ980" s="857"/>
      <c r="BA980" s="857"/>
      <c r="BB980" s="857"/>
      <c r="BC980" s="857"/>
      <c r="BD980" s="857"/>
      <c r="BE980" s="857"/>
      <c r="BF980" s="857"/>
      <c r="BG980" s="857"/>
    </row>
    <row r="981" spans="1:59" ht="15.75" customHeight="1">
      <c r="A981" s="857"/>
      <c r="B981" s="857"/>
      <c r="C981" s="857"/>
      <c r="D981" s="857"/>
      <c r="E981" s="857"/>
      <c r="F981" s="857"/>
      <c r="G981" s="857"/>
      <c r="H981" s="857"/>
      <c r="I981" s="857"/>
      <c r="J981" s="857"/>
      <c r="K981" s="857"/>
      <c r="L981" s="857"/>
      <c r="M981" s="857"/>
      <c r="N981" s="857"/>
      <c r="O981" s="857"/>
      <c r="P981" s="857"/>
      <c r="Q981" s="857"/>
      <c r="R981" s="857"/>
      <c r="S981" s="857"/>
      <c r="T981" s="857"/>
      <c r="U981" s="857"/>
      <c r="V981" s="857"/>
      <c r="W981" s="857"/>
      <c r="X981" s="857"/>
      <c r="Y981" s="857"/>
      <c r="Z981" s="857"/>
      <c r="AA981" s="857"/>
      <c r="AB981" s="857"/>
      <c r="AC981" s="857"/>
      <c r="AD981" s="857"/>
      <c r="AE981" s="857"/>
      <c r="AF981" s="857"/>
      <c r="AG981" s="857"/>
      <c r="AH981" s="857"/>
      <c r="AI981" s="857"/>
      <c r="AJ981" s="857"/>
      <c r="AK981" s="857"/>
      <c r="AL981" s="857"/>
      <c r="AM981" s="857"/>
      <c r="AN981" s="857"/>
      <c r="AO981" s="857"/>
      <c r="AP981" s="857"/>
      <c r="AQ981" s="857"/>
      <c r="AR981" s="857"/>
      <c r="AS981" s="857"/>
      <c r="AT981" s="855"/>
      <c r="AV981" s="857"/>
      <c r="AW981" s="857"/>
      <c r="AX981" s="857"/>
      <c r="AY981" s="857"/>
      <c r="AZ981" s="857"/>
      <c r="BA981" s="857"/>
      <c r="BB981" s="857"/>
      <c r="BC981" s="857"/>
      <c r="BD981" s="857"/>
      <c r="BE981" s="857"/>
      <c r="BF981" s="857"/>
      <c r="BG981" s="857"/>
    </row>
    <row r="982" spans="1:59" ht="15.75" customHeight="1">
      <c r="A982" s="857"/>
      <c r="B982" s="857"/>
      <c r="C982" s="857"/>
      <c r="D982" s="857"/>
      <c r="E982" s="857"/>
      <c r="F982" s="857"/>
      <c r="G982" s="857"/>
      <c r="H982" s="857"/>
      <c r="I982" s="857"/>
      <c r="J982" s="857"/>
      <c r="K982" s="857"/>
      <c r="L982" s="857"/>
      <c r="M982" s="857"/>
      <c r="N982" s="857"/>
      <c r="O982" s="857"/>
      <c r="P982" s="857"/>
      <c r="Q982" s="857"/>
      <c r="R982" s="857"/>
      <c r="S982" s="857"/>
      <c r="T982" s="857"/>
      <c r="U982" s="857"/>
      <c r="V982" s="857"/>
      <c r="W982" s="857"/>
      <c r="X982" s="857"/>
      <c r="Y982" s="857"/>
      <c r="Z982" s="857"/>
      <c r="AA982" s="857"/>
      <c r="AB982" s="857"/>
      <c r="AC982" s="857"/>
      <c r="AD982" s="857"/>
      <c r="AE982" s="857"/>
      <c r="AF982" s="857"/>
      <c r="AG982" s="857"/>
      <c r="AH982" s="857"/>
      <c r="AI982" s="857"/>
      <c r="AJ982" s="857"/>
      <c r="AK982" s="857"/>
      <c r="AL982" s="857"/>
      <c r="AM982" s="857"/>
      <c r="AN982" s="857"/>
      <c r="AO982" s="857"/>
      <c r="AP982" s="857"/>
      <c r="AQ982" s="857"/>
      <c r="AR982" s="857"/>
      <c r="AS982" s="857"/>
      <c r="AT982" s="855"/>
      <c r="AV982" s="857"/>
      <c r="AW982" s="857"/>
      <c r="AX982" s="857"/>
      <c r="AY982" s="857"/>
      <c r="AZ982" s="857"/>
      <c r="BA982" s="857"/>
      <c r="BB982" s="857"/>
      <c r="BC982" s="857"/>
      <c r="BD982" s="857"/>
      <c r="BE982" s="857"/>
      <c r="BF982" s="857"/>
      <c r="BG982" s="857"/>
    </row>
    <row r="983" spans="1:59" ht="15" customHeight="1">
      <c r="AT983" s="855"/>
    </row>
    <row r="984" spans="1:59" ht="15" customHeight="1">
      <c r="AT984" s="855"/>
    </row>
    <row r="985" spans="1:59" ht="15" customHeight="1">
      <c r="AT985" s="855"/>
    </row>
    <row r="986" spans="1:59" ht="15" customHeight="1">
      <c r="AT986" s="855"/>
    </row>
    <row r="987" spans="1:59" ht="15" customHeight="1">
      <c r="AT987" s="855"/>
    </row>
    <row r="988" spans="1:59" ht="15" customHeight="1">
      <c r="AT988" s="855"/>
    </row>
    <row r="989" spans="1:59" ht="15" customHeight="1">
      <c r="AT989" s="855"/>
    </row>
  </sheetData>
  <mergeCells count="6">
    <mergeCell ref="A1:AS1"/>
    <mergeCell ref="A2:AS2"/>
    <mergeCell ref="A3:AS3"/>
    <mergeCell ref="A50:AX50"/>
    <mergeCell ref="A51:AX52"/>
    <mergeCell ref="A53:AV5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52"/>
  <sheetViews>
    <sheetView showGridLines="0" view="pageBreakPreview" zoomScale="145" zoomScaleNormal="100" zoomScaleSheetLayoutView="145" workbookViewId="0"/>
  </sheetViews>
  <sheetFormatPr defaultRowHeight="1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1"/>
      <c r="B1" s="541"/>
      <c r="C1" s="541"/>
      <c r="D1" s="541"/>
      <c r="E1" s="541"/>
      <c r="F1" s="541"/>
      <c r="G1" s="541"/>
      <c r="H1" s="541"/>
      <c r="I1" s="541"/>
    </row>
    <row r="2" spans="1:17" ht="16.5">
      <c r="A2" s="541"/>
      <c r="B2" s="566" t="str">
        <f>Cover!$B$24</f>
        <v>Keystone Bookkeepers</v>
      </c>
      <c r="C2" s="541"/>
      <c r="D2" s="541"/>
      <c r="E2" s="541"/>
      <c r="F2" s="541"/>
      <c r="G2" s="541"/>
      <c r="H2" s="541"/>
      <c r="I2" s="541"/>
      <c r="J2" s="2"/>
      <c r="K2" s="2"/>
      <c r="L2" s="2"/>
      <c r="M2" s="2"/>
      <c r="N2" s="2"/>
      <c r="O2" s="2"/>
      <c r="P2" s="2"/>
      <c r="Q2" s="2"/>
    </row>
    <row r="3" spans="1:17">
      <c r="A3" s="541"/>
      <c r="B3" s="693" t="s">
        <v>2342</v>
      </c>
      <c r="C3" s="694"/>
      <c r="D3" s="694"/>
      <c r="E3" s="694"/>
      <c r="F3" s="541"/>
      <c r="G3" s="541"/>
      <c r="H3" s="541" t="s">
        <v>276</v>
      </c>
      <c r="I3" s="695">
        <v>0</v>
      </c>
      <c r="J3" s="2"/>
      <c r="K3" s="2"/>
      <c r="L3" s="2"/>
      <c r="M3" s="2"/>
      <c r="N3" s="2"/>
      <c r="O3" s="2"/>
      <c r="P3" s="2"/>
      <c r="Q3" s="2"/>
    </row>
    <row r="4" spans="1:17">
      <c r="A4" s="541"/>
      <c r="B4" s="541"/>
      <c r="C4" s="541"/>
      <c r="D4" s="541"/>
      <c r="E4" s="541"/>
      <c r="F4" s="541"/>
      <c r="G4" s="541"/>
      <c r="H4" s="541"/>
      <c r="I4" s="541"/>
      <c r="J4" s="2"/>
      <c r="K4" s="2"/>
      <c r="L4" s="2"/>
      <c r="M4" s="2"/>
      <c r="N4" s="2"/>
      <c r="O4" s="2"/>
      <c r="P4" s="2"/>
      <c r="Q4" s="2"/>
    </row>
    <row r="5" spans="1:17">
      <c r="A5" s="541"/>
      <c r="B5" s="535" t="s">
        <v>2345</v>
      </c>
      <c r="C5" s="617" t="s">
        <v>2343</v>
      </c>
      <c r="D5" s="617" t="s">
        <v>2344</v>
      </c>
      <c r="E5" s="534" t="s">
        <v>1918</v>
      </c>
      <c r="F5" s="541"/>
      <c r="G5" s="539" t="s">
        <v>1808</v>
      </c>
      <c r="H5" s="541"/>
      <c r="I5" s="541"/>
      <c r="J5" s="2"/>
      <c r="K5" s="2"/>
      <c r="L5" s="2"/>
      <c r="M5" s="2"/>
      <c r="N5" s="2"/>
      <c r="O5" s="2"/>
      <c r="P5" s="2"/>
      <c r="Q5" s="2"/>
    </row>
    <row r="6" spans="1:17" ht="2.1" customHeight="1">
      <c r="A6" s="541"/>
      <c r="E6" s="808"/>
      <c r="F6" s="541"/>
      <c r="G6" s="541"/>
      <c r="H6" s="541"/>
      <c r="I6" s="541"/>
      <c r="J6" s="2"/>
      <c r="K6" s="2"/>
      <c r="L6" s="2"/>
      <c r="M6" s="2"/>
      <c r="N6" s="2"/>
      <c r="O6" s="2"/>
      <c r="P6" s="2"/>
      <c r="Q6" s="2"/>
    </row>
    <row r="7" spans="1:17">
      <c r="A7" s="541"/>
      <c r="B7" s="541" t="s">
        <v>2057</v>
      </c>
      <c r="C7" s="575">
        <v>5</v>
      </c>
      <c r="D7" s="545">
        <f>C7</f>
        <v>5</v>
      </c>
      <c r="E7" s="677">
        <f t="shared" ref="E7:E15" si="0">C7-D7</f>
        <v>0</v>
      </c>
      <c r="F7" s="541"/>
      <c r="G7" s="541" t="s">
        <v>2386</v>
      </c>
      <c r="H7" s="541"/>
      <c r="I7" s="541"/>
      <c r="J7" s="2"/>
      <c r="K7" s="2"/>
      <c r="L7" s="2"/>
      <c r="M7" s="2"/>
      <c r="N7" s="2"/>
      <c r="O7" s="2"/>
      <c r="P7" s="2"/>
      <c r="Q7" s="2"/>
    </row>
    <row r="8" spans="1:17">
      <c r="A8" s="541"/>
      <c r="B8" s="541" t="s">
        <v>2325</v>
      </c>
      <c r="C8" s="637">
        <v>0.05</v>
      </c>
      <c r="D8" s="547">
        <f>C8</f>
        <v>0.05</v>
      </c>
      <c r="E8" s="696">
        <f t="shared" si="0"/>
        <v>0</v>
      </c>
      <c r="F8" s="541"/>
      <c r="G8" s="541" t="s">
        <v>2386</v>
      </c>
      <c r="H8" s="541"/>
      <c r="I8" s="541"/>
      <c r="J8" s="2"/>
      <c r="K8" s="2"/>
      <c r="L8" s="2"/>
      <c r="M8" s="2"/>
      <c r="N8" s="2"/>
      <c r="O8" s="2"/>
      <c r="P8" s="2"/>
      <c r="Q8" s="2"/>
    </row>
    <row r="9" spans="1:17">
      <c r="A9" s="541"/>
      <c r="B9" s="541" t="s">
        <v>2346</v>
      </c>
      <c r="C9" s="718">
        <v>50000</v>
      </c>
      <c r="D9" s="544">
        <f>C9</f>
        <v>50000</v>
      </c>
      <c r="E9" s="606">
        <f t="shared" si="0"/>
        <v>0</v>
      </c>
      <c r="F9" s="541"/>
      <c r="G9" s="541" t="s">
        <v>2385</v>
      </c>
      <c r="H9" s="541"/>
      <c r="I9" s="541"/>
      <c r="J9" s="2"/>
      <c r="K9" s="2"/>
      <c r="L9" s="2"/>
      <c r="M9" s="2"/>
      <c r="N9" s="2"/>
      <c r="O9" s="2"/>
      <c r="P9" s="2"/>
      <c r="Q9" s="2"/>
    </row>
    <row r="10" spans="1:17">
      <c r="A10" s="541"/>
      <c r="B10" s="541" t="s">
        <v>2347</v>
      </c>
      <c r="C10" s="701">
        <f>'Partnership Analysis'!$C$19</f>
        <v>1.0131712259371835</v>
      </c>
      <c r="D10" s="701">
        <f>'100% Buyout Analysis'!$C$18</f>
        <v>1</v>
      </c>
      <c r="E10" s="696">
        <f t="shared" si="0"/>
        <v>1.3171225937183451E-2</v>
      </c>
      <c r="F10" s="541"/>
      <c r="G10" s="541" t="s">
        <v>2715</v>
      </c>
      <c r="H10" s="541"/>
      <c r="I10" s="541"/>
      <c r="J10" s="2"/>
      <c r="K10" s="2"/>
      <c r="L10" s="2"/>
      <c r="M10" s="2"/>
      <c r="N10" s="2"/>
      <c r="O10" s="2"/>
      <c r="P10" s="2"/>
      <c r="Q10" s="2"/>
    </row>
    <row r="11" spans="1:17">
      <c r="A11" s="541"/>
      <c r="B11" s="541" t="s">
        <v>2383</v>
      </c>
      <c r="C11" s="696">
        <f>IFERROR('Partnership Analysis'!$C$28/'Partnership Analysis'!$C$47,0)</f>
        <v>0.99837391551943799</v>
      </c>
      <c r="D11" s="696">
        <f>IFERROR('100% Buyout Analysis'!$C$27/'100% Buyout Analysis'!$C$46,0)</f>
        <v>0.99837391551943799</v>
      </c>
      <c r="E11" s="696">
        <f t="shared" si="0"/>
        <v>0</v>
      </c>
      <c r="F11" s="541"/>
      <c r="G11" s="541" t="s">
        <v>2716</v>
      </c>
      <c r="H11" s="541"/>
      <c r="I11" s="541"/>
      <c r="J11" s="2"/>
      <c r="K11" s="2"/>
      <c r="L11" s="2"/>
      <c r="M11" s="2"/>
      <c r="N11" s="2"/>
      <c r="O11" s="2"/>
      <c r="P11" s="2"/>
      <c r="Q11" s="2"/>
    </row>
    <row r="12" spans="1:17">
      <c r="A12" s="541"/>
      <c r="B12" s="541" t="s">
        <v>2384</v>
      </c>
      <c r="C12" s="696">
        <f>IFERROR('Partnership Analysis'!$C$42/'Partnership Analysis'!$C$47,0)</f>
        <v>1.6639565258657301</v>
      </c>
      <c r="D12" s="696">
        <f>IFERROR('100% Buyout Analysis'!$C$41/'100% Buyout Analysis'!$C$46,0)</f>
        <v>1.6639565258657301</v>
      </c>
      <c r="E12" s="696">
        <f t="shared" si="0"/>
        <v>0</v>
      </c>
      <c r="F12" s="541"/>
      <c r="G12" s="541" t="s">
        <v>2717</v>
      </c>
      <c r="H12" s="541"/>
      <c r="I12" s="541"/>
      <c r="J12" s="2"/>
      <c r="K12" s="2"/>
      <c r="L12" s="2"/>
      <c r="M12" s="2"/>
      <c r="N12" s="2"/>
      <c r="O12" s="2"/>
      <c r="P12" s="2"/>
      <c r="Q12" s="2"/>
    </row>
    <row r="13" spans="1:17">
      <c r="A13" s="541"/>
      <c r="B13" s="541" t="s">
        <v>2348</v>
      </c>
      <c r="C13" s="720">
        <v>1</v>
      </c>
      <c r="D13" s="722">
        <f>C13</f>
        <v>1</v>
      </c>
      <c r="E13" s="697">
        <f t="shared" si="0"/>
        <v>0</v>
      </c>
      <c r="F13" s="541"/>
      <c r="G13" s="541" t="s">
        <v>2386</v>
      </c>
      <c r="H13" s="541"/>
      <c r="I13" s="541"/>
      <c r="J13" s="2"/>
      <c r="K13" s="2"/>
      <c r="L13" s="2"/>
      <c r="M13" s="2"/>
      <c r="N13" s="2"/>
      <c r="O13" s="2"/>
      <c r="P13" s="2"/>
      <c r="Q13" s="2"/>
    </row>
    <row r="14" spans="1:17">
      <c r="A14" s="541"/>
      <c r="B14" s="541" t="s">
        <v>2349</v>
      </c>
      <c r="C14" s="720">
        <v>1.25</v>
      </c>
      <c r="D14" s="722">
        <f>C14</f>
        <v>1.25</v>
      </c>
      <c r="E14" s="697">
        <f t="shared" si="0"/>
        <v>0</v>
      </c>
      <c r="F14" s="541"/>
      <c r="G14" s="541" t="s">
        <v>2386</v>
      </c>
      <c r="H14" s="541"/>
      <c r="I14" s="541"/>
      <c r="J14" s="2"/>
      <c r="K14" s="2"/>
      <c r="L14" s="2"/>
      <c r="M14" s="2"/>
      <c r="N14" s="2"/>
      <c r="O14" s="2"/>
      <c r="P14" s="2"/>
      <c r="Q14" s="2"/>
    </row>
    <row r="15" spans="1:17">
      <c r="A15" s="541"/>
      <c r="B15" s="541" t="s">
        <v>2350</v>
      </c>
      <c r="C15" s="720">
        <v>2</v>
      </c>
      <c r="D15" s="722">
        <f>C15</f>
        <v>2</v>
      </c>
      <c r="E15" s="697">
        <f t="shared" si="0"/>
        <v>0</v>
      </c>
      <c r="F15" s="541"/>
      <c r="G15" s="541" t="s">
        <v>2386</v>
      </c>
      <c r="H15" s="541"/>
      <c r="I15" s="541"/>
      <c r="J15" s="2"/>
      <c r="K15" s="2"/>
      <c r="L15" s="2"/>
      <c r="M15" s="2"/>
      <c r="N15" s="2"/>
      <c r="O15" s="2"/>
      <c r="P15" s="2"/>
      <c r="Q15" s="2"/>
    </row>
    <row r="16" spans="1:17">
      <c r="A16" s="541"/>
      <c r="B16" s="569" t="s">
        <v>2076</v>
      </c>
      <c r="C16" s="811"/>
      <c r="D16" s="811"/>
      <c r="E16" s="811"/>
      <c r="F16" s="541"/>
      <c r="G16" s="541"/>
    </row>
    <row r="17" spans="1:17">
      <c r="A17" s="541"/>
      <c r="B17" s="541" t="s">
        <v>2167</v>
      </c>
      <c r="C17" s="618">
        <v>0.3</v>
      </c>
      <c r="D17" s="618">
        <v>0</v>
      </c>
      <c r="E17" s="696">
        <f>C17-D17</f>
        <v>0.3</v>
      </c>
      <c r="F17" s="541"/>
      <c r="G17" s="541" t="s">
        <v>2618</v>
      </c>
    </row>
    <row r="18" spans="1:17">
      <c r="A18" s="541"/>
      <c r="B18" s="541" t="s">
        <v>2097</v>
      </c>
      <c r="C18" s="813">
        <v>261</v>
      </c>
      <c r="D18" s="86">
        <f>C18</f>
        <v>261</v>
      </c>
      <c r="E18" s="606">
        <f>C18-D18</f>
        <v>0</v>
      </c>
      <c r="F18" s="541"/>
      <c r="G18" s="541" t="s">
        <v>2718</v>
      </c>
    </row>
    <row r="19" spans="1:17">
      <c r="A19" s="541"/>
      <c r="B19" s="541" t="s">
        <v>2098</v>
      </c>
      <c r="C19" s="115">
        <v>325</v>
      </c>
      <c r="D19" s="83">
        <f>C19</f>
        <v>325</v>
      </c>
      <c r="E19" s="677">
        <f>C19-D19</f>
        <v>0</v>
      </c>
      <c r="F19" s="541"/>
      <c r="G19" s="541" t="s">
        <v>2719</v>
      </c>
    </row>
    <row r="20" spans="1:17">
      <c r="A20" s="541"/>
      <c r="B20" s="541" t="s">
        <v>2079</v>
      </c>
      <c r="C20" s="115">
        <v>65</v>
      </c>
      <c r="D20" s="83">
        <f>C20</f>
        <v>65</v>
      </c>
      <c r="E20" s="677">
        <f>C20-D20</f>
        <v>0</v>
      </c>
      <c r="F20" s="541"/>
      <c r="G20" s="541" t="s">
        <v>2720</v>
      </c>
    </row>
    <row r="21" spans="1:17">
      <c r="A21" s="541"/>
      <c r="B21" s="541" t="s">
        <v>2055</v>
      </c>
      <c r="C21" s="82">
        <v>650</v>
      </c>
      <c r="D21" s="53">
        <f>'100% Buyout Analysis'!$C$174</f>
        <v>500</v>
      </c>
      <c r="E21" s="677">
        <f>C21-D21</f>
        <v>150</v>
      </c>
      <c r="F21" s="541"/>
      <c r="G21" s="541" t="s">
        <v>2825</v>
      </c>
    </row>
    <row r="22" spans="1:17">
      <c r="A22" s="541"/>
      <c r="B22" s="569" t="s">
        <v>2081</v>
      </c>
      <c r="C22" s="811"/>
      <c r="D22" s="811"/>
      <c r="E22" s="811"/>
      <c r="F22" s="541"/>
      <c r="G22" s="541"/>
    </row>
    <row r="23" spans="1:17">
      <c r="A23" s="541"/>
      <c r="B23" s="541" t="s">
        <v>2073</v>
      </c>
      <c r="C23" s="581">
        <f>'Steady-State Staffing'!$AB$8</f>
        <v>16.631472994350275</v>
      </c>
      <c r="D23" s="584">
        <f>C23</f>
        <v>16.631472994350275</v>
      </c>
      <c r="E23" s="756">
        <f>C23-D23</f>
        <v>0</v>
      </c>
      <c r="F23" s="541"/>
      <c r="G23" s="541" t="s">
        <v>2721</v>
      </c>
    </row>
    <row r="24" spans="1:17">
      <c r="A24" s="541"/>
      <c r="B24" s="819" t="s">
        <v>2812</v>
      </c>
      <c r="C24" s="820"/>
      <c r="D24" s="821"/>
      <c r="E24" s="822"/>
      <c r="F24" s="541"/>
      <c r="G24" s="541"/>
    </row>
    <row r="25" spans="1:17">
      <c r="A25" s="541"/>
      <c r="B25" s="541" t="s">
        <v>2121</v>
      </c>
      <c r="C25" s="286">
        <v>3</v>
      </c>
      <c r="D25" s="812">
        <f>C25</f>
        <v>3</v>
      </c>
      <c r="E25" s="754">
        <f>C25-D25</f>
        <v>0</v>
      </c>
      <c r="F25" s="541"/>
      <c r="G25" s="541" t="s">
        <v>2722</v>
      </c>
    </row>
    <row r="26" spans="1:17">
      <c r="A26" s="541"/>
      <c r="B26" s="569" t="s">
        <v>2082</v>
      </c>
      <c r="C26" s="811"/>
      <c r="D26" s="811"/>
      <c r="E26" s="811"/>
      <c r="F26" s="541"/>
      <c r="G26" s="541"/>
    </row>
    <row r="27" spans="1:17">
      <c r="A27" s="541"/>
      <c r="B27" s="541" t="s">
        <v>2099</v>
      </c>
      <c r="C27" s="46">
        <v>240</v>
      </c>
      <c r="D27" s="86">
        <f>C27</f>
        <v>240</v>
      </c>
      <c r="E27" s="606">
        <f>C27-D27</f>
        <v>0</v>
      </c>
      <c r="F27" s="541"/>
      <c r="G27" s="541" t="s">
        <v>2723</v>
      </c>
    </row>
    <row r="28" spans="1:17">
      <c r="A28" s="541"/>
      <c r="B28" s="541" t="s">
        <v>2627</v>
      </c>
      <c r="C28" s="286">
        <v>0</v>
      </c>
      <c r="D28" s="812">
        <f>C28</f>
        <v>0</v>
      </c>
      <c r="E28" s="754">
        <f>C28-D28</f>
        <v>0</v>
      </c>
      <c r="F28" s="541"/>
      <c r="G28" s="541" t="s">
        <v>2724</v>
      </c>
    </row>
    <row r="29" spans="1:17">
      <c r="A29" s="541"/>
      <c r="B29" s="541" t="s">
        <v>2626</v>
      </c>
      <c r="C29" s="115">
        <v>24</v>
      </c>
      <c r="D29" s="83">
        <f>C29</f>
        <v>24</v>
      </c>
      <c r="E29" s="677">
        <f>C29-D29</f>
        <v>0</v>
      </c>
      <c r="F29" s="541"/>
      <c r="G29" s="541" t="s">
        <v>2725</v>
      </c>
    </row>
    <row r="30" spans="1:17" ht="3.95" customHeight="1">
      <c r="A30" s="541"/>
      <c r="B30" s="541"/>
      <c r="C30" s="571"/>
      <c r="D30" s="571"/>
      <c r="E30" s="571"/>
      <c r="F30" s="541"/>
      <c r="G30" s="541"/>
      <c r="H30" s="541"/>
      <c r="I30" s="541"/>
      <c r="J30" s="2"/>
      <c r="K30" s="2"/>
      <c r="L30" s="2"/>
      <c r="M30" s="2"/>
      <c r="N30" s="2"/>
      <c r="O30" s="2"/>
      <c r="P30" s="2"/>
      <c r="Q30" s="2"/>
    </row>
    <row r="31" spans="1:17">
      <c r="A31" s="541"/>
      <c r="B31" s="454" t="s">
        <v>2351</v>
      </c>
      <c r="C31" s="622" t="s">
        <v>2343</v>
      </c>
      <c r="D31" s="622" t="s">
        <v>2344</v>
      </c>
      <c r="E31" s="455" t="s">
        <v>1918</v>
      </c>
      <c r="F31" s="541"/>
      <c r="G31" s="541"/>
      <c r="H31" s="541"/>
      <c r="I31" s="541"/>
      <c r="J31" s="2"/>
      <c r="K31" s="2"/>
      <c r="L31" s="2"/>
      <c r="M31" s="2"/>
      <c r="N31" s="2"/>
      <c r="O31" s="2"/>
      <c r="P31" s="2"/>
      <c r="Q31" s="2"/>
    </row>
    <row r="32" spans="1:17">
      <c r="A32" s="541"/>
      <c r="B32" s="541" t="s">
        <v>2166</v>
      </c>
      <c r="C32" s="702">
        <f>'Partnership Analysis'!$C$185</f>
        <v>3000</v>
      </c>
      <c r="D32" s="702">
        <f>'100% Buyout Analysis'!$C$173</f>
        <v>3000</v>
      </c>
      <c r="E32" s="606">
        <f t="shared" ref="E32:E41" si="1">C32-D32</f>
        <v>0</v>
      </c>
      <c r="F32" s="541"/>
      <c r="G32" s="541"/>
      <c r="H32" s="541"/>
      <c r="I32" s="541"/>
      <c r="J32" s="2"/>
      <c r="K32" s="2"/>
      <c r="L32" s="2"/>
      <c r="M32" s="2"/>
      <c r="N32" s="2"/>
      <c r="O32" s="2"/>
      <c r="P32" s="2"/>
      <c r="Q32" s="2"/>
    </row>
    <row r="33" spans="1:17">
      <c r="A33" s="541"/>
      <c r="B33" s="541" t="s">
        <v>2167</v>
      </c>
      <c r="C33" s="547">
        <f>C17</f>
        <v>0.3</v>
      </c>
      <c r="D33" s="547">
        <f>D17</f>
        <v>0</v>
      </c>
      <c r="E33" s="696">
        <f t="shared" si="1"/>
        <v>0.3</v>
      </c>
      <c r="F33" s="541"/>
      <c r="G33" s="541" t="s">
        <v>2726</v>
      </c>
      <c r="H33" s="541"/>
      <c r="I33" s="541"/>
      <c r="J33" s="2"/>
      <c r="K33" s="2"/>
      <c r="L33" s="2"/>
      <c r="M33" s="2"/>
      <c r="N33" s="2"/>
      <c r="O33" s="2"/>
      <c r="P33" s="2"/>
      <c r="Q33" s="2"/>
    </row>
    <row r="34" spans="1:17">
      <c r="A34" s="541"/>
      <c r="B34" s="541" t="s">
        <v>2352</v>
      </c>
      <c r="C34" s="701">
        <f>'Partnership Analysis'!$C$187</f>
        <v>0.7</v>
      </c>
      <c r="D34" s="701">
        <f>'100% Buyout Analysis'!$C$96</f>
        <v>1</v>
      </c>
      <c r="E34" s="696">
        <f t="shared" si="1"/>
        <v>-0.30000000000000004</v>
      </c>
      <c r="F34" s="541"/>
      <c r="G34" s="541"/>
      <c r="H34" s="541"/>
      <c r="I34" s="541"/>
      <c r="J34" s="2"/>
      <c r="K34" s="2"/>
      <c r="L34" s="2"/>
      <c r="M34" s="2"/>
      <c r="N34" s="2"/>
      <c r="O34" s="2"/>
      <c r="P34" s="2"/>
      <c r="Q34" s="2"/>
    </row>
    <row r="35" spans="1:17">
      <c r="A35" s="541"/>
      <c r="B35" s="541" t="s">
        <v>2617</v>
      </c>
      <c r="C35" s="700">
        <f>'Partnership Analysis'!$C$188</f>
        <v>2100</v>
      </c>
      <c r="D35" s="700">
        <f>'100% Buyout Analysis'!$C$173</f>
        <v>3000</v>
      </c>
      <c r="E35" s="677">
        <f t="shared" si="1"/>
        <v>-900</v>
      </c>
      <c r="F35" s="541"/>
      <c r="G35" s="541"/>
      <c r="H35" s="541"/>
      <c r="I35" s="541"/>
      <c r="J35" s="2"/>
      <c r="K35" s="2"/>
      <c r="L35" s="2"/>
      <c r="M35" s="2"/>
      <c r="N35" s="2"/>
      <c r="O35" s="2"/>
      <c r="P35" s="2"/>
      <c r="Q35" s="2"/>
    </row>
    <row r="36" spans="1:17">
      <c r="A36" s="541"/>
      <c r="B36" s="810" t="s">
        <v>2055</v>
      </c>
      <c r="C36" s="702">
        <f>'Partnership Analysis'!$C$189</f>
        <v>650</v>
      </c>
      <c r="D36" s="702">
        <f>'100% Buyout Analysis'!$C$174</f>
        <v>500</v>
      </c>
      <c r="E36" s="606">
        <f t="shared" si="1"/>
        <v>150</v>
      </c>
      <c r="F36" s="541"/>
      <c r="G36" s="541" t="s">
        <v>2727</v>
      </c>
      <c r="H36" s="541"/>
      <c r="I36" s="541"/>
      <c r="J36" s="2"/>
      <c r="K36" s="2"/>
      <c r="L36" s="2"/>
      <c r="M36" s="2"/>
      <c r="N36" s="2"/>
      <c r="O36" s="2"/>
      <c r="P36" s="2"/>
      <c r="Q36" s="2"/>
    </row>
    <row r="37" spans="1:17">
      <c r="A37" s="541"/>
      <c r="B37" s="558" t="s">
        <v>2268</v>
      </c>
      <c r="C37" s="700">
        <f>'Partnership Analysis'!$C$190</f>
        <v>1450</v>
      </c>
      <c r="D37" s="700">
        <f>'100% Buyout Analysis'!$C$175</f>
        <v>2500</v>
      </c>
      <c r="E37" s="677">
        <f t="shared" si="1"/>
        <v>-1050</v>
      </c>
      <c r="F37" s="541"/>
      <c r="G37" s="541"/>
      <c r="H37" s="541"/>
      <c r="I37" s="541"/>
      <c r="J37" s="2"/>
      <c r="K37" s="2"/>
      <c r="L37" s="2"/>
      <c r="M37" s="2"/>
      <c r="N37" s="2"/>
      <c r="O37" s="2"/>
      <c r="P37" s="2"/>
      <c r="Q37" s="2"/>
    </row>
    <row r="38" spans="1:17">
      <c r="A38" s="541"/>
      <c r="B38" s="558" t="s">
        <v>2477</v>
      </c>
      <c r="C38" s="700">
        <f>'Partnership Analysis'!$C$58</f>
        <v>0</v>
      </c>
      <c r="D38" s="700">
        <f>'100% Buyout Analysis'!$C$57</f>
        <v>500</v>
      </c>
      <c r="E38" s="677">
        <f t="shared" si="1"/>
        <v>-500</v>
      </c>
      <c r="F38" s="541"/>
      <c r="G38" s="541" t="s">
        <v>2728</v>
      </c>
      <c r="H38" s="541"/>
      <c r="I38" s="541"/>
      <c r="J38" s="2"/>
      <c r="K38" s="2"/>
      <c r="L38" s="2"/>
      <c r="M38" s="2"/>
      <c r="N38" s="2"/>
      <c r="O38" s="2"/>
      <c r="P38" s="2"/>
      <c r="Q38" s="2"/>
    </row>
    <row r="39" spans="1:17">
      <c r="A39" s="541"/>
      <c r="B39" s="807" t="s">
        <v>2269</v>
      </c>
      <c r="C39" s="707">
        <f>SUM(C36:C38)</f>
        <v>2100</v>
      </c>
      <c r="D39" s="707">
        <f>SUM(D36:D38)</f>
        <v>3500</v>
      </c>
      <c r="E39" s="709">
        <f>C39-D39</f>
        <v>-1400</v>
      </c>
      <c r="F39" s="541"/>
      <c r="G39" s="541" t="s">
        <v>2729</v>
      </c>
      <c r="H39" s="541"/>
      <c r="I39" s="541"/>
      <c r="J39" s="2"/>
      <c r="K39" s="2"/>
      <c r="L39" s="2"/>
      <c r="M39" s="2"/>
      <c r="N39" s="2"/>
      <c r="O39" s="2"/>
      <c r="P39" s="2"/>
      <c r="Q39" s="2"/>
    </row>
    <row r="40" spans="1:17">
      <c r="A40" s="541"/>
      <c r="B40" s="541" t="s">
        <v>2616</v>
      </c>
      <c r="C40" s="677">
        <f>C39-'Partnership Analysis'!$C$106</f>
        <v>0</v>
      </c>
      <c r="D40" s="677">
        <f>D39-'100% Buyout Analysis'!$C$95</f>
        <v>0</v>
      </c>
      <c r="E40" s="606"/>
      <c r="F40" s="541"/>
      <c r="G40" s="541" t="s">
        <v>2107</v>
      </c>
      <c r="H40" s="541"/>
      <c r="I40" s="541"/>
      <c r="J40" s="2"/>
      <c r="K40" s="2"/>
      <c r="L40" s="2"/>
      <c r="M40" s="2"/>
      <c r="N40" s="2"/>
      <c r="O40" s="2"/>
      <c r="P40" s="2"/>
      <c r="Q40" s="2"/>
    </row>
    <row r="41" spans="1:17">
      <c r="A41" s="541"/>
      <c r="B41" s="541" t="s">
        <v>2353</v>
      </c>
      <c r="C41" s="696">
        <f>IFERROR((C36+C38)/C39,0)</f>
        <v>0.30952380952380953</v>
      </c>
      <c r="D41" s="696">
        <f>IFERROR((D36+D38)/D39,0)</f>
        <v>0.2857142857142857</v>
      </c>
      <c r="E41" s="696">
        <f t="shared" si="1"/>
        <v>2.3809523809523836E-2</v>
      </c>
      <c r="F41" s="541"/>
      <c r="G41" s="541"/>
      <c r="H41" s="541"/>
      <c r="I41" s="541"/>
      <c r="J41" s="2"/>
      <c r="K41" s="2"/>
      <c r="L41" s="2"/>
      <c r="M41" s="2"/>
      <c r="N41" s="2"/>
      <c r="O41" s="2"/>
      <c r="P41" s="2"/>
      <c r="Q41" s="2"/>
    </row>
    <row r="42" spans="1:17" ht="3.95" customHeight="1">
      <c r="A42" s="541"/>
      <c r="B42" s="541"/>
      <c r="C42" s="571"/>
      <c r="D42" s="571"/>
      <c r="E42" s="571"/>
      <c r="F42" s="541"/>
      <c r="G42" s="541"/>
      <c r="H42" s="541"/>
      <c r="I42" s="541"/>
      <c r="J42" s="2"/>
      <c r="K42" s="2"/>
      <c r="L42" s="2"/>
      <c r="M42" s="2"/>
      <c r="N42" s="2"/>
      <c r="O42" s="2"/>
      <c r="P42" s="2"/>
      <c r="Q42" s="2"/>
    </row>
    <row r="43" spans="1:17">
      <c r="A43" s="541"/>
      <c r="B43" s="454" t="s">
        <v>2161</v>
      </c>
      <c r="C43" s="622" t="s">
        <v>2343</v>
      </c>
      <c r="D43" s="622" t="s">
        <v>2344</v>
      </c>
      <c r="E43" s="455" t="s">
        <v>1918</v>
      </c>
      <c r="F43" s="541"/>
      <c r="G43" s="541"/>
      <c r="H43" s="541"/>
      <c r="I43" s="541"/>
      <c r="J43" s="2"/>
      <c r="K43" s="2"/>
      <c r="L43" s="2"/>
      <c r="M43" s="2"/>
      <c r="N43" s="2"/>
      <c r="O43" s="2"/>
      <c r="P43" s="2"/>
      <c r="Q43" s="2"/>
    </row>
    <row r="44" spans="1:17" ht="3.95" customHeight="1">
      <c r="A44" s="541"/>
      <c r="B44" s="539"/>
      <c r="C44" s="571"/>
      <c r="D44" s="571"/>
      <c r="E44" s="571"/>
      <c r="F44" s="541"/>
      <c r="G44" s="541"/>
      <c r="H44" s="541"/>
      <c r="I44" s="541"/>
      <c r="J44" s="2"/>
      <c r="K44" s="2"/>
      <c r="L44" s="2"/>
      <c r="M44" s="2"/>
      <c r="N44" s="2"/>
      <c r="O44" s="2"/>
      <c r="P44" s="2"/>
      <c r="Q44" s="2"/>
    </row>
    <row r="45" spans="1:17">
      <c r="A45" s="541"/>
      <c r="B45" s="727" t="s">
        <v>2377</v>
      </c>
      <c r="C45" s="728">
        <f t="shared" ref="C45:D49" si="2">IFERROR(C108/C$113,0)</f>
        <v>0.5704237250605545</v>
      </c>
      <c r="D45" s="728">
        <f t="shared" si="2"/>
        <v>0</v>
      </c>
      <c r="E45" s="729">
        <f>C45-D45</f>
        <v>0.5704237250605545</v>
      </c>
      <c r="F45" s="541"/>
      <c r="G45" s="541"/>
      <c r="H45" s="541"/>
      <c r="I45" s="541"/>
      <c r="J45" s="2"/>
      <c r="K45" s="2"/>
      <c r="L45" s="2"/>
      <c r="M45" s="2"/>
      <c r="N45" s="2"/>
      <c r="O45" s="2"/>
      <c r="P45" s="2"/>
      <c r="Q45" s="2"/>
    </row>
    <row r="46" spans="1:17">
      <c r="A46" s="541"/>
      <c r="B46" s="730" t="s">
        <v>2398</v>
      </c>
      <c r="C46" s="731">
        <f t="shared" si="2"/>
        <v>3.5635314343352098E-2</v>
      </c>
      <c r="D46" s="731">
        <f t="shared" si="2"/>
        <v>0.11654378906429694</v>
      </c>
      <c r="E46" s="732">
        <f>C46-D46</f>
        <v>-8.090847472094484E-2</v>
      </c>
      <c r="F46" s="541"/>
      <c r="G46" s="541"/>
      <c r="H46" s="541"/>
      <c r="I46" s="541"/>
      <c r="J46" s="2"/>
      <c r="K46" s="2"/>
      <c r="L46" s="2"/>
      <c r="M46" s="2"/>
      <c r="N46" s="2"/>
      <c r="O46" s="2"/>
      <c r="P46" s="2"/>
      <c r="Q46" s="2"/>
    </row>
    <row r="47" spans="1:17">
      <c r="A47" s="541"/>
      <c r="B47" s="730" t="s">
        <v>2399</v>
      </c>
      <c r="C47" s="731">
        <f t="shared" si="2"/>
        <v>0.31657987434913032</v>
      </c>
      <c r="D47" s="731">
        <f t="shared" si="2"/>
        <v>0.72219953618863852</v>
      </c>
      <c r="E47" s="732">
        <f>C47-D47</f>
        <v>-0.40561966183950821</v>
      </c>
      <c r="F47" s="541"/>
      <c r="G47" s="541"/>
      <c r="H47" s="541"/>
      <c r="I47" s="541"/>
      <c r="J47" s="2"/>
      <c r="K47" s="2"/>
      <c r="L47" s="2"/>
      <c r="M47" s="2"/>
      <c r="N47" s="2"/>
      <c r="O47" s="2"/>
      <c r="P47" s="2"/>
      <c r="Q47" s="2"/>
    </row>
    <row r="48" spans="1:17">
      <c r="A48" s="541"/>
      <c r="B48" s="730" t="s">
        <v>2055</v>
      </c>
      <c r="C48" s="731">
        <f t="shared" si="2"/>
        <v>7.7361086246963098E-2</v>
      </c>
      <c r="D48" s="731">
        <f t="shared" si="2"/>
        <v>8.0628337373532241E-2</v>
      </c>
      <c r="E48" s="732">
        <f>C48-D48</f>
        <v>-3.2672511265691428E-3</v>
      </c>
      <c r="F48" s="541"/>
      <c r="G48" s="541"/>
      <c r="H48" s="541"/>
      <c r="I48" s="541"/>
      <c r="J48" s="2"/>
      <c r="K48" s="2"/>
      <c r="L48" s="2"/>
      <c r="M48" s="2"/>
      <c r="N48" s="2"/>
      <c r="O48" s="2"/>
      <c r="P48" s="2"/>
      <c r="Q48" s="2"/>
    </row>
    <row r="49" spans="1:17">
      <c r="A49" s="541"/>
      <c r="B49" s="733" t="s">
        <v>2400</v>
      </c>
      <c r="C49" s="734">
        <f t="shared" si="2"/>
        <v>0</v>
      </c>
      <c r="D49" s="734">
        <f t="shared" si="2"/>
        <v>8.0628337373532241E-2</v>
      </c>
      <c r="E49" s="735">
        <f>C49-D49</f>
        <v>-8.0628337373532241E-2</v>
      </c>
      <c r="F49" s="541"/>
      <c r="G49" s="541"/>
      <c r="H49" s="541"/>
      <c r="I49" s="541"/>
      <c r="J49" s="2"/>
      <c r="K49" s="2"/>
      <c r="L49" s="2"/>
      <c r="M49" s="2"/>
      <c r="N49" s="2"/>
      <c r="O49" s="2"/>
      <c r="P49" s="2"/>
      <c r="Q49" s="2"/>
    </row>
    <row r="50" spans="1:17" ht="3.95" customHeight="1">
      <c r="A50" s="541"/>
      <c r="B50" s="541"/>
      <c r="C50" s="571"/>
      <c r="D50" s="571"/>
      <c r="E50" s="571"/>
      <c r="F50" s="541"/>
      <c r="G50" s="541"/>
      <c r="H50" s="541"/>
      <c r="I50" s="541"/>
      <c r="J50" s="2"/>
      <c r="K50" s="2"/>
      <c r="L50" s="2"/>
      <c r="M50" s="2"/>
      <c r="N50" s="2"/>
      <c r="O50" s="2"/>
      <c r="P50" s="2"/>
      <c r="Q50" s="2"/>
    </row>
    <row r="51" spans="1:17">
      <c r="A51" s="541"/>
      <c r="B51" s="454" t="s">
        <v>2359</v>
      </c>
      <c r="C51" s="622" t="s">
        <v>2343</v>
      </c>
      <c r="D51" s="622" t="s">
        <v>2344</v>
      </c>
      <c r="E51" s="455" t="s">
        <v>1918</v>
      </c>
      <c r="F51" s="541"/>
      <c r="G51" s="541"/>
      <c r="H51" s="541"/>
      <c r="I51" s="541"/>
      <c r="J51" s="2"/>
      <c r="K51" s="746" t="s">
        <v>2418</v>
      </c>
      <c r="L51" s="746">
        <v>0</v>
      </c>
      <c r="M51" s="746">
        <v>1</v>
      </c>
      <c r="N51" s="746">
        <v>2</v>
      </c>
      <c r="O51" s="746">
        <v>3</v>
      </c>
      <c r="P51" s="746">
        <v>4</v>
      </c>
      <c r="Q51" s="746">
        <v>5</v>
      </c>
    </row>
    <row r="52" spans="1:17" ht="15" customHeight="1">
      <c r="A52" s="541"/>
      <c r="B52" s="681" t="s">
        <v>2401</v>
      </c>
      <c r="C52" s="544">
        <f t="shared" ref="C52:D54" si="3">C36</f>
        <v>650</v>
      </c>
      <c r="D52" s="544">
        <f t="shared" si="3"/>
        <v>500</v>
      </c>
      <c r="E52" s="736">
        <f t="shared" ref="E52:E67" si="4">C52-D52</f>
        <v>150</v>
      </c>
      <c r="F52" s="681"/>
      <c r="G52" s="681"/>
      <c r="H52" s="541"/>
      <c r="I52" s="541"/>
      <c r="J52" s="2"/>
      <c r="K52" s="746" t="s">
        <v>2419</v>
      </c>
      <c r="L52" s="367">
        <f t="shared" ref="L52:Q52" si="5">-(L$51=0)*($C$36+$C$37)-(L$51=$L$54)*$C$38+(L$51=$C$7)*$C$56</f>
        <v>-2100</v>
      </c>
      <c r="M52" s="367">
        <f t="shared" si="5"/>
        <v>0</v>
      </c>
      <c r="N52" s="367">
        <f t="shared" si="5"/>
        <v>0</v>
      </c>
      <c r="O52" s="367">
        <f t="shared" si="5"/>
        <v>0</v>
      </c>
      <c r="P52" s="367">
        <f t="shared" si="5"/>
        <v>0</v>
      </c>
      <c r="Q52" s="367">
        <f t="shared" si="5"/>
        <v>11183.176085627114</v>
      </c>
    </row>
    <row r="53" spans="1:17" ht="15" customHeight="1">
      <c r="A53" s="541"/>
      <c r="B53" s="719" t="s">
        <v>2402</v>
      </c>
      <c r="C53" s="545">
        <f t="shared" si="3"/>
        <v>1450</v>
      </c>
      <c r="D53" s="545">
        <f t="shared" si="3"/>
        <v>2500</v>
      </c>
      <c r="E53" s="737">
        <f t="shared" si="4"/>
        <v>-1050</v>
      </c>
      <c r="F53" s="681"/>
      <c r="G53" s="681"/>
      <c r="H53" s="541"/>
      <c r="I53" s="541"/>
      <c r="J53" s="2"/>
      <c r="K53" s="746" t="s">
        <v>2420</v>
      </c>
      <c r="L53" s="367">
        <f t="shared" ref="L53:Q53" si="6">-(L$51=0)*($D$36+$D$37)-(L$51=$L$54)*$D$38+(L$51=$D$7)*$D$56</f>
        <v>-3000</v>
      </c>
      <c r="M53" s="367">
        <f t="shared" si="6"/>
        <v>0</v>
      </c>
      <c r="N53" s="367">
        <f t="shared" si="6"/>
        <v>0</v>
      </c>
      <c r="O53" s="367">
        <f t="shared" si="6"/>
        <v>-500</v>
      </c>
      <c r="P53" s="367">
        <f t="shared" si="6"/>
        <v>0</v>
      </c>
      <c r="Q53" s="367">
        <f t="shared" si="6"/>
        <v>15975.965836610165</v>
      </c>
    </row>
    <row r="54" spans="1:17" ht="15" customHeight="1">
      <c r="A54" s="541"/>
      <c r="B54" s="719" t="s">
        <v>2478</v>
      </c>
      <c r="C54" s="545">
        <f t="shared" si="3"/>
        <v>0</v>
      </c>
      <c r="D54" s="545">
        <f t="shared" si="3"/>
        <v>500</v>
      </c>
      <c r="E54" s="737">
        <f t="shared" si="4"/>
        <v>-500</v>
      </c>
      <c r="F54" s="681"/>
      <c r="G54" s="681"/>
      <c r="H54" s="541"/>
      <c r="I54" s="541"/>
      <c r="J54" s="2"/>
      <c r="K54" s="746" t="s">
        <v>2421</v>
      </c>
      <c r="L54" s="763">
        <f>'100% Buyout Analysis'!$C$45</f>
        <v>3</v>
      </c>
      <c r="M54" s="746" t="s">
        <v>2480</v>
      </c>
      <c r="N54" s="746"/>
      <c r="O54" s="746"/>
      <c r="P54" s="746"/>
      <c r="Q54" s="746"/>
    </row>
    <row r="55" spans="1:17" ht="15" customHeight="1">
      <c r="A55" s="541"/>
      <c r="B55" s="689" t="s">
        <v>2403</v>
      </c>
      <c r="C55" s="711">
        <f>SUM(C52:C54)</f>
        <v>2100</v>
      </c>
      <c r="D55" s="711">
        <f>SUM(D52:D54)</f>
        <v>3500</v>
      </c>
      <c r="E55" s="738">
        <f t="shared" si="4"/>
        <v>-1400</v>
      </c>
      <c r="F55" s="681"/>
      <c r="G55" s="681" t="s">
        <v>2619</v>
      </c>
      <c r="H55" s="541"/>
      <c r="I55" s="541"/>
      <c r="J55" s="2"/>
      <c r="K55" s="746" t="s">
        <v>2794</v>
      </c>
      <c r="L55" s="367">
        <f>-(L$51=0)*($C$36+$C$37)+(L$51=$C$7)*$C$133</f>
        <v>-2100</v>
      </c>
      <c r="M55" s="367">
        <f t="shared" ref="M55:Q55" si="7">-(M$51=0)*($C$36+$C$37)+(M$51=$C$7)*$C$133</f>
        <v>0</v>
      </c>
      <c r="N55" s="367">
        <f t="shared" si="7"/>
        <v>0</v>
      </c>
      <c r="O55" s="367">
        <f t="shared" si="7"/>
        <v>0</v>
      </c>
      <c r="P55" s="367">
        <f t="shared" si="7"/>
        <v>0</v>
      </c>
      <c r="Q55" s="367">
        <f t="shared" si="7"/>
        <v>3550</v>
      </c>
    </row>
    <row r="56" spans="1:17" ht="15" customHeight="1">
      <c r="A56" s="541"/>
      <c r="B56" s="681" t="s">
        <v>2404</v>
      </c>
      <c r="C56" s="700">
        <f>'Partnership Analysis'!$D$82</f>
        <v>11183.176085627114</v>
      </c>
      <c r="D56" s="700">
        <f>'100% Buyout Analysis'!$D$76</f>
        <v>15975.965836610165</v>
      </c>
      <c r="E56" s="737">
        <f t="shared" si="4"/>
        <v>-4792.7897509830509</v>
      </c>
      <c r="F56" s="681"/>
      <c r="G56" s="681" t="s">
        <v>2730</v>
      </c>
      <c r="H56" s="541"/>
      <c r="I56" s="541"/>
      <c r="J56" s="2"/>
      <c r="K56" s="746" t="s">
        <v>2795</v>
      </c>
      <c r="L56" s="367">
        <f>-(L$51=0)*($D$36+$D$37)+(L$51=$D$7)*$D$133</f>
        <v>-3000</v>
      </c>
      <c r="M56" s="367">
        <f t="shared" ref="M56:Q56" si="8">-(M$51=0)*($D$36+$D$37)+(M$51=$D$7)*$D$133</f>
        <v>0</v>
      </c>
      <c r="N56" s="367">
        <f t="shared" si="8"/>
        <v>0</v>
      </c>
      <c r="O56" s="367">
        <f t="shared" si="8"/>
        <v>0</v>
      </c>
      <c r="P56" s="367">
        <f t="shared" si="8"/>
        <v>0</v>
      </c>
      <c r="Q56" s="367">
        <f t="shared" si="8"/>
        <v>5500</v>
      </c>
    </row>
    <row r="57" spans="1:17" ht="15" customHeight="1">
      <c r="A57" s="541"/>
      <c r="B57" s="741" t="s">
        <v>2405</v>
      </c>
      <c r="C57" s="740">
        <f>IFERROR(C56/C55,0)</f>
        <v>5.3253219455367207</v>
      </c>
      <c r="D57" s="740">
        <f>IFERROR(D56/D55,0)</f>
        <v>4.5645616676029039</v>
      </c>
      <c r="E57" s="742">
        <f t="shared" si="4"/>
        <v>0.76076027793381673</v>
      </c>
      <c r="F57" s="681"/>
      <c r="G57" s="681" t="s">
        <v>2406</v>
      </c>
      <c r="H57" s="541"/>
      <c r="I57" s="541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1"/>
      <c r="B58" s="744" t="s">
        <v>2407</v>
      </c>
      <c r="C58" s="715">
        <f>IFERROR(IRR($L52:$Q52),0)</f>
        <v>0.39723409189212466</v>
      </c>
      <c r="D58" s="715">
        <f>IFERROR(IRR($L53:$Q53),0)</f>
        <v>0.38016247067825559</v>
      </c>
      <c r="E58" s="745">
        <f t="shared" si="4"/>
        <v>1.707162121386907E-2</v>
      </c>
      <c r="F58" s="681"/>
      <c r="G58" s="681" t="s">
        <v>2620</v>
      </c>
      <c r="H58" s="541"/>
      <c r="I58" s="541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1"/>
      <c r="B59" s="558" t="s">
        <v>2470</v>
      </c>
      <c r="C59" s="697">
        <f>IFERROR(C133/(C52+C53),0)</f>
        <v>1.6904761904761905</v>
      </c>
      <c r="D59" s="697">
        <f>IFERROR(D133/(D52+D53),0)</f>
        <v>1.8333333333333333</v>
      </c>
      <c r="E59" s="697">
        <f t="shared" si="4"/>
        <v>-0.14285714285714279</v>
      </c>
      <c r="F59" s="541"/>
      <c r="G59" s="541" t="s">
        <v>2621</v>
      </c>
      <c r="H59" s="541"/>
      <c r="I59" s="541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1"/>
      <c r="B60" s="558" t="s">
        <v>2471</v>
      </c>
      <c r="C60" s="698">
        <f>IFERROR(IRR($L55:$Q55),0)</f>
        <v>0.11071288926028511</v>
      </c>
      <c r="D60" s="698">
        <f>IFERROR(IRR($L56:$Q56),0)</f>
        <v>0.12888132073019753</v>
      </c>
      <c r="E60" s="698">
        <f t="shared" si="4"/>
        <v>-1.8168431469912427E-2</v>
      </c>
      <c r="F60" s="541"/>
      <c r="G60" s="541" t="s">
        <v>2796</v>
      </c>
      <c r="H60" s="541"/>
      <c r="I60" s="541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1"/>
      <c r="B61" s="576" t="s">
        <v>2472</v>
      </c>
      <c r="C61" s="739">
        <f>C57-C59</f>
        <v>3.63484575506053</v>
      </c>
      <c r="D61" s="739">
        <f>D57-D59</f>
        <v>2.7312283342695709</v>
      </c>
      <c r="E61" s="758">
        <f t="shared" si="4"/>
        <v>0.90361742079095908</v>
      </c>
      <c r="F61" s="541"/>
      <c r="G61" s="541" t="s">
        <v>2473</v>
      </c>
      <c r="H61" s="541"/>
      <c r="I61" s="541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1"/>
      <c r="B62" s="759" t="s">
        <v>2474</v>
      </c>
      <c r="C62" s="743">
        <f>C58-C60</f>
        <v>0.28652120263183956</v>
      </c>
      <c r="D62" s="743">
        <f>D58-D60</f>
        <v>0.25128114994805806</v>
      </c>
      <c r="E62" s="760">
        <f t="shared" si="4"/>
        <v>3.5240052683781498E-2</v>
      </c>
      <c r="F62" s="541"/>
      <c r="G62" s="541" t="s">
        <v>2475</v>
      </c>
      <c r="H62" s="541"/>
      <c r="I62" s="541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1"/>
      <c r="B63" s="681" t="s">
        <v>2408</v>
      </c>
      <c r="C63" s="677">
        <f>C$152*('Partnership Analysis'!$D$81+'Partnership Analysis'!$D$82)</f>
        <v>102047.14993328061</v>
      </c>
      <c r="D63" s="677">
        <f>D$152*('100% Buyout Analysis'!$D$75+'100% Buyout Analysis'!$D$76)</f>
        <v>104025.87385217109</v>
      </c>
      <c r="E63" s="737">
        <f t="shared" si="4"/>
        <v>-1978.7239188904787</v>
      </c>
      <c r="F63" s="681"/>
      <c r="G63" s="681" t="s">
        <v>2409</v>
      </c>
      <c r="H63" s="541"/>
      <c r="I63" s="541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1"/>
      <c r="B64" s="719" t="s">
        <v>2410</v>
      </c>
      <c r="C64" s="677">
        <f>(1-C$8)*('Partnership Analysis'!$D$81+C36+C38)</f>
        <v>95000</v>
      </c>
      <c r="D64" s="677">
        <f>(1-D$8)*('100% Buyout Analysis'!$D$75+D36+D38)</f>
        <v>95000</v>
      </c>
      <c r="E64" s="737">
        <f t="shared" si="4"/>
        <v>0</v>
      </c>
      <c r="F64" s="681"/>
      <c r="G64" s="681" t="s">
        <v>2411</v>
      </c>
      <c r="H64" s="541"/>
      <c r="I64" s="541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1"/>
      <c r="B65" s="104" t="s">
        <v>2412</v>
      </c>
      <c r="C65" s="705">
        <f>C63-C64</f>
        <v>7047.1499332806125</v>
      </c>
      <c r="D65" s="705">
        <f>D63-D64</f>
        <v>9025.8738521710911</v>
      </c>
      <c r="E65" s="753">
        <f t="shared" si="4"/>
        <v>-1978.7239188904787</v>
      </c>
      <c r="F65" s="681"/>
      <c r="G65" s="681" t="s">
        <v>2413</v>
      </c>
      <c r="H65" s="541"/>
      <c r="I65" s="541"/>
      <c r="J65" s="2"/>
      <c r="K65" s="2"/>
      <c r="L65" s="2"/>
      <c r="M65" s="2"/>
      <c r="N65" s="2"/>
      <c r="O65" s="2"/>
      <c r="P65" s="2"/>
      <c r="Q65" s="2"/>
    </row>
    <row r="66" spans="1:17" ht="15" customHeight="1">
      <c r="A66" s="541"/>
      <c r="B66" s="750" t="s">
        <v>2414</v>
      </c>
      <c r="C66" s="749">
        <f>IFERROR((C55+C65)/C55,0)</f>
        <v>4.3557856825145773</v>
      </c>
      <c r="D66" s="749">
        <f>IFERROR((D55+D65)/D55,0)</f>
        <v>3.5788211006203117</v>
      </c>
      <c r="E66" s="751">
        <f t="shared" si="4"/>
        <v>0.77696458189426565</v>
      </c>
      <c r="F66" s="681"/>
      <c r="G66" s="681" t="s">
        <v>2415</v>
      </c>
      <c r="H66" s="541"/>
      <c r="I66" s="541"/>
      <c r="J66" s="2"/>
      <c r="K66" s="2"/>
      <c r="L66" s="2"/>
      <c r="M66" s="2"/>
      <c r="N66" s="2"/>
      <c r="O66" s="2"/>
      <c r="P66" s="2"/>
      <c r="Q66" s="2"/>
    </row>
    <row r="67" spans="1:17" ht="15" customHeight="1">
      <c r="A67" s="541"/>
      <c r="B67" s="107" t="s">
        <v>2416</v>
      </c>
      <c r="C67" s="743">
        <f>IFERROR(C66^(1/C$7)-1,0)</f>
        <v>0.34218784230697441</v>
      </c>
      <c r="D67" s="743">
        <f>IFERROR(D66^(1/D$7)-1,0)</f>
        <v>0.29047025271650151</v>
      </c>
      <c r="E67" s="752">
        <f t="shared" si="4"/>
        <v>5.1717589590472901E-2</v>
      </c>
      <c r="F67" s="681"/>
      <c r="G67" s="681" t="s">
        <v>2417</v>
      </c>
      <c r="H67" s="541"/>
      <c r="I67" s="541"/>
      <c r="J67" s="2"/>
      <c r="K67" s="2"/>
      <c r="L67" s="2"/>
      <c r="M67" s="2"/>
      <c r="N67" s="2"/>
      <c r="O67" s="2"/>
      <c r="P67" s="2"/>
      <c r="Q67" s="2"/>
    </row>
    <row r="68" spans="1:17" ht="3.95" customHeight="1">
      <c r="A68" s="541"/>
      <c r="B68" s="541"/>
      <c r="C68" s="571"/>
      <c r="D68" s="571"/>
      <c r="E68" s="571"/>
      <c r="F68" s="541"/>
      <c r="G68" s="541"/>
      <c r="H68" s="541"/>
      <c r="I68" s="541"/>
      <c r="J68" s="2"/>
      <c r="K68" s="2"/>
      <c r="L68" s="2"/>
      <c r="M68" s="2"/>
      <c r="N68" s="2"/>
      <c r="O68" s="2"/>
      <c r="P68" s="2"/>
      <c r="Q68" s="2"/>
    </row>
    <row r="69" spans="1:17" ht="15" customHeight="1">
      <c r="A69" s="541"/>
      <c r="B69" s="370" t="s">
        <v>2607</v>
      </c>
      <c r="C69" s="617"/>
      <c r="D69" s="617"/>
      <c r="E69" s="534"/>
      <c r="F69" s="541"/>
      <c r="G69" s="541"/>
      <c r="H69" s="541"/>
      <c r="I69" s="541"/>
      <c r="J69" s="2"/>
      <c r="K69" s="2"/>
      <c r="L69" s="2"/>
      <c r="M69" s="2"/>
      <c r="N69" s="2"/>
      <c r="O69" s="2"/>
      <c r="P69" s="2"/>
      <c r="Q69" s="2"/>
    </row>
    <row r="70" spans="1:17" ht="26.25" customHeight="1">
      <c r="A70" s="541"/>
      <c r="B70" s="805"/>
      <c r="C70" s="806" t="s">
        <v>2456</v>
      </c>
      <c r="D70" s="806" t="s">
        <v>2457</v>
      </c>
      <c r="E70" s="806" t="s">
        <v>2464</v>
      </c>
      <c r="F70" s="541"/>
      <c r="G70" s="541" t="s">
        <v>2467</v>
      </c>
      <c r="H70" s="541"/>
      <c r="I70" s="541"/>
      <c r="J70" s="2"/>
      <c r="K70" s="2"/>
      <c r="L70" s="2"/>
      <c r="M70" s="2"/>
      <c r="N70" s="2"/>
      <c r="O70" s="2"/>
      <c r="P70" s="2"/>
      <c r="Q70" s="2"/>
    </row>
    <row r="71" spans="1:17" ht="15" customHeight="1">
      <c r="A71" s="541"/>
      <c r="B71" s="541" t="s">
        <v>2352</v>
      </c>
      <c r="C71" s="547">
        <f>C34</f>
        <v>0.7</v>
      </c>
      <c r="D71" s="547">
        <f>D34</f>
        <v>1</v>
      </c>
      <c r="E71" s="696">
        <f>D71-C71</f>
        <v>0.30000000000000004</v>
      </c>
      <c r="F71" s="541"/>
      <c r="G71" s="541"/>
      <c r="H71" s="541"/>
      <c r="I71" s="541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1"/>
      <c r="B72" s="704" t="s">
        <v>2403</v>
      </c>
      <c r="C72" s="747">
        <f>C55</f>
        <v>2100</v>
      </c>
      <c r="D72" s="747">
        <f>D55</f>
        <v>3500</v>
      </c>
      <c r="E72" s="711">
        <f>D72-C72</f>
        <v>1400</v>
      </c>
      <c r="F72" s="541"/>
      <c r="G72" s="541" t="s">
        <v>2465</v>
      </c>
      <c r="H72" s="541"/>
      <c r="I72" s="541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1"/>
      <c r="B73" s="541" t="s">
        <v>2458</v>
      </c>
      <c r="C73" s="756">
        <f>IFERROR(C72/(C71*100),0)</f>
        <v>30</v>
      </c>
      <c r="D73" s="756">
        <f>IFERROR(D72/(D71*100),0)</f>
        <v>35</v>
      </c>
      <c r="E73" s="756">
        <f>IFERROR(E72/(E71*100),0)</f>
        <v>46.666666666666664</v>
      </c>
      <c r="F73" s="541"/>
      <c r="G73" s="541" t="s">
        <v>2459</v>
      </c>
      <c r="H73" s="541"/>
      <c r="I73" s="541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1"/>
      <c r="B74" s="541" t="s">
        <v>2460</v>
      </c>
      <c r="C74" s="696">
        <f>IFERROR(C53/C72,0)</f>
        <v>0.69047619047619047</v>
      </c>
      <c r="D74" s="696">
        <f>IFERROR(D53/D72,0)</f>
        <v>0.7142857142857143</v>
      </c>
      <c r="E74" s="696">
        <f>IFERROR((D53-C53)/E72,0)</f>
        <v>0.75</v>
      </c>
      <c r="F74" s="541"/>
      <c r="G74" s="541" t="s">
        <v>2461</v>
      </c>
      <c r="H74" s="541"/>
      <c r="I74" s="541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1"/>
      <c r="B75" s="541" t="s">
        <v>2462</v>
      </c>
      <c r="C75" s="545">
        <f>C56</f>
        <v>11183.176085627114</v>
      </c>
      <c r="D75" s="545">
        <f>D56</f>
        <v>15975.965836610165</v>
      </c>
      <c r="E75" s="677">
        <f>D75-C75</f>
        <v>4792.7897509830509</v>
      </c>
      <c r="F75" s="541"/>
      <c r="G75" s="541"/>
      <c r="H75" s="541"/>
      <c r="I75" s="541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1"/>
      <c r="B76" s="541" t="s">
        <v>2405</v>
      </c>
      <c r="C76" s="697">
        <f>IFERROR(C75/C72,0)</f>
        <v>5.3253219455367207</v>
      </c>
      <c r="D76" s="697">
        <f>IFERROR(D75/D72,0)</f>
        <v>4.5645616676029039</v>
      </c>
      <c r="E76" s="697">
        <f>IFERROR(E75/E72,0)</f>
        <v>3.4234212507021793</v>
      </c>
      <c r="F76" s="541"/>
      <c r="G76" s="541" t="s">
        <v>2463</v>
      </c>
      <c r="H76" s="541"/>
      <c r="I76" s="541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1"/>
      <c r="B77" s="541" t="s">
        <v>2476</v>
      </c>
      <c r="C77" s="722">
        <f>C59</f>
        <v>1.6904761904761905</v>
      </c>
      <c r="D77" s="722">
        <f>D59</f>
        <v>1.8333333333333333</v>
      </c>
      <c r="E77" s="697" t="s">
        <v>2375</v>
      </c>
      <c r="F77" s="541"/>
      <c r="G77" s="541" t="s">
        <v>2622</v>
      </c>
      <c r="H77" s="541"/>
      <c r="I77" s="541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1"/>
      <c r="B78" s="704" t="s">
        <v>2412</v>
      </c>
      <c r="C78" s="747">
        <f>C65</f>
        <v>7047.1499332806125</v>
      </c>
      <c r="D78" s="747">
        <f>D65</f>
        <v>9025.8738521710911</v>
      </c>
      <c r="E78" s="711">
        <f>D78-C78</f>
        <v>1978.7239188904787</v>
      </c>
      <c r="F78" s="541"/>
      <c r="G78" s="541" t="s">
        <v>2466</v>
      </c>
      <c r="H78" s="541"/>
      <c r="I78" s="541"/>
      <c r="J78" s="2"/>
      <c r="K78" s="2"/>
      <c r="L78" s="2"/>
      <c r="M78" s="2"/>
      <c r="N78" s="2"/>
      <c r="O78" s="2"/>
      <c r="P78" s="2"/>
      <c r="Q78" s="2"/>
    </row>
    <row r="79" spans="1:17" ht="15" customHeight="1">
      <c r="A79" s="541"/>
      <c r="B79" s="712" t="s">
        <v>2414</v>
      </c>
      <c r="C79" s="740">
        <f>IFERROR((C72+C78)/C72,0)</f>
        <v>4.3557856825145773</v>
      </c>
      <c r="D79" s="740">
        <f>IFERROR((D72+D78)/D72,0)</f>
        <v>3.5788211006203117</v>
      </c>
      <c r="E79" s="757">
        <f>IFERROR((E72+E78)/E72,0)</f>
        <v>2.4133742277789132</v>
      </c>
      <c r="F79" s="541"/>
      <c r="G79" s="541" t="s">
        <v>2415</v>
      </c>
      <c r="H79" s="541"/>
      <c r="I79" s="541"/>
      <c r="J79" s="2"/>
      <c r="K79" s="2"/>
      <c r="L79" s="2"/>
      <c r="M79" s="2"/>
      <c r="N79" s="2"/>
      <c r="O79" s="2"/>
      <c r="P79" s="2"/>
      <c r="Q79" s="2"/>
    </row>
    <row r="80" spans="1:17" ht="15" customHeight="1">
      <c r="A80" s="541"/>
      <c r="B80" s="714" t="s">
        <v>2416</v>
      </c>
      <c r="C80" s="715">
        <f>IFERROR(C79^(1/C$7)-1,0)</f>
        <v>0.34218784230697441</v>
      </c>
      <c r="D80" s="715">
        <f>IFERROR(D79^(1/D$7)-1,0)</f>
        <v>0.29047025271650151</v>
      </c>
      <c r="E80" s="716">
        <f>IFERROR(E79^(1/D$7)-1,0)</f>
        <v>0.19268273931939706</v>
      </c>
      <c r="F80" s="541"/>
      <c r="G80" s="541" t="s">
        <v>2417</v>
      </c>
      <c r="H80" s="541"/>
      <c r="I80" s="541"/>
      <c r="J80" s="2"/>
      <c r="K80" s="2"/>
      <c r="L80" s="2"/>
      <c r="M80" s="2"/>
      <c r="N80" s="2"/>
      <c r="O80" s="2"/>
      <c r="P80" s="2"/>
      <c r="Q80" s="2"/>
    </row>
    <row r="81" spans="1:17" ht="3.95" customHeight="1">
      <c r="A81" s="541"/>
      <c r="B81" s="541"/>
      <c r="C81" s="541"/>
      <c r="D81" s="541"/>
      <c r="E81" s="571"/>
      <c r="F81" s="541"/>
      <c r="G81" s="541"/>
      <c r="H81" s="541"/>
      <c r="I81" s="541"/>
      <c r="J81" s="2"/>
      <c r="K81" s="2"/>
      <c r="L81" s="2"/>
      <c r="M81" s="2"/>
      <c r="N81" s="2"/>
      <c r="O81" s="2"/>
      <c r="P81" s="2"/>
      <c r="Q81" s="2"/>
    </row>
    <row r="82" spans="1:17">
      <c r="A82" s="541"/>
      <c r="B82" s="454" t="s">
        <v>2360</v>
      </c>
      <c r="C82" s="622" t="s">
        <v>2343</v>
      </c>
      <c r="D82" s="622" t="s">
        <v>2344</v>
      </c>
      <c r="E82" s="455" t="s">
        <v>1918</v>
      </c>
      <c r="F82" s="541"/>
      <c r="G82" s="541"/>
      <c r="H82" s="541"/>
      <c r="I82" s="541"/>
      <c r="J82" s="2"/>
      <c r="K82" s="746" t="s">
        <v>2418</v>
      </c>
      <c r="L82" s="746">
        <v>0</v>
      </c>
      <c r="M82" s="746">
        <v>1</v>
      </c>
      <c r="N82" s="746">
        <v>2</v>
      </c>
      <c r="O82" s="746">
        <v>3</v>
      </c>
      <c r="P82" s="746">
        <v>4</v>
      </c>
      <c r="Q82" s="746">
        <v>5</v>
      </c>
    </row>
    <row r="83" spans="1:17" ht="15" customHeight="1">
      <c r="A83" s="541"/>
      <c r="B83" s="214" t="s">
        <v>2422</v>
      </c>
      <c r="C83" s="755">
        <f>C32</f>
        <v>3000</v>
      </c>
      <c r="D83" s="755">
        <f>D32</f>
        <v>3000</v>
      </c>
      <c r="E83" s="748">
        <f t="shared" ref="E83:E92" si="9">C83-D83</f>
        <v>0</v>
      </c>
      <c r="F83" s="681"/>
      <c r="G83" s="681" t="s">
        <v>2423</v>
      </c>
      <c r="H83" s="541"/>
      <c r="I83" s="541"/>
      <c r="J83" s="2"/>
      <c r="K83" s="746" t="s">
        <v>2419</v>
      </c>
      <c r="L83" s="367">
        <f t="shared" ref="L83:Q83" si="10">-(L$82=0)*($C$83-$C$84)+(L$82=$L$54)*$C$85+(L$82=$C$7)*($C$86+$C$87)</f>
        <v>-2350</v>
      </c>
      <c r="M83" s="367">
        <f t="shared" si="10"/>
        <v>0</v>
      </c>
      <c r="N83" s="367">
        <f t="shared" si="10"/>
        <v>0</v>
      </c>
      <c r="O83" s="367">
        <f t="shared" si="10"/>
        <v>0</v>
      </c>
      <c r="P83" s="367">
        <f t="shared" si="10"/>
        <v>0</v>
      </c>
      <c r="Q83" s="367">
        <f t="shared" si="10"/>
        <v>7752.1570990481869</v>
      </c>
    </row>
    <row r="84" spans="1:17" ht="15" customHeight="1">
      <c r="A84" s="541"/>
      <c r="B84" s="681" t="s">
        <v>2401</v>
      </c>
      <c r="C84" s="545">
        <f>C111</f>
        <v>650</v>
      </c>
      <c r="D84" s="545">
        <f>D111</f>
        <v>500</v>
      </c>
      <c r="E84" s="737">
        <f t="shared" si="9"/>
        <v>150</v>
      </c>
      <c r="F84" s="681"/>
      <c r="G84" s="681"/>
      <c r="H84" s="541"/>
      <c r="I84" s="541"/>
      <c r="J84" s="2"/>
      <c r="K84" s="746" t="s">
        <v>2420</v>
      </c>
      <c r="L84" s="367">
        <f t="shared" ref="L84:Q84" si="11">-(L$82=0)*($D$83-$D$84)+(L$82=$L$54)*$D$85+(L$82=$D$7)*($D$86+$D$87)</f>
        <v>-2500</v>
      </c>
      <c r="M84" s="367">
        <f t="shared" si="11"/>
        <v>0</v>
      </c>
      <c r="N84" s="367">
        <f t="shared" si="11"/>
        <v>0</v>
      </c>
      <c r="O84" s="367">
        <f t="shared" si="11"/>
        <v>500</v>
      </c>
      <c r="P84" s="367">
        <f t="shared" si="11"/>
        <v>0</v>
      </c>
      <c r="Q84" s="367">
        <f t="shared" si="11"/>
        <v>5201.293692608554</v>
      </c>
    </row>
    <row r="85" spans="1:17" ht="15" customHeight="1">
      <c r="A85" s="541"/>
      <c r="B85" s="719" t="s">
        <v>2478</v>
      </c>
      <c r="C85" s="545">
        <f>C112</f>
        <v>0</v>
      </c>
      <c r="D85" s="545">
        <f>D112</f>
        <v>500</v>
      </c>
      <c r="E85" s="737">
        <f t="shared" si="9"/>
        <v>-500</v>
      </c>
      <c r="F85" s="681"/>
      <c r="G85" s="681"/>
      <c r="H85" s="541"/>
      <c r="I85" s="541"/>
      <c r="J85" s="2"/>
      <c r="K85" s="2"/>
      <c r="L85" s="2"/>
      <c r="M85" s="2"/>
      <c r="N85" s="2"/>
      <c r="O85" s="2"/>
      <c r="P85" s="2"/>
      <c r="Q85" s="2"/>
    </row>
    <row r="86" spans="1:17" ht="15" customHeight="1">
      <c r="A86" s="541"/>
      <c r="B86" s="719" t="s">
        <v>2424</v>
      </c>
      <c r="C86" s="545">
        <f>C108</f>
        <v>4792.7897509830491</v>
      </c>
      <c r="D86" s="545">
        <f>D108</f>
        <v>0</v>
      </c>
      <c r="E86" s="737">
        <f t="shared" si="9"/>
        <v>4792.7897509830491</v>
      </c>
      <c r="F86" s="681"/>
      <c r="G86" s="681" t="s">
        <v>2731</v>
      </c>
      <c r="H86" s="541"/>
      <c r="I86" s="541"/>
      <c r="J86" s="2"/>
      <c r="K86" s="2"/>
      <c r="L86" s="2"/>
      <c r="M86" s="2"/>
      <c r="N86" s="2"/>
      <c r="O86" s="2"/>
      <c r="P86" s="2"/>
      <c r="Q86" s="2"/>
    </row>
    <row r="87" spans="1:17" ht="15" customHeight="1">
      <c r="A87" s="541"/>
      <c r="B87" s="719" t="s">
        <v>2425</v>
      </c>
      <c r="C87" s="677">
        <f>C109+C110</f>
        <v>2959.3673480651378</v>
      </c>
      <c r="D87" s="677">
        <f>D109+D110</f>
        <v>5201.293692608554</v>
      </c>
      <c r="E87" s="737">
        <f t="shared" si="9"/>
        <v>-2241.9263445434162</v>
      </c>
      <c r="F87" s="681"/>
      <c r="G87" s="681" t="s">
        <v>2426</v>
      </c>
      <c r="H87" s="541"/>
      <c r="I87" s="541"/>
      <c r="J87" s="2"/>
      <c r="K87" s="2"/>
      <c r="L87" s="2"/>
      <c r="M87" s="2"/>
      <c r="N87" s="2"/>
      <c r="O87" s="2"/>
      <c r="P87" s="2"/>
      <c r="Q87" s="2"/>
    </row>
    <row r="88" spans="1:17" ht="15" customHeight="1">
      <c r="A88" s="541"/>
      <c r="B88" s="104" t="s">
        <v>2427</v>
      </c>
      <c r="C88" s="705">
        <f>SUM(C84:C87)</f>
        <v>8402.1570990481869</v>
      </c>
      <c r="D88" s="705">
        <f>SUM(D84:D87)</f>
        <v>6201.293692608554</v>
      </c>
      <c r="E88" s="753">
        <f t="shared" si="9"/>
        <v>2200.8634064396329</v>
      </c>
      <c r="F88" s="681"/>
      <c r="G88" s="681" t="s">
        <v>2623</v>
      </c>
      <c r="H88" s="541"/>
      <c r="I88" s="541"/>
      <c r="J88" s="2"/>
      <c r="K88" s="2"/>
      <c r="L88" s="2"/>
      <c r="M88" s="2"/>
      <c r="N88" s="2"/>
      <c r="O88" s="2"/>
      <c r="P88" s="2"/>
      <c r="Q88" s="2"/>
    </row>
    <row r="89" spans="1:17" ht="15" customHeight="1">
      <c r="A89" s="541"/>
      <c r="B89" s="750" t="s">
        <v>2479</v>
      </c>
      <c r="C89" s="749">
        <f>IFERROR(C88/C83,0)</f>
        <v>2.8007190330160623</v>
      </c>
      <c r="D89" s="749">
        <f>IFERROR(D88/D83,0)</f>
        <v>2.0670978975361849</v>
      </c>
      <c r="E89" s="751">
        <f t="shared" si="9"/>
        <v>0.7336211354798774</v>
      </c>
      <c r="F89" s="681"/>
      <c r="G89" s="681" t="s">
        <v>2428</v>
      </c>
      <c r="H89" s="541"/>
      <c r="I89" s="541"/>
      <c r="J89" s="2"/>
      <c r="K89" s="2"/>
      <c r="L89" s="2"/>
      <c r="M89" s="2"/>
      <c r="N89" s="2"/>
      <c r="O89" s="2"/>
      <c r="P89" s="2"/>
      <c r="Q89" s="2"/>
    </row>
    <row r="90" spans="1:17" ht="15" customHeight="1">
      <c r="A90" s="541"/>
      <c r="B90" s="107" t="s">
        <v>2481</v>
      </c>
      <c r="C90" s="743">
        <f>IFERROR(IRR($L83:$Q83),0)</f>
        <v>0.26961177196095765</v>
      </c>
      <c r="D90" s="743">
        <f>IFERROR(IRR($L84:$Q84),0)</f>
        <v>0.18762214777801023</v>
      </c>
      <c r="E90" s="752">
        <f t="shared" si="9"/>
        <v>8.1989624182947418E-2</v>
      </c>
      <c r="F90" s="681"/>
      <c r="G90" s="681" t="s">
        <v>2624</v>
      </c>
      <c r="H90" s="541"/>
      <c r="I90" s="541"/>
      <c r="J90" s="2"/>
      <c r="K90" s="2"/>
      <c r="L90" s="2"/>
      <c r="M90" s="2"/>
      <c r="N90" s="2"/>
      <c r="O90" s="2"/>
      <c r="P90" s="2"/>
      <c r="Q90" s="2"/>
    </row>
    <row r="91" spans="1:17" ht="15" customHeight="1">
      <c r="A91" s="541"/>
      <c r="B91" s="719" t="s">
        <v>2429</v>
      </c>
      <c r="C91" s="545">
        <f>C96</f>
        <v>7490.2576987288121</v>
      </c>
      <c r="D91" s="545">
        <f>D96</f>
        <v>7490.2576987288121</v>
      </c>
      <c r="E91" s="737">
        <f t="shared" si="9"/>
        <v>0</v>
      </c>
      <c r="F91" s="681"/>
      <c r="G91" s="681" t="s">
        <v>2430</v>
      </c>
      <c r="H91" s="541"/>
      <c r="I91" s="541"/>
      <c r="J91" s="2"/>
      <c r="K91" s="2"/>
      <c r="L91" s="2"/>
      <c r="M91" s="2"/>
      <c r="N91" s="2"/>
      <c r="O91" s="2"/>
      <c r="P91" s="2"/>
      <c r="Q91" s="2"/>
    </row>
    <row r="92" spans="1:17" ht="15" customHeight="1">
      <c r="A92" s="541"/>
      <c r="B92" s="60" t="s">
        <v>2431</v>
      </c>
      <c r="C92" s="761">
        <f>C88-C91</f>
        <v>911.89940031937476</v>
      </c>
      <c r="D92" s="761">
        <f>D88-D91</f>
        <v>-1288.9640061202581</v>
      </c>
      <c r="E92" s="762">
        <f t="shared" si="9"/>
        <v>2200.8634064396329</v>
      </c>
      <c r="F92" s="681"/>
      <c r="G92" s="681" t="s">
        <v>2432</v>
      </c>
      <c r="H92" s="541"/>
      <c r="I92" s="541"/>
      <c r="J92" s="2"/>
      <c r="K92" s="2"/>
      <c r="L92" s="2"/>
      <c r="M92" s="2"/>
      <c r="N92" s="2"/>
      <c r="O92" s="2"/>
      <c r="P92" s="2"/>
      <c r="Q92" s="2"/>
    </row>
    <row r="93" spans="1:17" ht="3.95" customHeight="1">
      <c r="A93" s="541"/>
      <c r="B93" s="541"/>
      <c r="C93" s="571"/>
      <c r="D93" s="571"/>
      <c r="E93" s="571"/>
      <c r="F93" s="541"/>
      <c r="G93" s="541"/>
      <c r="H93" s="541"/>
      <c r="I93" s="541"/>
      <c r="J93" s="2"/>
      <c r="K93" s="2"/>
      <c r="L93" s="2"/>
      <c r="M93" s="2"/>
      <c r="N93" s="2"/>
      <c r="O93" s="2"/>
      <c r="P93" s="2"/>
      <c r="Q93" s="2"/>
    </row>
    <row r="94" spans="1:17">
      <c r="A94" s="541"/>
      <c r="B94" s="454" t="s">
        <v>2361</v>
      </c>
      <c r="C94" s="622" t="s">
        <v>2343</v>
      </c>
      <c r="D94" s="622" t="s">
        <v>2344</v>
      </c>
      <c r="E94" s="455" t="s">
        <v>1918</v>
      </c>
      <c r="F94" s="541"/>
      <c r="G94" s="541"/>
      <c r="H94" s="541"/>
      <c r="I94" s="541"/>
      <c r="J94" s="2"/>
      <c r="K94" s="2"/>
      <c r="L94" s="2"/>
      <c r="M94" s="2"/>
      <c r="N94" s="2"/>
      <c r="O94" s="2"/>
      <c r="P94" s="2"/>
      <c r="Q94" s="2"/>
    </row>
    <row r="95" spans="1:17">
      <c r="A95" s="541"/>
      <c r="B95" s="541" t="s">
        <v>2362</v>
      </c>
      <c r="C95" s="702">
        <f>'Partnership Analysis'!$D$92</f>
        <v>8402.1570990481869</v>
      </c>
      <c r="D95" s="702">
        <f>'100% Buyout Analysis'!$D$81</f>
        <v>6201.293692608554</v>
      </c>
      <c r="E95" s="606">
        <f>C95-D95</f>
        <v>2200.8634064396329</v>
      </c>
      <c r="F95" s="541"/>
      <c r="G95" s="541"/>
      <c r="H95" s="541"/>
      <c r="I95" s="541"/>
      <c r="J95" s="2"/>
      <c r="K95" s="2"/>
      <c r="L95" s="2"/>
      <c r="M95" s="2"/>
      <c r="N95" s="2"/>
      <c r="O95" s="2"/>
      <c r="P95" s="2"/>
      <c r="Q95" s="2"/>
    </row>
    <row r="96" spans="1:17">
      <c r="A96" s="541"/>
      <c r="B96" s="558" t="s">
        <v>2363</v>
      </c>
      <c r="C96" s="700">
        <f>'Partnership Analysis'!$D$74</f>
        <v>7490.2576987288121</v>
      </c>
      <c r="D96" s="700">
        <f>'100% Buyout Analysis'!$D$72</f>
        <v>7490.2576987288121</v>
      </c>
      <c r="E96" s="677">
        <f>C96-D96</f>
        <v>0</v>
      </c>
      <c r="F96" s="541"/>
      <c r="G96" s="541"/>
      <c r="H96" s="541"/>
      <c r="I96" s="541"/>
      <c r="J96" s="2"/>
      <c r="K96" s="2"/>
      <c r="L96" s="2"/>
      <c r="M96" s="2"/>
      <c r="N96" s="2"/>
      <c r="O96" s="2"/>
      <c r="P96" s="2"/>
      <c r="Q96" s="2"/>
    </row>
    <row r="97" spans="1:17">
      <c r="A97" s="541"/>
      <c r="B97" s="712" t="s">
        <v>2364</v>
      </c>
      <c r="C97" s="706">
        <f>C95-C96</f>
        <v>911.89940031937476</v>
      </c>
      <c r="D97" s="706">
        <f>D95-D96</f>
        <v>-1288.9640061202581</v>
      </c>
      <c r="E97" s="713">
        <f>C97-D97</f>
        <v>2200.8634064396329</v>
      </c>
      <c r="F97" s="541"/>
      <c r="G97" s="541"/>
      <c r="H97" s="541"/>
      <c r="I97" s="541"/>
      <c r="J97" s="2"/>
      <c r="K97" s="2"/>
      <c r="L97" s="2"/>
      <c r="M97" s="2"/>
      <c r="N97" s="2"/>
      <c r="O97" s="2"/>
      <c r="P97" s="2"/>
      <c r="Q97" s="2"/>
    </row>
    <row r="98" spans="1:17">
      <c r="A98" s="541"/>
      <c r="B98" s="714" t="s">
        <v>2365</v>
      </c>
      <c r="C98" s="715">
        <f>IFERROR(C95/C96-1,0)</f>
        <v>0.12174472988748231</v>
      </c>
      <c r="D98" s="715">
        <f>IFERROR(D95/D96-1,0)</f>
        <v>-0.17208540185994015</v>
      </c>
      <c r="E98" s="716"/>
      <c r="F98" s="541"/>
      <c r="G98" s="541"/>
      <c r="H98" s="541"/>
      <c r="I98" s="541"/>
      <c r="J98" s="2"/>
      <c r="K98" s="2"/>
      <c r="L98" s="2"/>
      <c r="M98" s="2"/>
      <c r="N98" s="2"/>
      <c r="O98" s="2"/>
      <c r="P98" s="2"/>
      <c r="Q98" s="2"/>
    </row>
    <row r="99" spans="1:17">
      <c r="A99" s="541"/>
      <c r="B99" s="541" t="s">
        <v>2366</v>
      </c>
      <c r="C99" s="703">
        <f>'Partnership Analysis'!$D$97</f>
        <v>2.8007190330160623</v>
      </c>
      <c r="D99" s="703">
        <f>'100% Buyout Analysis'!$D$86</f>
        <v>2.0670978975361849</v>
      </c>
      <c r="E99" s="697">
        <f t="shared" ref="E99:E104" si="12">C99-D99</f>
        <v>0.7336211354798774</v>
      </c>
      <c r="F99" s="541"/>
      <c r="G99" s="541"/>
      <c r="H99" s="541"/>
      <c r="I99" s="541"/>
      <c r="J99" s="2"/>
      <c r="K99" s="2"/>
      <c r="L99" s="2"/>
      <c r="M99" s="2"/>
      <c r="N99" s="2"/>
      <c r="O99" s="2"/>
      <c r="P99" s="2"/>
      <c r="Q99" s="2"/>
    </row>
    <row r="100" spans="1:17">
      <c r="A100" s="541"/>
      <c r="B100" s="558" t="s">
        <v>2367</v>
      </c>
      <c r="C100" s="697">
        <f>IFERROR('Partnership Analysis'!$D$74/'Partnership Analysis'!$C$74,0)</f>
        <v>2.4967525662429373</v>
      </c>
      <c r="D100" s="697">
        <f>IFERROR('100% Buyout Analysis'!$D$72/'100% Buyout Analysis'!$C$72,0)</f>
        <v>2.4967525662429373</v>
      </c>
      <c r="E100" s="697">
        <f t="shared" si="12"/>
        <v>0</v>
      </c>
      <c r="F100" s="541"/>
      <c r="G100" s="541" t="s">
        <v>2368</v>
      </c>
      <c r="H100" s="541"/>
      <c r="I100" s="541"/>
      <c r="J100" s="2"/>
      <c r="K100" s="2"/>
      <c r="L100" s="2"/>
      <c r="M100" s="2"/>
      <c r="N100" s="2"/>
      <c r="O100" s="2"/>
      <c r="P100" s="2"/>
      <c r="Q100" s="2"/>
    </row>
    <row r="101" spans="1:17">
      <c r="A101" s="541"/>
      <c r="B101" s="537" t="s">
        <v>2369</v>
      </c>
      <c r="C101" s="723">
        <f>C99-C100</f>
        <v>0.303966466773125</v>
      </c>
      <c r="D101" s="723">
        <f>D99-D100</f>
        <v>-0.4296546687067524</v>
      </c>
      <c r="E101" s="724">
        <f t="shared" si="12"/>
        <v>0.7336211354798774</v>
      </c>
      <c r="F101" s="541"/>
      <c r="G101" s="541"/>
      <c r="H101" s="541"/>
      <c r="I101" s="541"/>
      <c r="J101" s="2"/>
      <c r="K101" s="2"/>
      <c r="L101" s="2"/>
      <c r="M101" s="2"/>
      <c r="N101" s="2"/>
      <c r="O101" s="2"/>
      <c r="P101" s="2"/>
      <c r="Q101" s="2"/>
    </row>
    <row r="102" spans="1:17">
      <c r="A102" s="541"/>
      <c r="B102" s="541" t="s">
        <v>2370</v>
      </c>
      <c r="C102" s="710">
        <f>'Partnership Analysis'!$D$98</f>
        <v>0.26961177196095765</v>
      </c>
      <c r="D102" s="710">
        <f>'100% Buyout Analysis'!$D$87</f>
        <v>0.18762214777801023</v>
      </c>
      <c r="E102" s="698">
        <f t="shared" si="12"/>
        <v>8.1989624182947418E-2</v>
      </c>
      <c r="F102" s="541"/>
      <c r="G102" s="541" t="s">
        <v>2371</v>
      </c>
      <c r="H102" s="541"/>
      <c r="I102" s="541"/>
      <c r="J102" s="2"/>
      <c r="K102" s="2"/>
      <c r="L102" s="2"/>
      <c r="M102" s="2"/>
      <c r="N102" s="2"/>
      <c r="O102" s="2"/>
      <c r="P102" s="2"/>
      <c r="Q102" s="2"/>
    </row>
    <row r="103" spans="1:17">
      <c r="A103" s="541"/>
      <c r="B103" s="558" t="s">
        <v>2372</v>
      </c>
      <c r="C103" s="698">
        <f>IFERROR(C100^(1/C$7)-1,0)</f>
        <v>0.20081222595661186</v>
      </c>
      <c r="D103" s="698">
        <f>IFERROR(D100^(1/D$7)-1,0)</f>
        <v>0.20081222595661186</v>
      </c>
      <c r="E103" s="698">
        <f t="shared" si="12"/>
        <v>0</v>
      </c>
      <c r="F103" s="541"/>
      <c r="G103" s="541"/>
      <c r="H103" s="541"/>
      <c r="I103" s="541"/>
      <c r="J103" s="2"/>
      <c r="K103" s="2"/>
      <c r="L103" s="2"/>
      <c r="M103" s="2"/>
      <c r="N103" s="2"/>
      <c r="O103" s="2"/>
      <c r="P103" s="2"/>
      <c r="Q103" s="2"/>
    </row>
    <row r="104" spans="1:17">
      <c r="A104" s="541"/>
      <c r="B104" s="537" t="s">
        <v>2373</v>
      </c>
      <c r="C104" s="725">
        <f>C102-C103</f>
        <v>6.8799546004345791E-2</v>
      </c>
      <c r="D104" s="725">
        <f>D102-D103</f>
        <v>-1.3190078178601627E-2</v>
      </c>
      <c r="E104" s="726">
        <f t="shared" si="12"/>
        <v>8.1989624182947418E-2</v>
      </c>
      <c r="F104" s="541"/>
      <c r="G104" s="541"/>
      <c r="H104" s="541"/>
      <c r="I104" s="541"/>
      <c r="J104" s="2"/>
      <c r="K104" s="2"/>
      <c r="L104" s="2"/>
      <c r="M104" s="2"/>
      <c r="N104" s="2"/>
      <c r="O104" s="2"/>
      <c r="P104" s="2"/>
      <c r="Q104" s="2"/>
    </row>
    <row r="105" spans="1:17">
      <c r="A105" s="541"/>
      <c r="B105" s="541" t="s">
        <v>2374</v>
      </c>
      <c r="C105" s="677">
        <f>C88-C95</f>
        <v>0</v>
      </c>
      <c r="D105" s="677">
        <f>D88-D95</f>
        <v>0</v>
      </c>
      <c r="E105" s="677"/>
      <c r="F105" s="541"/>
      <c r="G105" s="541" t="s">
        <v>2107</v>
      </c>
      <c r="H105" s="541"/>
      <c r="I105" s="541"/>
      <c r="J105" s="2"/>
      <c r="K105" s="2"/>
      <c r="L105" s="2"/>
      <c r="M105" s="2"/>
      <c r="N105" s="2"/>
      <c r="O105" s="2"/>
      <c r="P105" s="2"/>
      <c r="Q105" s="2"/>
    </row>
    <row r="106" spans="1:17" ht="3.95" customHeight="1">
      <c r="A106" s="541"/>
      <c r="B106" s="541"/>
      <c r="C106" s="571"/>
      <c r="D106" s="571"/>
      <c r="E106" s="571"/>
      <c r="F106" s="541"/>
      <c r="G106" s="541"/>
      <c r="H106" s="541"/>
      <c r="I106" s="541"/>
      <c r="J106" s="2"/>
      <c r="K106" s="2"/>
      <c r="L106" s="2"/>
      <c r="M106" s="2"/>
      <c r="N106" s="2"/>
      <c r="O106" s="2"/>
      <c r="P106" s="2"/>
      <c r="Q106" s="2"/>
    </row>
    <row r="107" spans="1:17">
      <c r="A107" s="541"/>
      <c r="B107" s="370" t="s">
        <v>2615</v>
      </c>
      <c r="C107" s="622" t="s">
        <v>2343</v>
      </c>
      <c r="D107" s="622" t="s">
        <v>2344</v>
      </c>
      <c r="E107" s="455" t="s">
        <v>1918</v>
      </c>
      <c r="F107" s="541"/>
      <c r="G107" s="541"/>
      <c r="H107" s="541"/>
      <c r="I107" s="541"/>
      <c r="J107" s="2"/>
      <c r="K107" s="2"/>
      <c r="L107" s="2"/>
      <c r="M107" s="2"/>
      <c r="N107" s="2"/>
      <c r="O107" s="2"/>
      <c r="P107" s="2"/>
      <c r="Q107" s="2"/>
    </row>
    <row r="108" spans="1:17">
      <c r="A108" s="541"/>
      <c r="B108" s="541" t="s">
        <v>2377</v>
      </c>
      <c r="C108" s="702">
        <f>'Partnership Analysis'!$D$87</f>
        <v>4792.7897509830491</v>
      </c>
      <c r="D108" s="718">
        <v>0</v>
      </c>
      <c r="E108" s="606">
        <f t="shared" ref="E108:E113" si="13">C108-D108</f>
        <v>4792.7897509830491</v>
      </c>
      <c r="F108" s="541"/>
      <c r="G108" s="541" t="s">
        <v>2378</v>
      </c>
      <c r="H108" s="541"/>
      <c r="I108" s="541"/>
      <c r="J108" s="2"/>
      <c r="K108" s="2"/>
      <c r="L108" s="2"/>
      <c r="M108" s="2"/>
      <c r="N108" s="2"/>
      <c r="O108" s="2"/>
      <c r="P108" s="2"/>
      <c r="Q108" s="2"/>
    </row>
    <row r="109" spans="1:17">
      <c r="A109" s="541"/>
      <c r="B109" s="558" t="s">
        <v>2379</v>
      </c>
      <c r="C109" s="700">
        <f>'Partnership Analysis'!$D$88</f>
        <v>299.41350938680949</v>
      </c>
      <c r="D109" s="700">
        <f>'100% Buyout Analysis'!$C$118</f>
        <v>722.72226403712637</v>
      </c>
      <c r="E109" s="677">
        <f t="shared" si="13"/>
        <v>-423.30875465031687</v>
      </c>
      <c r="F109" s="541"/>
      <c r="G109" s="541"/>
      <c r="H109" s="541"/>
      <c r="I109" s="541"/>
      <c r="J109" s="2"/>
      <c r="K109" s="2"/>
      <c r="L109" s="2"/>
      <c r="M109" s="2"/>
      <c r="N109" s="2"/>
      <c r="O109" s="2"/>
      <c r="P109" s="2"/>
      <c r="Q109" s="2"/>
    </row>
    <row r="110" spans="1:17">
      <c r="A110" s="541"/>
      <c r="B110" s="558" t="s">
        <v>2380</v>
      </c>
      <c r="C110" s="700">
        <f>'Partnership Analysis'!$D$89</f>
        <v>2659.9538386783283</v>
      </c>
      <c r="D110" s="700">
        <f>'100% Buyout Analysis'!$C$117</f>
        <v>4478.5714285714275</v>
      </c>
      <c r="E110" s="677">
        <f t="shared" si="13"/>
        <v>-1818.6175898930992</v>
      </c>
      <c r="F110" s="541"/>
      <c r="G110" s="541"/>
      <c r="H110" s="541"/>
      <c r="I110" s="541"/>
      <c r="J110" s="2"/>
      <c r="K110" s="2"/>
      <c r="L110" s="2"/>
      <c r="M110" s="2"/>
      <c r="N110" s="2"/>
      <c r="O110" s="2"/>
      <c r="P110" s="2"/>
      <c r="Q110" s="2"/>
    </row>
    <row r="111" spans="1:17">
      <c r="A111" s="541"/>
      <c r="B111" s="558" t="s">
        <v>2063</v>
      </c>
      <c r="C111" s="700">
        <f>'Partnership Analysis'!$D$90</f>
        <v>650</v>
      </c>
      <c r="D111" s="700">
        <f>'100% Buyout Analysis'!$C$119</f>
        <v>500</v>
      </c>
      <c r="E111" s="677">
        <f t="shared" si="13"/>
        <v>150</v>
      </c>
      <c r="F111" s="541"/>
      <c r="G111" s="541"/>
      <c r="H111" s="541"/>
      <c r="I111" s="541"/>
      <c r="J111" s="2"/>
      <c r="K111" s="2"/>
      <c r="L111" s="2"/>
      <c r="M111" s="2"/>
      <c r="N111" s="2"/>
      <c r="O111" s="2"/>
      <c r="P111" s="2"/>
      <c r="Q111" s="2"/>
    </row>
    <row r="112" spans="1:17">
      <c r="A112" s="541"/>
      <c r="B112" s="558" t="s">
        <v>2265</v>
      </c>
      <c r="C112" s="700">
        <f>'Partnership Analysis'!$D$91</f>
        <v>0</v>
      </c>
      <c r="D112" s="700">
        <f>'100% Buyout Analysis'!$C$120</f>
        <v>500</v>
      </c>
      <c r="E112" s="677">
        <f t="shared" si="13"/>
        <v>-500</v>
      </c>
      <c r="F112" s="541"/>
      <c r="G112" s="541"/>
      <c r="H112" s="541"/>
      <c r="I112" s="541"/>
      <c r="J112" s="2"/>
      <c r="K112" s="2"/>
      <c r="L112" s="2"/>
      <c r="M112" s="2"/>
      <c r="N112" s="2"/>
      <c r="O112" s="2"/>
      <c r="P112" s="2"/>
      <c r="Q112" s="2"/>
    </row>
    <row r="113" spans="1:17">
      <c r="A113" s="541"/>
      <c r="B113" s="708" t="s">
        <v>2381</v>
      </c>
      <c r="C113" s="707">
        <f>SUM(C108:C112)</f>
        <v>8402.1570990481869</v>
      </c>
      <c r="D113" s="707">
        <f>SUM(D108:D112)</f>
        <v>6201.293692608554</v>
      </c>
      <c r="E113" s="709">
        <f t="shared" si="13"/>
        <v>2200.8634064396329</v>
      </c>
      <c r="F113" s="541"/>
      <c r="G113" s="541"/>
      <c r="H113" s="541"/>
      <c r="I113" s="541"/>
      <c r="J113" s="2"/>
      <c r="K113" s="2"/>
      <c r="L113" s="2"/>
      <c r="M113" s="2"/>
      <c r="N113" s="2"/>
      <c r="O113" s="2"/>
      <c r="P113" s="2"/>
      <c r="Q113" s="2"/>
    </row>
    <row r="114" spans="1:17">
      <c r="A114" s="541"/>
      <c r="B114" s="541" t="s">
        <v>2382</v>
      </c>
      <c r="C114" s="677">
        <f>C113-C95</f>
        <v>0</v>
      </c>
      <c r="D114" s="677">
        <f>D113-D95</f>
        <v>0</v>
      </c>
      <c r="E114" s="677"/>
      <c r="F114" s="541"/>
      <c r="G114" s="541" t="s">
        <v>2107</v>
      </c>
      <c r="H114" s="541"/>
      <c r="I114" s="541"/>
      <c r="J114" s="2"/>
      <c r="K114" s="2"/>
      <c r="L114" s="2"/>
      <c r="M114" s="2"/>
      <c r="N114" s="2"/>
      <c r="O114" s="2"/>
      <c r="P114" s="2"/>
      <c r="Q114" s="2"/>
    </row>
    <row r="115" spans="1:17" ht="3.95" customHeight="1">
      <c r="A115" s="541"/>
      <c r="B115" s="541"/>
      <c r="C115" s="571"/>
      <c r="D115" s="571"/>
      <c r="E115" s="571"/>
      <c r="F115" s="541"/>
      <c r="G115" s="541"/>
      <c r="H115" s="541"/>
      <c r="I115" s="541"/>
      <c r="J115" s="2"/>
      <c r="K115" s="2"/>
      <c r="L115" s="2"/>
      <c r="M115" s="2"/>
      <c r="N115" s="2"/>
      <c r="O115" s="2"/>
      <c r="P115" s="2"/>
      <c r="Q115" s="2"/>
    </row>
    <row r="116" spans="1:17">
      <c r="A116" s="541"/>
      <c r="B116" s="454" t="s">
        <v>2433</v>
      </c>
      <c r="C116" s="622" t="s">
        <v>2343</v>
      </c>
      <c r="D116" s="622" t="s">
        <v>2344</v>
      </c>
      <c r="E116" s="455" t="s">
        <v>1918</v>
      </c>
      <c r="F116" s="541"/>
      <c r="G116" s="541"/>
      <c r="H116" s="541"/>
      <c r="I116" s="541"/>
      <c r="J116" s="2"/>
      <c r="K116" s="2"/>
      <c r="L116" s="2"/>
      <c r="M116" s="2"/>
      <c r="N116" s="2"/>
      <c r="O116" s="2"/>
      <c r="P116" s="2"/>
      <c r="Q116" s="2"/>
    </row>
    <row r="117" spans="1:17">
      <c r="A117" s="541"/>
      <c r="B117" s="541" t="s">
        <v>2096</v>
      </c>
      <c r="C117" s="703">
        <f>'Partnership Analysis'!$C$136</f>
        <v>1.6418448543025592</v>
      </c>
      <c r="D117" s="697" t="s">
        <v>2375</v>
      </c>
      <c r="E117" s="697" t="str">
        <f>IF(ISNUMBER(D117),C117-D117,"n/m")</f>
        <v>n/m</v>
      </c>
      <c r="F117" s="541"/>
      <c r="G117" s="541" t="s">
        <v>2376</v>
      </c>
      <c r="H117" s="541"/>
      <c r="I117" s="541"/>
      <c r="J117" s="2"/>
      <c r="K117" s="2"/>
      <c r="L117" s="2"/>
      <c r="M117" s="2"/>
      <c r="N117" s="2"/>
      <c r="O117" s="2"/>
      <c r="P117" s="2"/>
      <c r="Q117" s="2"/>
    </row>
    <row r="118" spans="1:17">
      <c r="A118" s="541"/>
      <c r="B118" s="541" t="s">
        <v>2132</v>
      </c>
      <c r="C118" s="702">
        <f>'Partnership Analysis'!$C$137</f>
        <v>65290.309149595763</v>
      </c>
      <c r="D118" s="702">
        <f>'100% Buyout Analysis'!$C$133</f>
        <v>127492.88855634256</v>
      </c>
      <c r="E118" s="606">
        <f>C118-D118</f>
        <v>-62202.579406746794</v>
      </c>
      <c r="F118" s="541"/>
      <c r="G118" s="541"/>
      <c r="H118" s="541"/>
      <c r="I118" s="541"/>
      <c r="J118" s="2"/>
      <c r="K118" s="2"/>
      <c r="L118" s="2"/>
      <c r="M118" s="2"/>
      <c r="N118" s="2"/>
      <c r="O118" s="2"/>
      <c r="P118" s="2"/>
      <c r="Q118" s="2"/>
    </row>
    <row r="119" spans="1:17">
      <c r="A119" s="541"/>
      <c r="B119" s="541" t="s">
        <v>2133</v>
      </c>
      <c r="C119" s="717">
        <f>'Partnership Analysis'!$C$138</f>
        <v>10.52686927675539</v>
      </c>
      <c r="D119" s="717">
        <f>'100% Buyout Analysis'!$C$134</f>
        <v>20.512913243349704</v>
      </c>
      <c r="E119" s="699">
        <f>C119-D119</f>
        <v>-9.9860439665943144</v>
      </c>
      <c r="F119" s="541"/>
      <c r="G119" s="541"/>
      <c r="H119" s="541"/>
      <c r="I119" s="541"/>
      <c r="J119" s="2"/>
      <c r="K119" s="2"/>
      <c r="L119" s="2"/>
      <c r="M119" s="2"/>
      <c r="N119" s="2"/>
      <c r="O119" s="2"/>
      <c r="P119" s="2"/>
      <c r="Q119" s="2"/>
    </row>
    <row r="120" spans="1:17">
      <c r="A120" s="541"/>
      <c r="B120" s="541" t="s">
        <v>2134</v>
      </c>
      <c r="C120" s="700">
        <f>'Partnership Analysis'!$C$139</f>
        <v>20.722401894474483</v>
      </c>
      <c r="D120" s="700">
        <f>'100% Buyout Analysis'!$C$135</f>
        <v>102.0407551232453</v>
      </c>
      <c r="E120" s="677">
        <f>C120-D120</f>
        <v>-81.318353228770818</v>
      </c>
      <c r="F120" s="541"/>
      <c r="G120" s="541"/>
      <c r="H120" s="541"/>
      <c r="I120" s="541"/>
      <c r="J120" s="2"/>
      <c r="K120" s="2"/>
      <c r="L120" s="2"/>
      <c r="M120" s="2"/>
      <c r="N120" s="2"/>
      <c r="O120" s="2"/>
      <c r="P120" s="2"/>
      <c r="Q120" s="2"/>
    </row>
    <row r="121" spans="1:17">
      <c r="A121" s="541"/>
      <c r="B121" s="541" t="s">
        <v>2327</v>
      </c>
      <c r="C121" s="701">
        <f>'Partnership Analysis'!$C$141</f>
        <v>0.34273298256460261</v>
      </c>
      <c r="D121" s="701">
        <f>'100% Buyout Analysis'!$C$136</f>
        <v>-0.18542523806228761</v>
      </c>
      <c r="E121" s="696">
        <f>C121-D121</f>
        <v>0.52815822062689022</v>
      </c>
      <c r="F121" s="541"/>
      <c r="G121" s="541"/>
      <c r="H121" s="541"/>
      <c r="I121" s="541"/>
      <c r="J121" s="2"/>
      <c r="K121" s="2"/>
      <c r="L121" s="2"/>
      <c r="M121" s="2"/>
      <c r="N121" s="2"/>
      <c r="O121" s="2"/>
      <c r="P121" s="2"/>
      <c r="Q121" s="2"/>
    </row>
    <row r="122" spans="1:17">
      <c r="A122" s="541"/>
      <c r="B122" s="541" t="s">
        <v>2738</v>
      </c>
      <c r="C122" s="710">
        <f>'Partnership Analysis'!$C$140</f>
        <v>5.7577770275580198E-2</v>
      </c>
      <c r="D122" s="710">
        <f>'100% Buyout Analysis'!$C$137</f>
        <v>0.2092500897368037</v>
      </c>
      <c r="E122" s="698">
        <f>C122-D122</f>
        <v>-0.1516723194612235</v>
      </c>
      <c r="F122" s="541"/>
      <c r="G122" s="541" t="s">
        <v>2739</v>
      </c>
      <c r="H122" s="541"/>
      <c r="I122" s="541"/>
      <c r="J122" s="2"/>
      <c r="K122" s="2"/>
      <c r="L122" s="2"/>
      <c r="M122" s="2"/>
      <c r="N122" s="2"/>
      <c r="O122" s="2"/>
      <c r="P122" s="2"/>
      <c r="Q122" s="2"/>
    </row>
    <row r="123" spans="1:17" ht="3.95" customHeight="1">
      <c r="A123" s="541"/>
      <c r="B123" s="541"/>
      <c r="C123" s="571"/>
      <c r="D123" s="571"/>
      <c r="E123" s="571"/>
      <c r="F123" s="541"/>
      <c r="G123" s="541"/>
      <c r="H123" s="541"/>
      <c r="I123" s="541"/>
      <c r="J123" s="2"/>
      <c r="K123" s="2"/>
      <c r="L123" s="2"/>
      <c r="M123" s="2"/>
      <c r="N123" s="2"/>
      <c r="O123" s="2"/>
      <c r="P123" s="2"/>
      <c r="Q123" s="2"/>
    </row>
    <row r="124" spans="1:17">
      <c r="A124" s="541"/>
      <c r="B124" s="454" t="s">
        <v>2434</v>
      </c>
      <c r="C124" s="622" t="s">
        <v>2343</v>
      </c>
      <c r="D124" s="622" t="s">
        <v>2344</v>
      </c>
      <c r="E124" s="455" t="s">
        <v>1918</v>
      </c>
      <c r="F124" s="541"/>
      <c r="G124" s="541"/>
      <c r="H124" s="541"/>
      <c r="I124" s="541"/>
      <c r="J124" s="2"/>
      <c r="K124" s="2"/>
      <c r="L124" s="2"/>
      <c r="M124" s="2"/>
      <c r="N124" s="2"/>
      <c r="O124" s="2"/>
      <c r="P124" s="2"/>
      <c r="Q124" s="2"/>
    </row>
    <row r="125" spans="1:17">
      <c r="A125" s="541"/>
      <c r="B125" s="541" t="s">
        <v>2387</v>
      </c>
      <c r="C125" s="697">
        <f>'Partnership Analysis'!$D$136-C117</f>
        <v>0.35815514569744078</v>
      </c>
      <c r="D125" s="697" t="s">
        <v>2375</v>
      </c>
      <c r="E125" s="697" t="str">
        <f>IF(ISNUMBER(D125),C125-D125,"n/m")</f>
        <v>n/m</v>
      </c>
      <c r="F125" s="541"/>
      <c r="G125" s="541" t="s">
        <v>2388</v>
      </c>
      <c r="H125" s="541"/>
      <c r="I125" s="541"/>
      <c r="J125" s="2"/>
      <c r="K125" s="2"/>
      <c r="L125" s="2"/>
      <c r="M125" s="2"/>
      <c r="N125" s="2"/>
      <c r="O125" s="2"/>
      <c r="P125" s="2"/>
      <c r="Q125" s="2"/>
    </row>
    <row r="126" spans="1:17">
      <c r="A126" s="541"/>
      <c r="B126" s="541" t="s">
        <v>2389</v>
      </c>
      <c r="C126" s="606">
        <f>'Partnership Analysis'!$D$137-C118</f>
        <v>34059.690850404237</v>
      </c>
      <c r="D126" s="606">
        <f>'100% Buyout Analysis'!$D$133-D118</f>
        <v>-28492.888556342557</v>
      </c>
      <c r="E126" s="606">
        <f>C126-D126</f>
        <v>62552.579406746794</v>
      </c>
      <c r="F126" s="541"/>
      <c r="G126" s="541" t="s">
        <v>2390</v>
      </c>
      <c r="H126" s="541"/>
      <c r="I126" s="541"/>
      <c r="J126" s="2"/>
      <c r="K126" s="2"/>
      <c r="L126" s="2"/>
      <c r="M126" s="2"/>
      <c r="N126" s="2"/>
      <c r="O126" s="2"/>
      <c r="P126" s="2"/>
      <c r="Q126" s="2"/>
    </row>
    <row r="127" spans="1:17">
      <c r="A127" s="541"/>
      <c r="B127" s="541" t="s">
        <v>2391</v>
      </c>
      <c r="C127" s="699">
        <f>'Partnership Analysis'!$D$138-C119</f>
        <v>5.4373708254157478</v>
      </c>
      <c r="D127" s="699">
        <f>'100% Buyout Analysis'!$D$134-D119</f>
        <v>-4.5486731411785666</v>
      </c>
      <c r="E127" s="699">
        <f>C127-D127</f>
        <v>9.9860439665943144</v>
      </c>
      <c r="F127" s="541"/>
      <c r="G127" s="541" t="s">
        <v>2392</v>
      </c>
      <c r="H127" s="541"/>
      <c r="I127" s="541"/>
      <c r="J127" s="2"/>
      <c r="K127" s="2"/>
      <c r="L127" s="2"/>
      <c r="M127" s="2"/>
      <c r="N127" s="2"/>
      <c r="O127" s="2"/>
      <c r="P127" s="2"/>
      <c r="Q127" s="2"/>
    </row>
    <row r="128" spans="1:17">
      <c r="A128" s="541"/>
      <c r="B128" s="541" t="s">
        <v>2393</v>
      </c>
      <c r="C128" s="677">
        <f>'Partnership Analysis'!$D$139-C120</f>
        <v>44.277598105525513</v>
      </c>
      <c r="D128" s="677">
        <f>'100% Buyout Analysis'!$D$135-D120</f>
        <v>-37.040755123245305</v>
      </c>
      <c r="E128" s="677">
        <f>C128-D128</f>
        <v>81.318353228770818</v>
      </c>
      <c r="F128" s="541"/>
      <c r="G128" s="541" t="s">
        <v>2732</v>
      </c>
      <c r="H128" s="541"/>
      <c r="I128" s="541"/>
      <c r="J128" s="2"/>
      <c r="K128" s="2"/>
      <c r="L128" s="2"/>
      <c r="M128" s="2"/>
      <c r="N128" s="2"/>
      <c r="O128" s="2"/>
      <c r="P128" s="2"/>
      <c r="Q128" s="2"/>
    </row>
    <row r="129" spans="1:17">
      <c r="A129" s="541"/>
      <c r="B129" s="541" t="s">
        <v>2394</v>
      </c>
      <c r="C129" s="698">
        <f>C121-'Partnership Analysis'!$D$141</f>
        <v>0.29273298256460262</v>
      </c>
      <c r="D129" s="698">
        <f>D121-'100% Buyout Analysis'!$D$136</f>
        <v>-0.2354252380622876</v>
      </c>
      <c r="E129" s="698">
        <f>C129-D129</f>
        <v>0.52815822062689022</v>
      </c>
      <c r="F129" s="541"/>
      <c r="G129" s="541" t="s">
        <v>2395</v>
      </c>
      <c r="H129" s="541"/>
      <c r="I129" s="541"/>
      <c r="J129" s="2"/>
      <c r="K129" s="2"/>
      <c r="L129" s="2"/>
      <c r="M129" s="2"/>
      <c r="N129" s="2"/>
      <c r="O129" s="2"/>
      <c r="P129" s="2"/>
      <c r="Q129" s="2"/>
    </row>
    <row r="130" spans="1:17">
      <c r="A130" s="541"/>
      <c r="B130" s="541" t="s">
        <v>2745</v>
      </c>
      <c r="C130" s="698">
        <f>'Partnership Analysis'!$D$140-C122</f>
        <v>9.2629591403116551E-2</v>
      </c>
      <c r="D130" s="698">
        <f>'100% Buyout Analysis'!$D$137-D122</f>
        <v>-5.9393770336108931E-2</v>
      </c>
      <c r="E130" s="698">
        <f>C130-D130</f>
        <v>0.15202336173922548</v>
      </c>
      <c r="F130" s="541"/>
      <c r="G130" s="541" t="s">
        <v>2746</v>
      </c>
      <c r="H130" s="541"/>
      <c r="I130" s="541"/>
      <c r="J130" s="2"/>
      <c r="K130" s="2"/>
      <c r="L130" s="2"/>
      <c r="M130" s="2"/>
      <c r="N130" s="2"/>
      <c r="O130" s="2"/>
      <c r="P130" s="2"/>
      <c r="Q130" s="2"/>
    </row>
    <row r="131" spans="1:17" ht="3.95" customHeight="1">
      <c r="B131" s="2"/>
      <c r="C131" s="2"/>
      <c r="D131" s="2"/>
      <c r="E131" s="80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" customHeight="1">
      <c r="B132" s="454" t="s">
        <v>2435</v>
      </c>
      <c r="C132" s="622" t="s">
        <v>2343</v>
      </c>
      <c r="D132" s="622" t="s">
        <v>2344</v>
      </c>
      <c r="E132" s="455" t="s">
        <v>1918</v>
      </c>
      <c r="F132" s="541"/>
      <c r="G132" s="541" t="s">
        <v>2468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" customHeight="1">
      <c r="B133" s="541" t="s">
        <v>2436</v>
      </c>
      <c r="C133" s="606">
        <f>C36+C$149/(1-C$149)*('Partnership Analysis'!$D$81+C36+C38)</f>
        <v>3550</v>
      </c>
      <c r="D133" s="606">
        <f>D36+D$149/(1-D$149)*('100% Buyout Analysis'!$D$75+D36+D38)</f>
        <v>5500</v>
      </c>
      <c r="E133" s="606">
        <f t="shared" ref="E133:E138" si="14">C133-D133</f>
        <v>-1950</v>
      </c>
      <c r="F133" s="541"/>
      <c r="G133" s="541" t="s">
        <v>2469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" customHeight="1">
      <c r="B134" s="541" t="s">
        <v>2437</v>
      </c>
      <c r="C134" s="677">
        <f>IFERROR(C133/C$34/C$15,0)</f>
        <v>2535.7142857142858</v>
      </c>
      <c r="D134" s="677">
        <f>IFERROR(D133/D$34/D$15,0)</f>
        <v>2750</v>
      </c>
      <c r="E134" s="677">
        <f t="shared" si="14"/>
        <v>-214.28571428571422</v>
      </c>
      <c r="F134" s="541"/>
      <c r="G134" s="541" t="s">
        <v>2438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" customHeight="1">
      <c r="B135" s="541" t="s">
        <v>2077</v>
      </c>
      <c r="C135" s="697">
        <f>IFERROR(C133/C$34/('Partnership Analysis'!$C$47+'Partnership Analysis'!$C$42),0)</f>
        <v>0.63488225041230362</v>
      </c>
      <c r="D135" s="697">
        <f>IFERROR(D133/D$34/('100% Buyout Analysis'!$C$46+'100% Buyout Analysis'!$C$41),0)</f>
        <v>0.68853427157390679</v>
      </c>
      <c r="E135" s="697">
        <f t="shared" si="14"/>
        <v>-5.3652021161603169E-2</v>
      </c>
      <c r="F135" s="541"/>
      <c r="G135" s="541" t="s">
        <v>2439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" customHeight="1">
      <c r="B136" s="541" t="s">
        <v>2440</v>
      </c>
      <c r="C136" s="754">
        <f>IFERROR((C134-'Partnership Analysis'!$C$47)/'Partnership Analysis'!$C$36/C$7,0)</f>
        <v>-5.565673400581379</v>
      </c>
      <c r="D136" s="754">
        <f>IFERROR((D134-'100% Buyout Analysis'!$C$46)/'100% Buyout Analysis'!$C$35/D$7,0)</f>
        <v>-2.9888034581715006</v>
      </c>
      <c r="E136" s="754">
        <f t="shared" si="14"/>
        <v>-2.5768699424098784</v>
      </c>
      <c r="F136" s="541"/>
      <c r="G136" s="541" t="s">
        <v>2441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" customHeight="1">
      <c r="B137" s="541" t="s">
        <v>2442</v>
      </c>
      <c r="C137" s="754">
        <f>IFERROR((C134-'Partnership Analysis'!$C$47)/'Partnership Analysis'!$C$41,0)</f>
        <v>-1.5427557809523811</v>
      </c>
      <c r="D137" s="754">
        <f>IFERROR((D134-'100% Buyout Analysis'!$C$46)/'100% Buyout Analysis'!$C$40,0)</f>
        <v>-0.828470066666667</v>
      </c>
      <c r="E137" s="754">
        <f t="shared" si="14"/>
        <v>-0.71428571428571408</v>
      </c>
      <c r="F137" s="541"/>
      <c r="G137" s="541" t="s">
        <v>2443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" customHeight="1">
      <c r="B138" s="541" t="s">
        <v>2444</v>
      </c>
      <c r="C138" s="698">
        <f>IFERROR((C134/'Partnership Analysis'!$C$47)^(1/C$7)-1,0)</f>
        <v>-3.2974192204116903E-2</v>
      </c>
      <c r="D138" s="698">
        <f>IFERROR((D134/'100% Buyout Analysis'!$C$46)^(1/D$7)-1,0)</f>
        <v>-1.7156115103868941E-2</v>
      </c>
      <c r="E138" s="698">
        <f t="shared" si="14"/>
        <v>-1.5818077100247963E-2</v>
      </c>
      <c r="F138" s="541"/>
      <c r="G138" s="541" t="s">
        <v>2445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3.95" customHeight="1">
      <c r="B139" s="541"/>
      <c r="C139" s="571"/>
      <c r="D139" s="571"/>
      <c r="E139" s="571"/>
      <c r="F139" s="541"/>
      <c r="G139" s="541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" customHeight="1">
      <c r="B140" s="454" t="s">
        <v>2446</v>
      </c>
      <c r="C140" s="622" t="s">
        <v>2343</v>
      </c>
      <c r="D140" s="622" t="s">
        <v>2344</v>
      </c>
      <c r="E140" s="455" t="s">
        <v>1918</v>
      </c>
      <c r="F140" s="541"/>
      <c r="G140" s="541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" customHeight="1">
      <c r="B141" s="541" t="s">
        <v>2447</v>
      </c>
      <c r="C141" s="606">
        <f>C56-C133</f>
        <v>7633.1760856271139</v>
      </c>
      <c r="D141" s="606">
        <f>D56-D133</f>
        <v>10475.965836610165</v>
      </c>
      <c r="E141" s="606">
        <f t="shared" ref="E141:E146" si="15">C141-D141</f>
        <v>-2842.7897509830509</v>
      </c>
      <c r="F141" s="541"/>
      <c r="G141" s="541" t="s">
        <v>2625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" customHeight="1">
      <c r="B142" s="541" t="s">
        <v>2448</v>
      </c>
      <c r="C142" s="677">
        <f>'Partnership Analysis'!$C$47+'Partnership Analysis'!$C$42-C134</f>
        <v>5452.2686325907962</v>
      </c>
      <c r="D142" s="677">
        <f>'100% Buyout Analysis'!$C$46+'100% Buyout Analysis'!$C$41-D134</f>
        <v>5237.9829183050824</v>
      </c>
      <c r="E142" s="677">
        <f t="shared" si="15"/>
        <v>214.28571428571377</v>
      </c>
      <c r="F142" s="541"/>
      <c r="G142" s="541" t="s">
        <v>2449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" customHeight="1">
      <c r="B143" s="541" t="s">
        <v>2450</v>
      </c>
      <c r="C143" s="697">
        <f>C$15-C135</f>
        <v>1.3651177495876965</v>
      </c>
      <c r="D143" s="697">
        <f>D$15-D135</f>
        <v>1.3114657284260933</v>
      </c>
      <c r="E143" s="697">
        <f t="shared" si="15"/>
        <v>5.3652021161603169E-2</v>
      </c>
      <c r="F143" s="541"/>
      <c r="G143" s="541" t="s">
        <v>2451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" customHeight="1">
      <c r="B144" s="541" t="s">
        <v>2452</v>
      </c>
      <c r="C144" s="754">
        <f>'Partnership Analysis'!$C$40-C136</f>
        <v>65.565673400581375</v>
      </c>
      <c r="D144" s="754">
        <f>'100% Buyout Analysis'!$C$39-D136</f>
        <v>62.988803458171503</v>
      </c>
      <c r="E144" s="754">
        <f t="shared" si="15"/>
        <v>2.5768699424098713</v>
      </c>
      <c r="F144" s="541"/>
      <c r="G144" s="541" t="s">
        <v>2733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" customHeight="1">
      <c r="B145" s="541" t="s">
        <v>2453</v>
      </c>
      <c r="C145" s="754">
        <f>'Partnership Analysis'!$C$36-C137</f>
        <v>18.174228775302655</v>
      </c>
      <c r="D145" s="754">
        <f>'100% Buyout Analysis'!$C$35-D137</f>
        <v>17.459943061016943</v>
      </c>
      <c r="E145" s="754">
        <f t="shared" si="15"/>
        <v>0.71428571428571175</v>
      </c>
      <c r="F145" s="541"/>
      <c r="G145" s="541" t="s">
        <v>2454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" customHeight="1">
      <c r="B146" s="541" t="s">
        <v>2455</v>
      </c>
      <c r="C146" s="698">
        <f>IFERROR((('Partnership Analysis'!$C$47+'Partnership Analysis'!$C$42)/'Partnership Analysis'!$C$47)^(1/C$7)-1,0)-C138</f>
        <v>0.24945546243751959</v>
      </c>
      <c r="D146" s="698">
        <f>IFERROR((('100% Buyout Analysis'!$C$46+'100% Buyout Analysis'!$C$41)/'100% Buyout Analysis'!$C$46)^(1/D$7)-1,0)-D138</f>
        <v>0.23363738533727163</v>
      </c>
      <c r="E146" s="698">
        <f t="shared" si="15"/>
        <v>1.5818077100247963E-2</v>
      </c>
      <c r="F146" s="541"/>
      <c r="G146" s="541" t="s">
        <v>2396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3.95" customHeight="1">
      <c r="B147" s="2"/>
      <c r="C147" s="2"/>
      <c r="D147" s="2"/>
      <c r="E147" s="80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B148" s="454" t="s">
        <v>2397</v>
      </c>
      <c r="C148" s="622" t="s">
        <v>2343</v>
      </c>
      <c r="D148" s="622" t="s">
        <v>2344</v>
      </c>
      <c r="E148" s="455" t="s">
        <v>1918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541"/>
      <c r="B149" s="541" t="s">
        <v>2354</v>
      </c>
      <c r="C149" s="710">
        <f>'Partnership Analysis'!$C$193</f>
        <v>2.8182701652089408E-2</v>
      </c>
      <c r="D149" s="710">
        <f>'100% Buyout Analysis'!$C$178</f>
        <v>4.7619047619047616E-2</v>
      </c>
      <c r="E149" s="698">
        <f>C149-D149</f>
        <v>-1.9436345966958209E-2</v>
      </c>
      <c r="F149" s="541"/>
      <c r="G149" s="541"/>
      <c r="H149" s="541"/>
      <c r="I149" s="541"/>
      <c r="J149" s="2"/>
      <c r="K149" s="2"/>
      <c r="L149" s="2"/>
      <c r="M149" s="2"/>
      <c r="N149" s="2"/>
      <c r="O149" s="2"/>
      <c r="P149" s="2"/>
      <c r="Q149" s="2"/>
    </row>
    <row r="150" spans="1:17">
      <c r="A150" s="541"/>
      <c r="B150" s="541" t="s">
        <v>2330</v>
      </c>
      <c r="C150" s="710">
        <f>'Partnership Analysis'!$D$193</f>
        <v>2.6773566569484937E-2</v>
      </c>
      <c r="D150" s="710">
        <f>'100% Buyout Analysis'!$D$178</f>
        <v>4.523809523809523E-2</v>
      </c>
      <c r="E150" s="698">
        <f>C150-D150</f>
        <v>-1.8464528668610293E-2</v>
      </c>
      <c r="F150" s="541"/>
      <c r="G150" s="541"/>
      <c r="H150" s="541"/>
      <c r="I150" s="541"/>
      <c r="J150" s="2"/>
      <c r="K150" s="2"/>
      <c r="L150" s="2"/>
      <c r="M150" s="2"/>
      <c r="N150" s="2"/>
      <c r="O150" s="2"/>
      <c r="P150" s="2"/>
      <c r="Q150" s="2"/>
    </row>
    <row r="151" spans="1:17">
      <c r="A151" s="541"/>
      <c r="B151" s="541" t="s">
        <v>2355</v>
      </c>
      <c r="C151" s="698">
        <f>1-C149</f>
        <v>0.97181729834791064</v>
      </c>
      <c r="D151" s="698">
        <f>1-D149</f>
        <v>0.95238095238095233</v>
      </c>
      <c r="E151" s="698">
        <f>C151-D151</f>
        <v>1.9436345966958313E-2</v>
      </c>
      <c r="F151" s="541"/>
      <c r="G151" s="541" t="s">
        <v>2356</v>
      </c>
      <c r="H151" s="541"/>
      <c r="I151" s="541"/>
      <c r="J151" s="2"/>
      <c r="K151" s="2"/>
      <c r="L151" s="2"/>
      <c r="M151" s="2"/>
      <c r="N151" s="2"/>
      <c r="O151" s="2"/>
      <c r="P151" s="2"/>
      <c r="Q151" s="2"/>
    </row>
    <row r="152" spans="1:17">
      <c r="A152" s="541"/>
      <c r="B152" s="541" t="s">
        <v>2357</v>
      </c>
      <c r="C152" s="698">
        <f>C151*(1-C$8)</f>
        <v>0.92322643343051503</v>
      </c>
      <c r="D152" s="698">
        <f>D151*(1-D$8)</f>
        <v>0.90476190476190466</v>
      </c>
      <c r="E152" s="698">
        <f>C152-D152</f>
        <v>1.8464528668610369E-2</v>
      </c>
      <c r="F152" s="541"/>
      <c r="G152" s="541" t="s">
        <v>2358</v>
      </c>
      <c r="H152" s="541"/>
      <c r="I152" s="541"/>
      <c r="J152" s="2"/>
      <c r="K152" s="2"/>
      <c r="L152" s="2"/>
      <c r="M152" s="2"/>
      <c r="N152" s="2"/>
      <c r="O152" s="2"/>
      <c r="P152" s="2"/>
      <c r="Q152" s="2"/>
    </row>
  </sheetData>
  <conditionalFormatting sqref="B32:E42 B44:E50 B52:E68 B71:E81 B83:E93 B95:E106 B108:E115 B117:E123 B125:E131 B133:E139 B141:E147 B149:E152 B7:E30">
    <cfRule type="expression" dxfId="92" priority="3">
      <formula>$I$3=1</formula>
    </cfRule>
  </conditionalFormatting>
  <conditionalFormatting sqref="C40:D40">
    <cfRule type="expression" dxfId="91" priority="2">
      <formula>ROUND(C40,0)&lt;&gt;0</formula>
    </cfRule>
  </conditionalFormatting>
  <pageMargins left="0.7" right="0.7" top="0.75" bottom="0.75" header="0.3" footer="0.3"/>
  <pageSetup scale="7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="160" zoomScaleNormal="100" zoomScaleSheetLayoutView="160" workbookViewId="0">
      <selection activeCell="C19" sqref="C19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1"/>
      <c r="B1" s="541"/>
      <c r="C1" s="541"/>
      <c r="D1" s="541"/>
      <c r="E1" s="541"/>
      <c r="F1" s="541"/>
    </row>
    <row r="2" spans="1:8" ht="16.5">
      <c r="A2" s="541"/>
      <c r="B2" s="566" t="str">
        <f>Cover!$B$24</f>
        <v>Keystone Bookkeepers</v>
      </c>
      <c r="C2" s="541"/>
      <c r="D2" s="541"/>
      <c r="E2" s="541"/>
      <c r="F2" s="541"/>
      <c r="G2" s="2"/>
      <c r="H2" s="2"/>
    </row>
    <row r="3" spans="1:8">
      <c r="A3" s="541"/>
      <c r="B3" s="567" t="s">
        <v>2179</v>
      </c>
      <c r="C3" s="568"/>
      <c r="D3" s="568"/>
      <c r="E3" s="541"/>
      <c r="G3" s="541" t="s">
        <v>276</v>
      </c>
      <c r="H3" s="603">
        <v>0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1"/>
      <c r="B5" s="370" t="s">
        <v>2080</v>
      </c>
      <c r="C5" s="371" t="s">
        <v>1197</v>
      </c>
      <c r="D5" s="541"/>
      <c r="E5" s="541"/>
      <c r="F5" s="370" t="s">
        <v>2103</v>
      </c>
      <c r="G5" s="2"/>
    </row>
    <row r="6" spans="1:8">
      <c r="A6" s="541"/>
      <c r="B6" s="569" t="s">
        <v>2076</v>
      </c>
      <c r="C6" s="569"/>
      <c r="D6" s="541"/>
      <c r="E6" s="541"/>
      <c r="F6" s="541"/>
      <c r="G6" s="2"/>
    </row>
    <row r="7" spans="1:8" s="2" customFormat="1" ht="14.25">
      <c r="A7" s="541"/>
      <c r="B7" s="541" t="s">
        <v>2167</v>
      </c>
      <c r="C7" s="701">
        <f>'Offer Comparison'!$C$17</f>
        <v>0.3</v>
      </c>
      <c r="D7" s="541"/>
      <c r="E7" s="541"/>
      <c r="F7" s="541" t="s">
        <v>2671</v>
      </c>
    </row>
    <row r="8" spans="1:8" s="2" customFormat="1" ht="14.25">
      <c r="A8" s="541"/>
      <c r="B8" s="541" t="s">
        <v>2325</v>
      </c>
      <c r="C8" s="701">
        <f>'Offer Comparison'!$C$8</f>
        <v>0.05</v>
      </c>
      <c r="D8" s="541"/>
      <c r="E8" s="541"/>
      <c r="F8" s="541" t="s">
        <v>2672</v>
      </c>
    </row>
    <row r="9" spans="1:8" s="2" customFormat="1" ht="14.25">
      <c r="A9" s="541"/>
      <c r="B9" s="541" t="s">
        <v>2057</v>
      </c>
      <c r="C9" s="700">
        <f>'Offer Comparison'!$C$7</f>
        <v>5</v>
      </c>
      <c r="D9" s="541"/>
      <c r="E9" s="541"/>
      <c r="F9" s="541" t="s">
        <v>2673</v>
      </c>
    </row>
    <row r="10" spans="1:8" s="2" customFormat="1" ht="14.25">
      <c r="A10" s="541"/>
      <c r="B10" s="541" t="s">
        <v>2097</v>
      </c>
      <c r="C10" s="702">
        <f>'Offer Comparison'!$C$18</f>
        <v>261</v>
      </c>
      <c r="D10" s="541"/>
      <c r="E10" s="541"/>
      <c r="F10" s="85" t="s">
        <v>2674</v>
      </c>
    </row>
    <row r="11" spans="1:8" s="2" customFormat="1" ht="14.25">
      <c r="A11" s="541"/>
      <c r="B11" s="541" t="s">
        <v>2088</v>
      </c>
      <c r="C11" s="606">
        <f>C10*12</f>
        <v>3132</v>
      </c>
      <c r="D11" s="541"/>
      <c r="E11" s="541"/>
      <c r="F11" s="85"/>
    </row>
    <row r="12" spans="1:8" s="2" customFormat="1" ht="14.25">
      <c r="A12" s="541"/>
      <c r="B12" s="541" t="s">
        <v>2086</v>
      </c>
      <c r="C12" s="607">
        <f>IFERROR(C191/C11,0)</f>
        <v>15.964240102171138</v>
      </c>
      <c r="D12" s="541"/>
      <c r="E12" s="541"/>
      <c r="F12" s="541" t="s">
        <v>2675</v>
      </c>
    </row>
    <row r="13" spans="1:8" s="2" customFormat="1" ht="14.25">
      <c r="A13" s="541"/>
      <c r="B13" s="541" t="s">
        <v>2087</v>
      </c>
      <c r="C13" s="608">
        <f>C12</f>
        <v>15.964240102171138</v>
      </c>
      <c r="D13" s="541"/>
      <c r="E13" s="541"/>
      <c r="F13" s="541" t="s">
        <v>2632</v>
      </c>
    </row>
    <row r="14" spans="1:8" s="2" customFormat="1" ht="14.25">
      <c r="A14" s="541"/>
      <c r="B14" s="541" t="s">
        <v>2098</v>
      </c>
      <c r="C14" s="53">
        <f>'Offer Comparison'!$C$19</f>
        <v>325</v>
      </c>
      <c r="D14" s="541"/>
      <c r="E14" s="541"/>
      <c r="F14" s="85" t="s">
        <v>2676</v>
      </c>
    </row>
    <row r="15" spans="1:8" s="2" customFormat="1" ht="14.25">
      <c r="A15" s="541"/>
      <c r="B15" s="541" t="s">
        <v>2078</v>
      </c>
      <c r="C15" s="609">
        <f>C11/C14</f>
        <v>9.6369230769230771</v>
      </c>
      <c r="D15" s="541"/>
      <c r="E15" s="541"/>
      <c r="F15" s="541"/>
    </row>
    <row r="16" spans="1:8" s="2" customFormat="1" ht="14.25">
      <c r="A16" s="541"/>
      <c r="B16" s="541" t="s">
        <v>2079</v>
      </c>
      <c r="C16" s="53">
        <f>'Offer Comparison'!$C$20</f>
        <v>65</v>
      </c>
      <c r="D16" s="541"/>
      <c r="E16" s="541"/>
      <c r="F16" s="85" t="s">
        <v>2677</v>
      </c>
    </row>
    <row r="17" spans="1:7" s="2" customFormat="1" ht="14.25">
      <c r="A17" s="541"/>
      <c r="B17" s="576" t="s">
        <v>2083</v>
      </c>
      <c r="C17" s="593">
        <f>C16*$C$9</f>
        <v>325</v>
      </c>
      <c r="D17" s="541"/>
      <c r="E17" s="541"/>
      <c r="F17" s="541"/>
    </row>
    <row r="18" spans="1:7" s="2" customFormat="1" ht="14.25">
      <c r="A18" s="541"/>
      <c r="B18" s="587" t="s">
        <v>2085</v>
      </c>
      <c r="C18" s="590">
        <f>C17*C15</f>
        <v>3132</v>
      </c>
      <c r="D18" s="541"/>
      <c r="E18" s="541"/>
      <c r="F18" s="541"/>
    </row>
    <row r="19" spans="1:7" s="2" customFormat="1" ht="14.25">
      <c r="A19" s="541"/>
      <c r="B19" s="591" t="str">
        <f>"Check - "&amp;$C$9&amp;" Year Topkey Valuation Growth"</f>
        <v>Check - 5 Year Topkey Valuation Growth</v>
      </c>
      <c r="C19" s="676">
        <f>IFERROR(D81/C81-1,0)</f>
        <v>1.0131712259371835</v>
      </c>
      <c r="D19" s="541"/>
      <c r="E19" s="541"/>
      <c r="F19" s="541" t="s">
        <v>2678</v>
      </c>
    </row>
    <row r="20" spans="1:7" ht="3.95" customHeight="1">
      <c r="A20" s="541"/>
      <c r="B20" s="541"/>
      <c r="C20" s="575"/>
      <c r="D20" s="541"/>
      <c r="E20" s="541"/>
      <c r="F20" s="541"/>
      <c r="G20" s="2"/>
    </row>
    <row r="21" spans="1:7">
      <c r="A21" s="541"/>
      <c r="B21" s="569" t="s">
        <v>2081</v>
      </c>
      <c r="C21" s="569"/>
      <c r="D21" s="541"/>
      <c r="E21" s="541"/>
      <c r="F21" s="541"/>
      <c r="G21" s="2"/>
    </row>
    <row r="22" spans="1:7" ht="15" customHeight="1">
      <c r="A22" s="541"/>
      <c r="B22" s="541" t="s">
        <v>2027</v>
      </c>
      <c r="C22" s="721">
        <f>'Offer Comparison'!$C$13</f>
        <v>1</v>
      </c>
      <c r="D22" s="541"/>
      <c r="E22" s="541"/>
      <c r="F22" s="541" t="s">
        <v>2679</v>
      </c>
      <c r="G22" s="2"/>
    </row>
    <row r="23" spans="1:7" ht="15" customHeight="1">
      <c r="A23" s="541"/>
      <c r="B23" s="541" t="s">
        <v>2109</v>
      </c>
      <c r="C23" s="721">
        <f>'Offer Comparison'!$C$14</f>
        <v>1.25</v>
      </c>
      <c r="D23" s="541"/>
      <c r="E23" s="541"/>
      <c r="F23" s="541" t="s">
        <v>2680</v>
      </c>
      <c r="G23" s="2"/>
    </row>
    <row r="24" spans="1:7">
      <c r="A24" s="541"/>
      <c r="B24" s="541" t="s">
        <v>2073</v>
      </c>
      <c r="C24" s="581">
        <f>'Offer Comparison'!$C$23</f>
        <v>16.631472994350275</v>
      </c>
      <c r="D24" s="2"/>
      <c r="E24" s="541"/>
      <c r="F24" s="541" t="s">
        <v>2681</v>
      </c>
      <c r="G24" s="2"/>
    </row>
    <row r="25" spans="1:7">
      <c r="A25" s="541"/>
      <c r="B25" s="541" t="s">
        <v>2121</v>
      </c>
      <c r="C25" s="385">
        <f>'Offer Comparison'!$C$25</f>
        <v>3</v>
      </c>
      <c r="D25" s="2"/>
      <c r="E25" s="541"/>
      <c r="F25" s="541" t="s">
        <v>2682</v>
      </c>
      <c r="G25" s="2"/>
    </row>
    <row r="26" spans="1:7">
      <c r="A26" s="541"/>
      <c r="B26" s="576" t="s">
        <v>2072</v>
      </c>
      <c r="C26" s="613">
        <f>C25*12</f>
        <v>36</v>
      </c>
      <c r="D26" s="541"/>
      <c r="E26" s="541"/>
      <c r="F26" s="541" t="s">
        <v>2122</v>
      </c>
      <c r="G26" s="2"/>
    </row>
    <row r="27" spans="1:7">
      <c r="A27" s="541"/>
      <c r="B27" s="587" t="s">
        <v>2083</v>
      </c>
      <c r="C27" s="588">
        <f>C26*$C$9</f>
        <v>180</v>
      </c>
      <c r="D27" s="541"/>
      <c r="E27" s="541"/>
      <c r="F27" s="541"/>
      <c r="G27" s="2"/>
    </row>
    <row r="28" spans="1:7">
      <c r="A28" s="541"/>
      <c r="B28" s="586" t="s">
        <v>2085</v>
      </c>
      <c r="C28" s="589">
        <f>C27*C24</f>
        <v>2993.6651389830495</v>
      </c>
      <c r="D28" s="541"/>
      <c r="E28" s="541"/>
      <c r="F28" s="541"/>
      <c r="G28" s="2"/>
    </row>
    <row r="29" spans="1:7" ht="3.95" customHeight="1">
      <c r="A29" s="541"/>
      <c r="B29" s="2"/>
      <c r="C29" s="2"/>
      <c r="D29" s="541"/>
      <c r="E29" s="541"/>
      <c r="F29" s="541"/>
      <c r="G29" s="2"/>
    </row>
    <row r="30" spans="1:7" ht="12.75" customHeight="1">
      <c r="A30" s="541"/>
      <c r="B30" s="569" t="s">
        <v>2082</v>
      </c>
      <c r="C30" s="569"/>
      <c r="D30" s="541"/>
      <c r="E30" s="541"/>
      <c r="F30" s="541"/>
      <c r="G30" s="2"/>
    </row>
    <row r="31" spans="1:7" ht="12.75" customHeight="1">
      <c r="A31" s="541"/>
      <c r="B31" s="541" t="s">
        <v>2077</v>
      </c>
      <c r="C31" s="721">
        <f>'Offer Comparison'!$C$15</f>
        <v>2</v>
      </c>
      <c r="D31" s="541"/>
      <c r="E31" s="541"/>
      <c r="F31" s="541" t="s">
        <v>2683</v>
      </c>
      <c r="G31" s="2"/>
    </row>
    <row r="32" spans="1:7" ht="12.75" customHeight="1">
      <c r="A32" s="541"/>
      <c r="B32" s="541" t="s">
        <v>2099</v>
      </c>
      <c r="C32" s="47">
        <f>'Offer Comparison'!$C$27</f>
        <v>240</v>
      </c>
      <c r="D32" s="541"/>
      <c r="E32" s="541"/>
      <c r="F32" s="541" t="s">
        <v>2684</v>
      </c>
      <c r="G32" s="2"/>
    </row>
    <row r="33" spans="1:7" ht="3.95" customHeight="1">
      <c r="A33" s="541"/>
      <c r="B33" s="541"/>
      <c r="C33" s="582"/>
      <c r="D33" s="541"/>
      <c r="E33" s="541"/>
      <c r="F33" s="541"/>
      <c r="G33" s="2"/>
    </row>
    <row r="34" spans="1:7" s="583" customFormat="1" ht="12.75" customHeight="1">
      <c r="A34" s="541"/>
      <c r="B34" s="612" t="str">
        <f>+B24</f>
        <v>Avg. Revenue Per Client</v>
      </c>
      <c r="C34" s="584">
        <f>+C24</f>
        <v>16.631472994350275</v>
      </c>
      <c r="D34" s="541"/>
      <c r="E34" s="541"/>
      <c r="F34" s="541"/>
      <c r="G34" s="612"/>
    </row>
    <row r="35" spans="1:7" s="583" customFormat="1" ht="12.75" customHeight="1">
      <c r="A35" s="541"/>
      <c r="B35" s="614" t="s">
        <v>2232</v>
      </c>
      <c r="C35" s="581">
        <f>'Offer Comparison'!$C$28</f>
        <v>0</v>
      </c>
      <c r="D35" s="541"/>
      <c r="E35" s="541"/>
      <c r="F35" s="541" t="s">
        <v>2685</v>
      </c>
      <c r="G35" s="612"/>
    </row>
    <row r="36" spans="1:7" s="583" customFormat="1" ht="12.75" customHeight="1">
      <c r="A36" s="541"/>
      <c r="B36" s="60" t="s">
        <v>2075</v>
      </c>
      <c r="C36" s="383">
        <f>+C34+C35</f>
        <v>16.631472994350275</v>
      </c>
      <c r="D36" s="541"/>
      <c r="E36" s="541"/>
      <c r="F36" s="541"/>
      <c r="G36" s="612"/>
    </row>
    <row r="37" spans="1:7" s="583" customFormat="1" ht="3.95" customHeight="1">
      <c r="A37" s="541"/>
      <c r="B37" s="612"/>
      <c r="C37" s="612"/>
      <c r="D37" s="541"/>
      <c r="E37" s="541"/>
      <c r="F37" s="541"/>
      <c r="G37" s="612"/>
    </row>
    <row r="38" spans="1:7" s="583" customFormat="1" ht="12.75" customHeight="1">
      <c r="A38" s="541"/>
      <c r="B38" s="612" t="str">
        <f>+B26</f>
        <v>Annual Net Client Wins</v>
      </c>
      <c r="C38" s="83">
        <f>+C26</f>
        <v>36</v>
      </c>
      <c r="D38" s="541"/>
      <c r="E38" s="541"/>
      <c r="F38" s="541"/>
      <c r="G38" s="612"/>
    </row>
    <row r="39" spans="1:7" s="583" customFormat="1" ht="12.75" customHeight="1">
      <c r="A39" s="541"/>
      <c r="B39" s="614" t="s">
        <v>2074</v>
      </c>
      <c r="C39" s="53">
        <f>'Offer Comparison'!$C$29</f>
        <v>24</v>
      </c>
      <c r="D39" s="541"/>
      <c r="E39" s="541"/>
      <c r="F39" s="85" t="s">
        <v>2686</v>
      </c>
      <c r="G39" s="612"/>
    </row>
    <row r="40" spans="1:7" s="583" customFormat="1" ht="12.75" customHeight="1">
      <c r="A40" s="541"/>
      <c r="B40" s="104" t="s">
        <v>2084</v>
      </c>
      <c r="C40" s="585">
        <f>SUM(C38:C39)</f>
        <v>60</v>
      </c>
      <c r="D40" s="541"/>
      <c r="E40" s="541"/>
      <c r="F40" s="541"/>
      <c r="G40" s="612"/>
    </row>
    <row r="41" spans="1:7">
      <c r="A41" s="541"/>
      <c r="B41" s="587" t="s">
        <v>2083</v>
      </c>
      <c r="C41" s="588">
        <f>C40*$C$9</f>
        <v>300</v>
      </c>
      <c r="D41" s="541"/>
      <c r="E41" s="541"/>
      <c r="F41" s="541"/>
      <c r="G41" s="2"/>
    </row>
    <row r="42" spans="1:7">
      <c r="A42" s="541"/>
      <c r="B42" s="587" t="s">
        <v>2085</v>
      </c>
      <c r="C42" s="590">
        <f>C41*C36</f>
        <v>4989.4418983050828</v>
      </c>
      <c r="D42" s="541"/>
      <c r="E42" s="541"/>
      <c r="F42" s="541"/>
      <c r="G42" s="2"/>
    </row>
    <row r="43" spans="1:7">
      <c r="A43" s="541"/>
      <c r="B43" s="591" t="s">
        <v>2089</v>
      </c>
      <c r="C43" s="592">
        <f>C42-C28</f>
        <v>1995.7767593220333</v>
      </c>
      <c r="D43" s="541"/>
      <c r="E43" s="541"/>
      <c r="F43" s="541"/>
      <c r="G43" s="2"/>
    </row>
    <row r="44" spans="1:7" ht="3.95" customHeight="1">
      <c r="A44" s="541"/>
      <c r="B44" s="452"/>
      <c r="C44" s="430"/>
      <c r="D44" s="452"/>
      <c r="E44" s="541"/>
      <c r="F44" s="452"/>
      <c r="G44" s="2"/>
    </row>
    <row r="45" spans="1:7" ht="15" customHeight="1">
      <c r="A45" s="541"/>
      <c r="B45" s="569" t="s">
        <v>2298</v>
      </c>
      <c r="C45" s="569"/>
      <c r="D45" s="541"/>
      <c r="F45" s="452"/>
      <c r="G45" s="2"/>
    </row>
    <row r="46" spans="1:7" ht="15" customHeight="1">
      <c r="A46" s="541"/>
      <c r="B46" s="452" t="s">
        <v>2254</v>
      </c>
      <c r="C46" s="435">
        <v>3</v>
      </c>
      <c r="D46" s="452"/>
      <c r="F46" s="452" t="s">
        <v>2687</v>
      </c>
      <c r="G46" s="2"/>
    </row>
    <row r="47" spans="1:7" ht="15" customHeight="1">
      <c r="A47" s="541"/>
      <c r="B47" s="452" t="s">
        <v>2255</v>
      </c>
      <c r="C47" s="429">
        <f>C184</f>
        <v>2998.5410200000001</v>
      </c>
      <c r="D47" s="452"/>
      <c r="F47" s="452" t="s">
        <v>2688</v>
      </c>
      <c r="G47" s="2"/>
    </row>
    <row r="48" spans="1:7" ht="15" customHeight="1">
      <c r="A48" s="541"/>
      <c r="B48" s="452" t="s">
        <v>2311</v>
      </c>
      <c r="C48" s="430">
        <f>C47+C42*(C46-(C57-1)/2/12)/C9</f>
        <v>5909.048794011298</v>
      </c>
      <c r="D48" s="452"/>
      <c r="F48" s="452" t="s">
        <v>2312</v>
      </c>
      <c r="G48" s="2"/>
    </row>
    <row r="49" spans="1:7" ht="15" customHeight="1">
      <c r="A49" s="541"/>
      <c r="B49" s="559" t="s">
        <v>2256</v>
      </c>
      <c r="C49" s="633">
        <v>1</v>
      </c>
      <c r="D49" s="452"/>
      <c r="F49" s="452" t="s">
        <v>2262</v>
      </c>
      <c r="G49" s="2"/>
    </row>
    <row r="50" spans="1:7" ht="15" customHeight="1">
      <c r="A50" s="541"/>
      <c r="B50" s="657" t="s">
        <v>2313</v>
      </c>
      <c r="C50" s="661">
        <f>C48*C49</f>
        <v>5909.048794011298</v>
      </c>
      <c r="D50" s="452"/>
      <c r="F50" s="452"/>
      <c r="G50" s="2"/>
    </row>
    <row r="51" spans="1:7" ht="15" customHeight="1">
      <c r="A51" s="541"/>
      <c r="B51" s="452" t="s">
        <v>2257</v>
      </c>
      <c r="C51" s="633">
        <v>0.8</v>
      </c>
      <c r="D51" s="452"/>
      <c r="F51" s="452" t="s">
        <v>2304</v>
      </c>
      <c r="G51" s="2"/>
    </row>
    <row r="52" spans="1:7" ht="15" customHeight="1">
      <c r="A52" s="541"/>
      <c r="B52" s="452" t="s">
        <v>2299</v>
      </c>
      <c r="C52" s="46">
        <v>0</v>
      </c>
      <c r="D52" s="452"/>
      <c r="F52" s="452" t="s">
        <v>2316</v>
      </c>
      <c r="G52" s="2"/>
    </row>
    <row r="53" spans="1:7" ht="15" customHeight="1">
      <c r="A53" s="541"/>
      <c r="B53" s="452" t="s">
        <v>2300</v>
      </c>
      <c r="C53" s="618">
        <v>0.5</v>
      </c>
      <c r="D53" s="452"/>
      <c r="F53" s="452" t="s">
        <v>2306</v>
      </c>
      <c r="G53" s="2"/>
    </row>
    <row r="54" spans="1:7" ht="15" customHeight="1">
      <c r="A54" s="541"/>
      <c r="B54" s="452" t="s">
        <v>2301</v>
      </c>
      <c r="C54" s="618">
        <v>1.5</v>
      </c>
      <c r="D54" s="452"/>
      <c r="F54" s="452" t="s">
        <v>2646</v>
      </c>
      <c r="G54" s="2"/>
    </row>
    <row r="55" spans="1:7" ht="15" customHeight="1">
      <c r="A55" s="541"/>
      <c r="B55" s="452" t="s">
        <v>2302</v>
      </c>
      <c r="C55" s="616">
        <f>IF(C49&lt;C51,0,MIN(C54,C53+(1-C53)*(C49-C51)/(1-C51)))</f>
        <v>1</v>
      </c>
      <c r="D55" s="452"/>
      <c r="F55" s="452" t="s">
        <v>2307</v>
      </c>
      <c r="G55" s="2"/>
    </row>
    <row r="56" spans="1:7" ht="15" customHeight="1">
      <c r="A56" s="541"/>
      <c r="B56" s="452" t="s">
        <v>2303</v>
      </c>
      <c r="C56" s="154">
        <f>C52*C54</f>
        <v>0</v>
      </c>
      <c r="D56" s="452"/>
      <c r="F56" s="452" t="s">
        <v>2308</v>
      </c>
      <c r="G56" s="2"/>
    </row>
    <row r="57" spans="1:7" ht="15" customHeight="1">
      <c r="A57" s="541"/>
      <c r="B57" s="541" t="s">
        <v>2309</v>
      </c>
      <c r="C57" s="82">
        <v>3</v>
      </c>
      <c r="D57" s="452"/>
      <c r="F57" s="452" t="s">
        <v>2310</v>
      </c>
      <c r="G57" s="2"/>
    </row>
    <row r="58" spans="1:7" ht="15" customHeight="1">
      <c r="A58" s="541"/>
      <c r="B58" s="521" t="s">
        <v>2258</v>
      </c>
      <c r="C58" s="527">
        <f>C52*C55</f>
        <v>0</v>
      </c>
      <c r="D58" s="453"/>
      <c r="F58" s="452" t="s">
        <v>2689</v>
      </c>
      <c r="G58" s="2"/>
    </row>
    <row r="59" spans="1:7" ht="15" customHeight="1">
      <c r="A59" s="541"/>
      <c r="B59" s="452" t="s">
        <v>2259</v>
      </c>
      <c r="C59" s="633">
        <v>0.7</v>
      </c>
      <c r="D59" s="452"/>
      <c r="F59" s="452" t="s">
        <v>2263</v>
      </c>
      <c r="G59" s="2"/>
    </row>
    <row r="60" spans="1:7" ht="15" customHeight="1">
      <c r="A60" s="541"/>
      <c r="B60" s="452" t="s">
        <v>2260</v>
      </c>
      <c r="C60" s="529">
        <v>0.15</v>
      </c>
      <c r="D60" s="452"/>
      <c r="F60" s="452" t="s">
        <v>2263</v>
      </c>
      <c r="G60" s="2"/>
    </row>
    <row r="61" spans="1:7" ht="15" customHeight="1">
      <c r="A61" s="541"/>
      <c r="B61" s="415" t="s">
        <v>2261</v>
      </c>
      <c r="C61" s="652">
        <f>C58*C59/(1+C60)^C46</f>
        <v>0</v>
      </c>
      <c r="D61" s="415"/>
      <c r="F61" s="452" t="s">
        <v>2264</v>
      </c>
      <c r="G61" s="2"/>
    </row>
    <row r="62" spans="1:7" s="583" customFormat="1" ht="3.95" customHeight="1">
      <c r="A62" s="541"/>
      <c r="B62" s="612"/>
      <c r="C62" s="612"/>
      <c r="D62" s="541"/>
      <c r="E62" s="541"/>
      <c r="F62" s="452"/>
      <c r="G62" s="612"/>
    </row>
    <row r="63" spans="1:7" s="583" customFormat="1" ht="15" customHeight="1">
      <c r="A63" s="541"/>
      <c r="B63" s="454" t="s">
        <v>2351</v>
      </c>
      <c r="C63" s="455" t="str">
        <f>C$183</f>
        <v>Today</v>
      </c>
      <c r="D63" s="455" t="s">
        <v>1861</v>
      </c>
      <c r="E63" s="452"/>
      <c r="F63" s="452"/>
      <c r="G63" s="612"/>
    </row>
    <row r="64" spans="1:7" s="583" customFormat="1" ht="15" customHeight="1">
      <c r="A64" s="541"/>
      <c r="B64" s="452" t="s">
        <v>2055</v>
      </c>
      <c r="C64" s="429">
        <f>$C$189</f>
        <v>650</v>
      </c>
      <c r="D64" s="528">
        <f t="shared" ref="D64:D69" si="0">IFERROR(C64/C$67,0)</f>
        <v>0.21666666666666667</v>
      </c>
      <c r="E64" s="452"/>
      <c r="F64" s="452" t="s">
        <v>2517</v>
      </c>
      <c r="G64" s="612"/>
    </row>
    <row r="65" spans="1:7" s="583" customFormat="1" ht="15" customHeight="1">
      <c r="A65" s="541"/>
      <c r="B65" s="559" t="s">
        <v>2268</v>
      </c>
      <c r="C65" s="433">
        <f>$C$190</f>
        <v>1450</v>
      </c>
      <c r="D65" s="528">
        <f t="shared" si="0"/>
        <v>0.48333333333333334</v>
      </c>
      <c r="E65" s="452"/>
      <c r="F65" s="452" t="s">
        <v>2518</v>
      </c>
      <c r="G65" s="612"/>
    </row>
    <row r="66" spans="1:7" s="583" customFormat="1" ht="15" customHeight="1">
      <c r="A66" s="541"/>
      <c r="B66" s="559" t="s">
        <v>2519</v>
      </c>
      <c r="C66" s="430">
        <f>$C$185*$C$186</f>
        <v>900</v>
      </c>
      <c r="D66" s="528">
        <f t="shared" si="0"/>
        <v>0.3</v>
      </c>
      <c r="E66" s="452"/>
      <c r="F66" s="452" t="s">
        <v>2520</v>
      </c>
      <c r="G66" s="612"/>
    </row>
    <row r="67" spans="1:7" s="583" customFormat="1" ht="15" customHeight="1">
      <c r="A67" s="541"/>
      <c r="B67" s="773" t="s">
        <v>2507</v>
      </c>
      <c r="C67" s="441">
        <f>SUM(C64:C66)</f>
        <v>3000</v>
      </c>
      <c r="D67" s="774">
        <f t="shared" si="0"/>
        <v>1</v>
      </c>
      <c r="E67" s="452"/>
      <c r="F67" s="452" t="s">
        <v>2521</v>
      </c>
      <c r="G67" s="612"/>
    </row>
    <row r="68" spans="1:7" s="583" customFormat="1" ht="15" customHeight="1">
      <c r="A68" s="541"/>
      <c r="B68" s="559" t="s">
        <v>2508</v>
      </c>
      <c r="C68" s="433">
        <f>$C$58</f>
        <v>0</v>
      </c>
      <c r="D68" s="528">
        <f t="shared" si="0"/>
        <v>0</v>
      </c>
      <c r="E68" s="452"/>
      <c r="F68" s="452" t="s">
        <v>2522</v>
      </c>
      <c r="G68" s="612"/>
    </row>
    <row r="69" spans="1:7" s="583" customFormat="1" ht="15" customHeight="1">
      <c r="A69" s="541"/>
      <c r="B69" s="775" t="s">
        <v>2510</v>
      </c>
      <c r="C69" s="776">
        <f>C67+C68</f>
        <v>3000</v>
      </c>
      <c r="D69" s="777">
        <f t="shared" si="0"/>
        <v>1</v>
      </c>
      <c r="E69" s="452"/>
      <c r="F69" s="452"/>
      <c r="G69" s="612"/>
    </row>
    <row r="70" spans="1:7" s="583" customFormat="1" ht="3.95" customHeight="1">
      <c r="A70" s="541"/>
      <c r="B70" s="452"/>
      <c r="C70" s="452"/>
      <c r="D70" s="452"/>
      <c r="E70" s="452"/>
      <c r="F70" s="452"/>
      <c r="G70" s="612"/>
    </row>
    <row r="71" spans="1:7">
      <c r="A71" s="541"/>
      <c r="B71" s="370" t="s">
        <v>2003</v>
      </c>
      <c r="C71" s="371" t="str">
        <f>C$183</f>
        <v>Today</v>
      </c>
      <c r="D71" s="371" t="str">
        <f>"Year "&amp;$C$9</f>
        <v>Year 5</v>
      </c>
      <c r="E71" s="541"/>
      <c r="F71" s="452"/>
      <c r="G71" s="2"/>
    </row>
    <row r="72" spans="1:7">
      <c r="A72" s="541"/>
      <c r="B72" s="541" t="s">
        <v>2005</v>
      </c>
      <c r="C72" s="166">
        <f>ROUND(C184*C22,-1)</f>
        <v>3000</v>
      </c>
      <c r="D72" s="542">
        <f>(C184+C28)*$C$23</f>
        <v>7490.2576987288121</v>
      </c>
      <c r="E72" s="541"/>
      <c r="F72" s="452" t="s">
        <v>2649</v>
      </c>
      <c r="G72" s="2"/>
    </row>
    <row r="73" spans="1:7">
      <c r="A73" s="541"/>
      <c r="B73" s="541" t="s">
        <v>2006</v>
      </c>
      <c r="C73" s="618">
        <v>1</v>
      </c>
      <c r="D73" s="543">
        <f>$C$73</f>
        <v>1</v>
      </c>
      <c r="E73" s="541"/>
      <c r="F73" s="452"/>
      <c r="G73" s="2"/>
    </row>
    <row r="74" spans="1:7">
      <c r="A74" s="541"/>
      <c r="B74" s="537" t="s">
        <v>2058</v>
      </c>
      <c r="C74" s="551">
        <f>C72*C73</f>
        <v>3000</v>
      </c>
      <c r="D74" s="594">
        <f>D72*D73</f>
        <v>7490.2576987288121</v>
      </c>
      <c r="E74" s="541"/>
      <c r="F74" s="452"/>
      <c r="G74" s="2"/>
    </row>
    <row r="75" spans="1:7" ht="3.95" customHeight="1">
      <c r="A75" s="541"/>
      <c r="B75" s="541"/>
      <c r="C75" s="541"/>
      <c r="D75" s="541"/>
      <c r="E75" s="541"/>
      <c r="F75" s="452"/>
      <c r="G75" s="2"/>
    </row>
    <row r="76" spans="1:7">
      <c r="A76" s="541"/>
      <c r="B76" s="370" t="str">
        <f>"Scenario 2 — Ben Rolls "&amp;TEXT($C$186,"0%")&amp;" of Keystone Equity"</f>
        <v>Scenario 2 — Ben Rolls 30% of Keystone Equity</v>
      </c>
      <c r="C76" s="604" t="str">
        <f>C$183</f>
        <v>Today</v>
      </c>
      <c r="D76" s="604" t="str">
        <f>D$71</f>
        <v>Year 5</v>
      </c>
      <c r="E76" s="541"/>
      <c r="F76" s="452"/>
      <c r="G76" s="2"/>
    </row>
    <row r="77" spans="1:7">
      <c r="A77" s="541"/>
      <c r="B77" s="452" t="s">
        <v>2180</v>
      </c>
      <c r="C77" s="429">
        <f>C185</f>
        <v>3000</v>
      </c>
      <c r="D77" s="431">
        <f>(C42+C184)*C31</f>
        <v>15975.965836610165</v>
      </c>
      <c r="E77" s="541"/>
      <c r="F77" s="452" t="s">
        <v>2690</v>
      </c>
      <c r="G77" s="2"/>
    </row>
    <row r="78" spans="1:7">
      <c r="A78" s="541"/>
      <c r="B78" s="559" t="s">
        <v>2181</v>
      </c>
      <c r="C78" s="635">
        <f>$C$186</f>
        <v>0.3</v>
      </c>
      <c r="D78" s="635">
        <f>$C$186</f>
        <v>0.3</v>
      </c>
      <c r="E78" s="541"/>
      <c r="F78" s="452"/>
      <c r="G78" s="2"/>
    </row>
    <row r="79" spans="1:7">
      <c r="A79" s="541"/>
      <c r="B79" s="521" t="s">
        <v>2007</v>
      </c>
      <c r="C79" s="525">
        <f>C77*C78</f>
        <v>900</v>
      </c>
      <c r="D79" s="527">
        <f>D77*D78</f>
        <v>4792.7897509830491</v>
      </c>
      <c r="E79" s="541"/>
      <c r="F79" s="430" t="s">
        <v>2691</v>
      </c>
      <c r="G79" s="2"/>
    </row>
    <row r="80" spans="1:7" ht="3.95" customHeight="1">
      <c r="A80" s="541"/>
      <c r="B80" s="452"/>
      <c r="C80" s="431"/>
      <c r="D80" s="431"/>
      <c r="E80" s="541"/>
      <c r="F80" s="430"/>
      <c r="G80" s="2"/>
    </row>
    <row r="81" spans="1:7">
      <c r="A81" s="541"/>
      <c r="B81" s="452" t="s">
        <v>2059</v>
      </c>
      <c r="C81" s="433">
        <f>C194</f>
        <v>49350</v>
      </c>
      <c r="D81" s="430">
        <f>(C11+C18)*C13-$C$189-$C$58</f>
        <v>99350</v>
      </c>
      <c r="E81" s="541"/>
      <c r="F81" s="452"/>
      <c r="G81" s="2"/>
    </row>
    <row r="82" spans="1:7">
      <c r="A82" s="541"/>
      <c r="B82" s="559" t="s">
        <v>2183</v>
      </c>
      <c r="C82" s="430">
        <f>C77*$C$187</f>
        <v>2100</v>
      </c>
      <c r="D82" s="430">
        <f>D77*$C$187</f>
        <v>11183.176085627114</v>
      </c>
      <c r="E82" s="541"/>
      <c r="F82" s="452" t="s">
        <v>2218</v>
      </c>
      <c r="G82" s="2"/>
    </row>
    <row r="83" spans="1:7">
      <c r="A83" s="541"/>
      <c r="B83" s="524" t="s">
        <v>2184</v>
      </c>
      <c r="C83" s="526">
        <f>C81+C82</f>
        <v>51450</v>
      </c>
      <c r="D83" s="526">
        <f>D81+D82</f>
        <v>110533.17608562711</v>
      </c>
      <c r="E83" s="541"/>
      <c r="F83" s="452"/>
      <c r="G83" s="2"/>
    </row>
    <row r="84" spans="1:7">
      <c r="A84" s="541"/>
      <c r="B84" s="559" t="s">
        <v>2185</v>
      </c>
      <c r="C84" s="530">
        <f>$C$193</f>
        <v>2.8182701652089408E-2</v>
      </c>
      <c r="D84" s="530">
        <f>$D$193</f>
        <v>2.6773566569484937E-2</v>
      </c>
      <c r="E84" s="541"/>
      <c r="F84" s="452"/>
      <c r="G84" s="2"/>
    </row>
    <row r="85" spans="1:7">
      <c r="A85" s="541"/>
      <c r="B85" s="521" t="s">
        <v>2062</v>
      </c>
      <c r="C85" s="525">
        <f>C83*C84</f>
        <v>1450</v>
      </c>
      <c r="D85" s="527">
        <f>D83*D84</f>
        <v>2959.3673480651382</v>
      </c>
      <c r="E85" s="541"/>
      <c r="F85" s="452" t="s">
        <v>2692</v>
      </c>
      <c r="G85" s="2"/>
    </row>
    <row r="86" spans="1:7" ht="15" customHeight="1">
      <c r="A86" s="541"/>
      <c r="B86" s="638" t="s">
        <v>2214</v>
      </c>
      <c r="C86" s="431"/>
      <c r="D86" s="431"/>
      <c r="E86" s="541"/>
      <c r="F86" s="452"/>
      <c r="G86" s="2"/>
    </row>
    <row r="87" spans="1:7" ht="15" customHeight="1">
      <c r="A87" s="541"/>
      <c r="B87" s="452" t="s">
        <v>2215</v>
      </c>
      <c r="C87" s="429">
        <f>C79</f>
        <v>900</v>
      </c>
      <c r="D87" s="429">
        <f>D79</f>
        <v>4792.7897509830491</v>
      </c>
      <c r="E87" s="541"/>
      <c r="F87" s="452" t="s">
        <v>2219</v>
      </c>
      <c r="G87" s="2"/>
    </row>
    <row r="88" spans="1:7" ht="15" customHeight="1">
      <c r="A88" s="541"/>
      <c r="B88" s="559" t="s">
        <v>2216</v>
      </c>
      <c r="C88" s="430">
        <f>C82*C84</f>
        <v>59.183673469387756</v>
      </c>
      <c r="D88" s="430">
        <f>D82*D84</f>
        <v>299.41350938680949</v>
      </c>
      <c r="E88" s="541"/>
      <c r="F88" s="452" t="s">
        <v>2190</v>
      </c>
      <c r="G88" s="2"/>
    </row>
    <row r="89" spans="1:7" ht="15" customHeight="1">
      <c r="A89" s="541"/>
      <c r="B89" s="559" t="s">
        <v>2217</v>
      </c>
      <c r="C89" s="430">
        <f>C81*C84</f>
        <v>1390.8163265306123</v>
      </c>
      <c r="D89" s="430">
        <f>D81*D84</f>
        <v>2659.9538386783283</v>
      </c>
      <c r="E89" s="541"/>
      <c r="F89" s="452" t="s">
        <v>2220</v>
      </c>
      <c r="G89" s="2"/>
    </row>
    <row r="90" spans="1:7">
      <c r="A90" s="541"/>
      <c r="B90" s="559" t="s">
        <v>2063</v>
      </c>
      <c r="C90" s="433">
        <f>$C$189</f>
        <v>650</v>
      </c>
      <c r="D90" s="433">
        <f>$C$189</f>
        <v>650</v>
      </c>
      <c r="E90" s="541"/>
      <c r="F90" s="452"/>
      <c r="G90" s="2"/>
    </row>
    <row r="91" spans="1:7" ht="15" customHeight="1">
      <c r="A91" s="541"/>
      <c r="B91" s="559" t="s">
        <v>2265</v>
      </c>
      <c r="C91" s="430"/>
      <c r="D91" s="433">
        <f>$C$58</f>
        <v>0</v>
      </c>
      <c r="E91" s="541"/>
      <c r="F91" s="452"/>
      <c r="G91" s="2"/>
    </row>
    <row r="92" spans="1:7">
      <c r="A92" s="541"/>
      <c r="B92" s="521" t="s">
        <v>2064</v>
      </c>
      <c r="C92" s="525">
        <f>SUM(C87:C91)</f>
        <v>3000</v>
      </c>
      <c r="D92" s="527">
        <f>SUM(D87:D91)</f>
        <v>8402.1570990481869</v>
      </c>
      <c r="E92" s="541"/>
      <c r="F92" s="452" t="s">
        <v>2221</v>
      </c>
      <c r="G92" s="2"/>
    </row>
    <row r="93" spans="1:7" ht="3.95" customHeight="1">
      <c r="A93" s="541"/>
      <c r="B93" s="452"/>
      <c r="C93" s="452"/>
      <c r="D93" s="452"/>
      <c r="E93" s="541"/>
      <c r="F93" s="452"/>
      <c r="G93" s="2"/>
    </row>
    <row r="94" spans="1:7">
      <c r="A94" s="541"/>
      <c r="B94" s="370" t="s">
        <v>2070</v>
      </c>
      <c r="C94" s="604" t="str">
        <f>C$183</f>
        <v>Today</v>
      </c>
      <c r="D94" s="604" t="str">
        <f>D$71</f>
        <v>Year 5</v>
      </c>
      <c r="E94" s="541"/>
      <c r="F94" s="452"/>
      <c r="G94" s="2"/>
    </row>
    <row r="95" spans="1:7">
      <c r="A95" s="541"/>
      <c r="B95" s="624" t="s">
        <v>2071</v>
      </c>
      <c r="C95" s="630">
        <f>C92-C74</f>
        <v>0</v>
      </c>
      <c r="D95" s="625">
        <f>D92-D74</f>
        <v>911.89940031937476</v>
      </c>
      <c r="E95" s="541"/>
      <c r="F95" s="452"/>
      <c r="G95" s="2"/>
    </row>
    <row r="96" spans="1:7">
      <c r="A96" s="541"/>
      <c r="B96" s="626" t="s">
        <v>285</v>
      </c>
      <c r="C96" s="639">
        <v>0</v>
      </c>
      <c r="D96" s="627">
        <f>IFERROR(D92/D74-1,0)</f>
        <v>0.12174472988748231</v>
      </c>
      <c r="E96" s="541"/>
      <c r="F96" s="452"/>
      <c r="G96" s="2"/>
    </row>
    <row r="97" spans="1:7" ht="15" customHeight="1">
      <c r="A97" s="541"/>
      <c r="B97" s="587" t="s">
        <v>2296</v>
      </c>
      <c r="C97" s="639"/>
      <c r="D97" s="641">
        <f>IFERROR(D92/C185,0)</f>
        <v>2.8007190330160623</v>
      </c>
      <c r="E97" s="541"/>
      <c r="F97" s="541" t="s">
        <v>2693</v>
      </c>
      <c r="G97" s="2"/>
    </row>
    <row r="98" spans="1:7" ht="15" customHeight="1">
      <c r="A98" s="541"/>
      <c r="B98" s="587" t="s">
        <v>2297</v>
      </c>
      <c r="C98" s="639"/>
      <c r="D98" s="659">
        <f>IFERROR(IRR(D227:D232),0)</f>
        <v>0.26961177196095765</v>
      </c>
      <c r="E98" s="541"/>
      <c r="F98" s="541" t="s">
        <v>2694</v>
      </c>
      <c r="G98" s="2"/>
    </row>
    <row r="99" spans="1:7">
      <c r="A99" s="541"/>
      <c r="B99" s="640" t="s">
        <v>2740</v>
      </c>
      <c r="C99" s="639">
        <v>0</v>
      </c>
      <c r="D99" s="660">
        <f>MAX(0,IFERROR(((C137+$C$58)/$C$194)^(1/$C$9)-1,0))</f>
        <v>5.7577770275580198E-2</v>
      </c>
      <c r="E99" s="541"/>
      <c r="F99" s="452" t="s">
        <v>2744</v>
      </c>
      <c r="G99" s="2"/>
    </row>
    <row r="100" spans="1:7">
      <c r="A100" s="541"/>
      <c r="B100" s="642" t="s">
        <v>2741</v>
      </c>
      <c r="C100" s="643">
        <v>0</v>
      </c>
      <c r="D100" s="644">
        <f>IFERROR(((D81+$C$58)/$C$194)^(1/$C$9)-1,0)</f>
        <v>0.15020736167869675</v>
      </c>
      <c r="E100" s="541"/>
      <c r="F100" s="452"/>
      <c r="G100" s="2"/>
    </row>
    <row r="101" spans="1:7" ht="3.95" customHeight="1">
      <c r="A101" s="541"/>
      <c r="B101" s="541"/>
      <c r="C101" s="541"/>
      <c r="D101" s="541"/>
      <c r="E101" s="541"/>
      <c r="F101" s="452"/>
      <c r="G101" s="2"/>
    </row>
    <row r="102" spans="1:7" ht="15" customHeight="1">
      <c r="A102" s="541"/>
      <c r="B102" s="370" t="s">
        <v>2266</v>
      </c>
      <c r="C102" s="604" t="s">
        <v>1197</v>
      </c>
      <c r="D102" s="604"/>
      <c r="E102" s="541"/>
      <c r="F102" s="452"/>
      <c r="G102" s="2"/>
    </row>
    <row r="103" spans="1:7" ht="15" customHeight="1">
      <c r="A103" s="541"/>
      <c r="B103" s="452" t="s">
        <v>2267</v>
      </c>
      <c r="C103" s="429">
        <f>C189</f>
        <v>650</v>
      </c>
      <c r="D103" s="452"/>
      <c r="E103" s="541"/>
      <c r="F103" s="452" t="s">
        <v>2695</v>
      </c>
      <c r="G103" s="2"/>
    </row>
    <row r="104" spans="1:7" ht="15" customHeight="1">
      <c r="A104" s="541"/>
      <c r="B104" s="559" t="s">
        <v>2268</v>
      </c>
      <c r="C104" s="433">
        <f>C190</f>
        <v>1450</v>
      </c>
      <c r="D104" s="452"/>
      <c r="E104" s="541"/>
      <c r="F104" s="452" t="s">
        <v>2696</v>
      </c>
      <c r="G104" s="2"/>
    </row>
    <row r="105" spans="1:7" ht="15" customHeight="1">
      <c r="A105" s="541"/>
      <c r="B105" s="559" t="s">
        <v>2265</v>
      </c>
      <c r="C105" s="433">
        <f>C58</f>
        <v>0</v>
      </c>
      <c r="D105" s="452"/>
      <c r="E105" s="541"/>
      <c r="F105" s="452" t="s">
        <v>2697</v>
      </c>
      <c r="G105" s="2"/>
    </row>
    <row r="106" spans="1:7" ht="15" customHeight="1">
      <c r="A106" s="541"/>
      <c r="B106" s="524" t="s">
        <v>2269</v>
      </c>
      <c r="C106" s="526">
        <f>SUM(C103:C105)</f>
        <v>2100</v>
      </c>
      <c r="D106" s="453"/>
      <c r="E106" s="541"/>
      <c r="F106" s="452" t="s">
        <v>2277</v>
      </c>
      <c r="G106" s="2"/>
    </row>
    <row r="107" spans="1:7" ht="15" customHeight="1">
      <c r="A107" s="541"/>
      <c r="B107" s="559" t="s">
        <v>2270</v>
      </c>
      <c r="C107" s="635">
        <f>C187</f>
        <v>0.7</v>
      </c>
      <c r="D107" s="452"/>
      <c r="E107" s="541"/>
      <c r="F107" s="452" t="s">
        <v>2698</v>
      </c>
      <c r="G107" s="2"/>
    </row>
    <row r="108" spans="1:7" ht="15" customHeight="1">
      <c r="A108" s="541"/>
      <c r="B108" s="452" t="s">
        <v>2271</v>
      </c>
      <c r="C108" s="429">
        <f>D77</f>
        <v>15975.965836610165</v>
      </c>
      <c r="D108" s="452"/>
      <c r="E108" s="541"/>
      <c r="F108" s="452" t="s">
        <v>2699</v>
      </c>
      <c r="G108" s="2"/>
    </row>
    <row r="109" spans="1:7" ht="15" customHeight="1">
      <c r="A109" s="541"/>
      <c r="B109" s="624" t="s">
        <v>2272</v>
      </c>
      <c r="C109" s="625">
        <f>C107*C108</f>
        <v>11183.176085627114</v>
      </c>
      <c r="D109" s="453"/>
      <c r="E109" s="541"/>
      <c r="F109" s="452" t="s">
        <v>2700</v>
      </c>
      <c r="G109" s="2"/>
    </row>
    <row r="110" spans="1:7" ht="15" customHeight="1">
      <c r="A110" s="541"/>
      <c r="B110" s="640" t="s">
        <v>2273</v>
      </c>
      <c r="C110" s="656">
        <f>IFERROR(C109/C106,0)</f>
        <v>5.3253219455367207</v>
      </c>
      <c r="D110" s="453"/>
      <c r="E110" s="541"/>
      <c r="F110" s="452" t="s">
        <v>2278</v>
      </c>
      <c r="G110" s="2"/>
    </row>
    <row r="111" spans="1:7" ht="15" customHeight="1">
      <c r="A111" s="541"/>
      <c r="B111" s="642" t="s">
        <v>2276</v>
      </c>
      <c r="C111" s="644">
        <f>IFERROR(IRR(D219:D224),0)</f>
        <v>0.39723409189212466</v>
      </c>
      <c r="D111" s="655"/>
      <c r="E111" s="541"/>
      <c r="F111" s="452" t="s">
        <v>2701</v>
      </c>
      <c r="G111" s="2"/>
    </row>
    <row r="112" spans="1:7" ht="3.95" customHeight="1">
      <c r="A112" s="541"/>
      <c r="B112" s="541"/>
      <c r="C112" s="541"/>
      <c r="D112" s="541"/>
      <c r="E112" s="541"/>
      <c r="F112" s="452"/>
      <c r="G112" s="2"/>
    </row>
    <row r="113" spans="1:7">
      <c r="A113" s="541"/>
      <c r="B113" s="535" t="s">
        <v>2112</v>
      </c>
      <c r="C113" s="534" t="str">
        <f>D$71</f>
        <v>Year 5</v>
      </c>
      <c r="D113" s="2"/>
      <c r="E113" s="541"/>
      <c r="F113" s="452"/>
      <c r="G113" s="2"/>
    </row>
    <row r="114" spans="1:7">
      <c r="A114" s="541"/>
      <c r="B114" s="612" t="s">
        <v>2110</v>
      </c>
      <c r="C114" s="542">
        <f>+C28+C184</f>
        <v>5992.20615898305</v>
      </c>
      <c r="D114" s="541"/>
      <c r="E114" s="541"/>
      <c r="F114" s="452"/>
      <c r="G114" s="2"/>
    </row>
    <row r="115" spans="1:7" s="583" customFormat="1" ht="12">
      <c r="A115" s="541"/>
      <c r="B115" s="614" t="s">
        <v>2092</v>
      </c>
      <c r="C115" s="611">
        <v>0.15</v>
      </c>
      <c r="D115" s="598"/>
      <c r="E115" s="541"/>
      <c r="F115" s="452" t="s">
        <v>2105</v>
      </c>
      <c r="G115" s="612"/>
    </row>
    <row r="116" spans="1:7" s="583" customFormat="1" ht="12">
      <c r="A116" s="541"/>
      <c r="B116" s="599" t="s">
        <v>2093</v>
      </c>
      <c r="C116" s="125">
        <f>C115*C114</f>
        <v>898.83092384745748</v>
      </c>
      <c r="D116" s="541"/>
      <c r="E116" s="541"/>
      <c r="F116" s="452"/>
      <c r="G116" s="612"/>
    </row>
    <row r="117" spans="1:7">
      <c r="A117" s="541"/>
      <c r="B117" s="612" t="s">
        <v>2091</v>
      </c>
      <c r="C117" s="83">
        <f>+D74</f>
        <v>7490.2576987288121</v>
      </c>
      <c r="D117" s="541"/>
      <c r="E117" s="541"/>
      <c r="F117" s="452"/>
      <c r="G117" s="2"/>
    </row>
    <row r="118" spans="1:7">
      <c r="A118" s="541"/>
      <c r="B118" s="60" t="s">
        <v>2094</v>
      </c>
      <c r="C118" s="600">
        <f>C117/C116</f>
        <v>8.3333333333333339</v>
      </c>
      <c r="D118" s="541"/>
      <c r="E118" s="541"/>
      <c r="F118" s="452"/>
      <c r="G118" s="2"/>
    </row>
    <row r="119" spans="1:7" ht="3.95" customHeight="1">
      <c r="A119" s="541"/>
      <c r="B119" s="214"/>
      <c r="C119" s="615"/>
      <c r="D119" s="541"/>
      <c r="E119" s="541"/>
      <c r="F119" s="452"/>
      <c r="G119" s="2"/>
    </row>
    <row r="120" spans="1:7">
      <c r="A120" s="541"/>
      <c r="B120" s="535" t="s">
        <v>2113</v>
      </c>
      <c r="C120" s="534" t="str">
        <f>D$71</f>
        <v>Year 5</v>
      </c>
      <c r="D120" s="2"/>
      <c r="E120" s="541"/>
      <c r="F120" s="452"/>
      <c r="G120" s="2"/>
    </row>
    <row r="121" spans="1:7">
      <c r="A121" s="541"/>
      <c r="B121" s="612" t="s">
        <v>2090</v>
      </c>
      <c r="C121" s="542">
        <f>+C42+C184</f>
        <v>7987.9829183050824</v>
      </c>
      <c r="D121" s="541"/>
      <c r="E121" s="541"/>
      <c r="F121" s="452"/>
      <c r="G121" s="2"/>
    </row>
    <row r="122" spans="1:7" s="583" customFormat="1" ht="15" customHeight="1">
      <c r="A122" s="541"/>
      <c r="B122" s="559" t="s">
        <v>2092</v>
      </c>
      <c r="C122" s="529">
        <v>0.2</v>
      </c>
      <c r="D122" s="452"/>
      <c r="E122" s="541"/>
      <c r="F122" s="452" t="s">
        <v>2253</v>
      </c>
      <c r="G122" s="612"/>
    </row>
    <row r="123" spans="1:7" s="583" customFormat="1" ht="15" customHeight="1">
      <c r="A123" s="541"/>
      <c r="B123" s="650" t="s">
        <v>2093</v>
      </c>
      <c r="C123" s="526">
        <f>C122*C121</f>
        <v>1597.5965836610167</v>
      </c>
      <c r="D123" s="453"/>
      <c r="E123" s="541"/>
      <c r="F123" s="452"/>
      <c r="G123" s="612"/>
    </row>
    <row r="124" spans="1:7" ht="15" customHeight="1">
      <c r="A124" s="541"/>
      <c r="B124" s="452" t="s">
        <v>2091</v>
      </c>
      <c r="C124" s="433">
        <f>D77</f>
        <v>15975.965836610165</v>
      </c>
      <c r="D124" s="452"/>
      <c r="E124" s="541"/>
      <c r="F124" s="452"/>
      <c r="G124" s="2"/>
    </row>
    <row r="125" spans="1:7" ht="15" customHeight="1">
      <c r="A125" s="541"/>
      <c r="B125" s="521" t="s">
        <v>2094</v>
      </c>
      <c r="C125" s="651">
        <f>IFERROR(C124/C123,0)</f>
        <v>9.9999999999999982</v>
      </c>
      <c r="D125" s="453"/>
      <c r="E125" s="541"/>
      <c r="F125" s="452"/>
      <c r="G125" s="2"/>
    </row>
    <row r="126" spans="1:7" ht="3.95" customHeight="1">
      <c r="A126" s="541"/>
      <c r="B126" s="214"/>
      <c r="C126" s="615"/>
      <c r="D126" s="541"/>
      <c r="E126" s="541"/>
      <c r="F126" s="452"/>
      <c r="G126" s="2"/>
    </row>
    <row r="127" spans="1:7">
      <c r="A127" s="541"/>
      <c r="B127" s="454" t="s">
        <v>2161</v>
      </c>
      <c r="C127" s="622" t="str">
        <f>"Year "&amp;$C$9</f>
        <v>Year 5</v>
      </c>
      <c r="D127" s="622" t="s">
        <v>1861</v>
      </c>
      <c r="E127" s="417"/>
      <c r="F127" s="452" t="s">
        <v>2186</v>
      </c>
      <c r="G127" s="417"/>
    </row>
    <row r="128" spans="1:7">
      <c r="A128" s="541"/>
      <c r="B128" s="417" t="s">
        <v>2182</v>
      </c>
      <c r="C128" s="429">
        <f>D79</f>
        <v>4792.7897509830491</v>
      </c>
      <c r="D128" s="490">
        <f>IFERROR(C128/C$132,0)</f>
        <v>0.5704237250605545</v>
      </c>
      <c r="E128" s="417"/>
      <c r="F128" s="452" t="s">
        <v>2702</v>
      </c>
      <c r="G128" s="417"/>
    </row>
    <row r="129" spans="1:7">
      <c r="A129" s="541"/>
      <c r="B129" s="471" t="s">
        <v>2187</v>
      </c>
      <c r="C129" s="470">
        <f>D81*$D$193</f>
        <v>2659.9538386783283</v>
      </c>
      <c r="D129" s="490">
        <f>IFERROR(C129/C$132,0)</f>
        <v>0.31657987434913032</v>
      </c>
      <c r="E129" s="417"/>
      <c r="F129" s="452" t="s">
        <v>2188</v>
      </c>
      <c r="G129" s="417"/>
    </row>
    <row r="130" spans="1:7">
      <c r="A130" s="541"/>
      <c r="B130" s="471" t="s">
        <v>2189</v>
      </c>
      <c r="C130" s="470">
        <f>D82*$D$193</f>
        <v>299.41350938680949</v>
      </c>
      <c r="D130" s="490">
        <f>IFERROR(C130/C$132,0)</f>
        <v>3.5635314343352098E-2</v>
      </c>
      <c r="E130" s="417"/>
      <c r="F130" s="452" t="s">
        <v>2190</v>
      </c>
      <c r="G130" s="417"/>
    </row>
    <row r="131" spans="1:7">
      <c r="A131" s="541"/>
      <c r="B131" s="471" t="s">
        <v>2279</v>
      </c>
      <c r="C131" s="433">
        <f>D90+D91</f>
        <v>650</v>
      </c>
      <c r="D131" s="490">
        <f>IFERROR(C131/C$132,0)</f>
        <v>7.7361086246963098E-2</v>
      </c>
      <c r="E131" s="417"/>
      <c r="F131" s="452" t="s">
        <v>2703</v>
      </c>
      <c r="G131" s="417"/>
    </row>
    <row r="132" spans="1:7" ht="15" customHeight="1">
      <c r="A132" s="541"/>
      <c r="B132" s="628" t="s">
        <v>2064</v>
      </c>
      <c r="C132" s="629">
        <f>SUM(C128:C131)</f>
        <v>8402.1570990481869</v>
      </c>
      <c r="D132" s="658">
        <f>SUM(D128:D131)</f>
        <v>1</v>
      </c>
      <c r="E132" s="417"/>
      <c r="F132" s="452" t="s">
        <v>2704</v>
      </c>
      <c r="G132" s="417"/>
    </row>
    <row r="133" spans="1:7">
      <c r="A133" s="541"/>
      <c r="B133" s="417" t="s">
        <v>2125</v>
      </c>
      <c r="C133" s="620">
        <f>(C42+C184)*($C$186+$C$187*$D$193)</f>
        <v>2546.1016301849295</v>
      </c>
      <c r="D133" s="417"/>
      <c r="E133" s="417"/>
      <c r="F133" s="452" t="s">
        <v>2191</v>
      </c>
      <c r="G133" s="417"/>
    </row>
    <row r="134" spans="1:7" ht="3.95" customHeight="1">
      <c r="A134" s="541"/>
      <c r="B134" s="417"/>
      <c r="C134" s="417"/>
      <c r="D134" s="417"/>
      <c r="E134" s="417"/>
      <c r="F134" s="452"/>
      <c r="G134" s="417"/>
    </row>
    <row r="135" spans="1:7">
      <c r="A135" s="541"/>
      <c r="B135" s="454" t="s">
        <v>2163</v>
      </c>
      <c r="C135" s="622" t="s">
        <v>2130</v>
      </c>
      <c r="D135" s="622" t="s">
        <v>2131</v>
      </c>
      <c r="E135" s="417"/>
      <c r="F135" s="452"/>
      <c r="G135" s="417"/>
    </row>
    <row r="136" spans="1:7">
      <c r="A136" s="541"/>
      <c r="B136" s="417" t="s">
        <v>2096</v>
      </c>
      <c r="C136" s="621">
        <f>IFERROR((D74-D90-D91-D81*$D$193)/(($C$186+$C$187*$D$193)*(C42+C184)),0)</f>
        <v>1.6418448543025592</v>
      </c>
      <c r="D136" s="636">
        <f>C31</f>
        <v>2</v>
      </c>
      <c r="E136" s="417"/>
      <c r="F136" s="452" t="s">
        <v>2192</v>
      </c>
      <c r="G136" s="417"/>
    </row>
    <row r="137" spans="1:7">
      <c r="A137" s="541"/>
      <c r="B137" s="417" t="s">
        <v>2132</v>
      </c>
      <c r="C137" s="620">
        <f>MAX(0,(D74-D90-D91-D79)/$D$193-D82)</f>
        <v>65290.309149595763</v>
      </c>
      <c r="D137" s="429">
        <f>D81</f>
        <v>99350</v>
      </c>
      <c r="E137" s="417"/>
      <c r="F137" s="452" t="s">
        <v>2193</v>
      </c>
      <c r="G137" s="417"/>
    </row>
    <row r="138" spans="1:7">
      <c r="A138" s="541"/>
      <c r="B138" s="417" t="s">
        <v>2133</v>
      </c>
      <c r="C138" s="692">
        <f>IFERROR((C137+$C$189+$C$58)/(C11+C18),0)</f>
        <v>10.52686927675539</v>
      </c>
      <c r="D138" s="691">
        <f>C13</f>
        <v>15.964240102171138</v>
      </c>
      <c r="E138" s="417"/>
      <c r="F138" s="452" t="s">
        <v>2341</v>
      </c>
      <c r="G138" s="417"/>
    </row>
    <row r="139" spans="1:7">
      <c r="A139" s="541"/>
      <c r="B139" s="417" t="s">
        <v>2134</v>
      </c>
      <c r="C139" s="154">
        <f>IFERROR(((C137+$C$189+$C$58)/C13-C11)/C15/C9,0)</f>
        <v>20.722401894474483</v>
      </c>
      <c r="D139" s="83">
        <f>C16</f>
        <v>65</v>
      </c>
      <c r="E139" s="417"/>
      <c r="F139" s="452" t="s">
        <v>2152</v>
      </c>
      <c r="G139" s="417"/>
    </row>
    <row r="140" spans="1:7">
      <c r="A140" s="541"/>
      <c r="B140" s="417" t="s">
        <v>2738</v>
      </c>
      <c r="C140" s="388">
        <f>D99</f>
        <v>5.7577770275580198E-2</v>
      </c>
      <c r="D140" s="388">
        <f>D100</f>
        <v>0.15020736167869675</v>
      </c>
      <c r="E140" s="417"/>
      <c r="F140" s="452" t="s">
        <v>2743</v>
      </c>
      <c r="G140" s="417"/>
    </row>
    <row r="141" spans="1:7">
      <c r="A141" s="541"/>
      <c r="B141" s="417" t="s">
        <v>2327</v>
      </c>
      <c r="C141" s="490">
        <f>MIN(1,IFERROR(1-(D74-D90-D91-D79)/(D83*$C$193),0))</f>
        <v>0.34273298256460261</v>
      </c>
      <c r="D141" s="490">
        <f>$C$8</f>
        <v>0.05</v>
      </c>
      <c r="E141" s="417"/>
      <c r="F141" s="452" t="s">
        <v>2340</v>
      </c>
      <c r="G141" s="417"/>
    </row>
    <row r="142" spans="1:7" ht="15" customHeight="1">
      <c r="A142" s="541"/>
      <c r="B142" s="417" t="s">
        <v>2280</v>
      </c>
      <c r="C142" s="620">
        <f>D79+D90+D91-D74</f>
        <v>-2047.467947745763</v>
      </c>
      <c r="D142" s="417"/>
      <c r="E142" s="417"/>
      <c r="F142" s="452" t="s">
        <v>2194</v>
      </c>
      <c r="G142" s="417"/>
    </row>
    <row r="143" spans="1:7">
      <c r="A143" s="541"/>
      <c r="B143" s="417" t="s">
        <v>2222</v>
      </c>
      <c r="C143" s="439">
        <f>IFERROR(1-C137/D137,0)</f>
        <v>0.34282527277709351</v>
      </c>
      <c r="D143" s="530"/>
      <c r="E143" s="417"/>
      <c r="F143" s="452" t="s">
        <v>2705</v>
      </c>
      <c r="G143" s="417"/>
    </row>
    <row r="144" spans="1:7" ht="3.95" customHeight="1">
      <c r="A144" s="541"/>
      <c r="B144" s="417"/>
      <c r="C144" s="417"/>
      <c r="D144" s="417"/>
      <c r="E144" s="417"/>
      <c r="F144" s="452"/>
      <c r="G144" s="417"/>
    </row>
    <row r="145" spans="1:8" ht="14.25" customHeight="1">
      <c r="A145" s="681"/>
      <c r="B145" s="370" t="str">
        <f>"Topkey Dilution Impact — Ben (Year "&amp;$C$9&amp;")"</f>
        <v>Topkey Dilution Impact — Ben (Year 5)</v>
      </c>
      <c r="C145" s="604" t="s">
        <v>2331</v>
      </c>
      <c r="D145" s="604" t="s">
        <v>2332</v>
      </c>
      <c r="E145" s="681"/>
      <c r="F145" s="681"/>
      <c r="G145" s="681"/>
      <c r="H145" s="681"/>
    </row>
    <row r="146" spans="1:8" ht="14.25" customHeight="1">
      <c r="A146" s="681"/>
      <c r="B146" s="681" t="s">
        <v>2056</v>
      </c>
      <c r="C146" s="388">
        <f>$C$193</f>
        <v>2.8182701652089408E-2</v>
      </c>
      <c r="D146" s="388">
        <f>$D$193</f>
        <v>2.6773566569484937E-2</v>
      </c>
      <c r="E146" s="681"/>
      <c r="F146" s="681"/>
      <c r="G146" s="681"/>
      <c r="H146" s="681"/>
    </row>
    <row r="147" spans="1:8" ht="14.25" customHeight="1">
      <c r="A147" s="681"/>
      <c r="B147" s="681" t="s">
        <v>2062</v>
      </c>
      <c r="C147" s="682">
        <f>$D$83*C146</f>
        <v>3115.1235242790926</v>
      </c>
      <c r="D147" s="682">
        <f>$D$83*D146</f>
        <v>2959.3673480651382</v>
      </c>
      <c r="E147" s="681"/>
      <c r="F147" s="681" t="s">
        <v>2523</v>
      </c>
      <c r="G147" s="681"/>
      <c r="H147" s="681"/>
    </row>
    <row r="148" spans="1:8" ht="14.25" customHeight="1">
      <c r="A148" s="681"/>
      <c r="B148" s="719" t="s">
        <v>2333</v>
      </c>
      <c r="C148" s="683">
        <f>$D$79+$D$90+$D$91</f>
        <v>5442.7897509830491</v>
      </c>
      <c r="D148" s="683">
        <f>$D$79+$D$90+$D$91</f>
        <v>5442.7897509830491</v>
      </c>
      <c r="E148" s="681"/>
      <c r="F148" s="681" t="s">
        <v>2524</v>
      </c>
      <c r="G148" s="681"/>
      <c r="H148" s="681"/>
    </row>
    <row r="149" spans="1:8" ht="14.25" customHeight="1">
      <c r="A149" s="681"/>
      <c r="B149" s="687" t="s">
        <v>2064</v>
      </c>
      <c r="C149" s="686">
        <f>C147+C148</f>
        <v>8557.9132752621408</v>
      </c>
      <c r="D149" s="688">
        <f>D147+D148</f>
        <v>8402.1570990481869</v>
      </c>
      <c r="E149" s="681"/>
      <c r="F149" s="681"/>
      <c r="G149" s="681"/>
      <c r="H149" s="681"/>
    </row>
    <row r="150" spans="1:8" ht="14.25" customHeight="1">
      <c r="A150" s="681"/>
      <c r="B150" s="719" t="s">
        <v>2334</v>
      </c>
      <c r="C150" s="83">
        <f>$D$74</f>
        <v>7490.2576987288121</v>
      </c>
      <c r="D150" s="83">
        <f>$D$74</f>
        <v>7490.2576987288121</v>
      </c>
      <c r="E150" s="681"/>
      <c r="F150" s="681"/>
      <c r="G150" s="681"/>
      <c r="H150" s="681"/>
    </row>
    <row r="151" spans="1:8" ht="14.25" customHeight="1">
      <c r="A151" s="681"/>
      <c r="B151" s="689" t="s">
        <v>2335</v>
      </c>
      <c r="C151" s="690">
        <f>C149-C150</f>
        <v>1067.6555765333287</v>
      </c>
      <c r="D151" s="690">
        <f>D149-D150</f>
        <v>911.89940031937476</v>
      </c>
      <c r="E151" s="681"/>
      <c r="F151" s="681"/>
      <c r="G151" s="681"/>
      <c r="H151" s="681"/>
    </row>
    <row r="152" spans="1:8" ht="14.25" customHeight="1">
      <c r="A152" s="681"/>
      <c r="B152" s="681" t="s">
        <v>2336</v>
      </c>
      <c r="C152" s="681"/>
      <c r="D152" s="682">
        <f>D149-C149</f>
        <v>-155.75617621395395</v>
      </c>
      <c r="E152" s="681"/>
      <c r="F152" s="681" t="s">
        <v>2339</v>
      </c>
      <c r="G152" s="681"/>
      <c r="H152" s="681"/>
    </row>
    <row r="153" spans="1:8" ht="14.25" customHeight="1">
      <c r="A153" s="681"/>
      <c r="B153" s="681" t="s">
        <v>2337</v>
      </c>
      <c r="C153" s="681"/>
      <c r="D153" s="684">
        <f>$C$141-$D$141</f>
        <v>0.29273298256460262</v>
      </c>
      <c r="E153" s="681"/>
      <c r="F153" s="681" t="s">
        <v>2706</v>
      </c>
      <c r="G153" s="681"/>
      <c r="H153" s="681"/>
    </row>
    <row r="154" spans="1:8" ht="14.25" customHeight="1">
      <c r="B154" s="681" t="s">
        <v>2338</v>
      </c>
      <c r="D154" s="685">
        <f>D149-$D$92</f>
        <v>0</v>
      </c>
      <c r="F154" s="681" t="s">
        <v>2107</v>
      </c>
    </row>
    <row r="155" spans="1:8" ht="3.95" customHeight="1">
      <c r="A155" s="681"/>
      <c r="B155" s="681"/>
      <c r="C155" s="681"/>
      <c r="D155" s="681"/>
      <c r="E155" s="681"/>
      <c r="F155" s="681"/>
      <c r="G155" s="681"/>
      <c r="H155" s="681"/>
    </row>
    <row r="156" spans="1:8">
      <c r="A156" s="541"/>
      <c r="B156" s="454" t="s">
        <v>2223</v>
      </c>
      <c r="C156" s="622" t="s">
        <v>2135</v>
      </c>
      <c r="D156" s="622" t="str">
        <f>"Year "&amp;$C$9</f>
        <v>Year 5</v>
      </c>
      <c r="E156" s="417"/>
      <c r="F156" s="452"/>
      <c r="G156" s="417"/>
    </row>
    <row r="157" spans="1:8" ht="15" customHeight="1">
      <c r="A157" s="541"/>
      <c r="B157" s="452" t="s">
        <v>2003</v>
      </c>
      <c r="C157" s="645"/>
      <c r="D157" s="429">
        <f>D74</f>
        <v>7490.2576987288121</v>
      </c>
      <c r="E157" s="417"/>
      <c r="F157" s="452" t="s">
        <v>2707</v>
      </c>
      <c r="G157" s="417"/>
    </row>
    <row r="158" spans="1:8" ht="15" customHeight="1">
      <c r="A158" s="541"/>
      <c r="B158" s="452" t="s">
        <v>2224</v>
      </c>
      <c r="C158" s="645"/>
      <c r="D158" s="433">
        <f>D92</f>
        <v>8402.1570990481869</v>
      </c>
      <c r="E158" s="417"/>
      <c r="F158" s="452" t="s">
        <v>2708</v>
      </c>
      <c r="G158" s="417"/>
    </row>
    <row r="159" spans="1:8" ht="15" customHeight="1">
      <c r="A159" s="541"/>
      <c r="B159" s="452" t="s">
        <v>2195</v>
      </c>
      <c r="C159" s="646">
        <v>1.5</v>
      </c>
      <c r="D159" s="430">
        <f>($C$186+$C$187*$D$193)*(C42+C184)*C159+D81*$D$193+D90+D91</f>
        <v>7129.1062839557226</v>
      </c>
      <c r="E159" s="417"/>
      <c r="F159" s="452" t="s">
        <v>2226</v>
      </c>
      <c r="G159" s="417"/>
    </row>
    <row r="160" spans="1:8" ht="15" customHeight="1">
      <c r="A160" s="541"/>
      <c r="B160" s="452" t="s">
        <v>2136</v>
      </c>
      <c r="C160" s="646">
        <v>12</v>
      </c>
      <c r="D160" s="430">
        <f>D79+((C11+C18)*C160-$C$189-$C$58+D82)*$D$193+D90+D91</f>
        <v>7737.3158939947371</v>
      </c>
      <c r="E160" s="417"/>
      <c r="F160" s="452" t="s">
        <v>2227</v>
      </c>
      <c r="G160" s="417"/>
    </row>
    <row r="161" spans="1:7" ht="15" customHeight="1">
      <c r="A161" s="541"/>
      <c r="B161" s="452" t="s">
        <v>2137</v>
      </c>
      <c r="C161" s="435">
        <v>90</v>
      </c>
      <c r="D161" s="430">
        <f>D79+((C11+C161*C9*C15)*C13-$C$189-$C$58+D82)*$D$193+D90+D91</f>
        <v>8917.0333792305901</v>
      </c>
      <c r="E161" s="417"/>
      <c r="F161" s="452" t="s">
        <v>2228</v>
      </c>
      <c r="G161" s="417"/>
    </row>
    <row r="162" spans="1:7" ht="15" customHeight="1">
      <c r="A162" s="541"/>
      <c r="B162" s="452" t="s">
        <v>2328</v>
      </c>
      <c r="C162" s="633">
        <v>0.15</v>
      </c>
      <c r="D162" s="430">
        <f>D79+D83*$C$193*(1-C162)+D90+D91</f>
        <v>8090.6447466202771</v>
      </c>
      <c r="E162" s="417"/>
      <c r="F162" s="452" t="s">
        <v>2229</v>
      </c>
      <c r="G162" s="417"/>
    </row>
    <row r="163" spans="1:7" ht="15" customHeight="1">
      <c r="A163" s="541"/>
      <c r="B163" s="524" t="s">
        <v>2196</v>
      </c>
      <c r="C163" s="524"/>
      <c r="D163" s="526">
        <f>$C$186*(C42+C184)*C159+((C11+C161*C9*C15)*C160-$C$189-$C$58+$C$187*(C42+C184)*C159)*$C$193*(1-C162)+D90+D91</f>
        <v>6576.8983371947816</v>
      </c>
      <c r="E163" s="417"/>
      <c r="F163" s="452" t="s">
        <v>2230</v>
      </c>
      <c r="G163" s="417"/>
    </row>
    <row r="164" spans="1:7" ht="15" customHeight="1">
      <c r="A164" s="541"/>
      <c r="B164" s="521" t="s">
        <v>2225</v>
      </c>
      <c r="C164" s="623"/>
      <c r="D164" s="527">
        <f>D163-D157</f>
        <v>-913.35936153403054</v>
      </c>
      <c r="E164" s="417"/>
      <c r="F164" s="452" t="s">
        <v>2231</v>
      </c>
      <c r="G164" s="417"/>
    </row>
    <row r="165" spans="1:7" ht="3.95" customHeight="1">
      <c r="A165" s="541"/>
      <c r="B165" s="417"/>
      <c r="C165" s="417"/>
      <c r="D165" s="417"/>
      <c r="E165" s="417"/>
      <c r="F165" s="452"/>
      <c r="G165" s="417"/>
    </row>
    <row r="166" spans="1:7">
      <c r="A166" s="541"/>
      <c r="B166" s="454" t="s">
        <v>2197</v>
      </c>
      <c r="C166" s="622" t="str">
        <f>C$183</f>
        <v>Today</v>
      </c>
      <c r="D166" s="622" t="str">
        <f>D$71</f>
        <v>Year 5</v>
      </c>
      <c r="E166" s="417"/>
      <c r="F166" s="452"/>
      <c r="G166" s="417"/>
    </row>
    <row r="167" spans="1:7">
      <c r="A167" s="541"/>
      <c r="B167" s="417" t="s">
        <v>2055</v>
      </c>
      <c r="C167" s="429">
        <f>C189</f>
        <v>650</v>
      </c>
      <c r="D167" s="470">
        <f>C189+C58</f>
        <v>650</v>
      </c>
      <c r="E167" s="417"/>
      <c r="F167" s="452" t="s">
        <v>2281</v>
      </c>
      <c r="G167" s="417"/>
    </row>
    <row r="168" spans="1:7">
      <c r="A168" s="541"/>
      <c r="B168" s="417" t="s">
        <v>2198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1"/>
      <c r="B169" s="417" t="s">
        <v>2199</v>
      </c>
      <c r="C169" s="635">
        <f>C186</f>
        <v>0.3</v>
      </c>
      <c r="D169" s="417"/>
      <c r="E169" s="417"/>
      <c r="F169" s="452" t="s">
        <v>2200</v>
      </c>
      <c r="G169" s="417"/>
    </row>
    <row r="170" spans="1:7">
      <c r="A170" s="541"/>
      <c r="B170" s="417" t="s">
        <v>2056</v>
      </c>
      <c r="C170" s="530">
        <f>C193</f>
        <v>2.8182701652089408E-2</v>
      </c>
      <c r="D170" s="530">
        <f>D193</f>
        <v>2.6773566569484937E-2</v>
      </c>
      <c r="E170" s="417"/>
      <c r="F170" s="452"/>
      <c r="G170" s="417"/>
    </row>
    <row r="171" spans="1:7">
      <c r="A171" s="541"/>
      <c r="B171" s="417" t="s">
        <v>2140</v>
      </c>
      <c r="C171" s="490">
        <f>IFERROR((C79+C85)/C92,0)</f>
        <v>0.78333333333333333</v>
      </c>
      <c r="D171" s="490">
        <f>IFERROR((D79+D85)/D92,0)</f>
        <v>0.92263891375303686</v>
      </c>
      <c r="E171" s="417"/>
      <c r="F171" s="452" t="s">
        <v>2201</v>
      </c>
      <c r="G171" s="417"/>
    </row>
    <row r="172" spans="1:7" ht="3.95" customHeight="1">
      <c r="A172" s="541"/>
      <c r="B172" s="417"/>
      <c r="C172" s="417"/>
      <c r="D172" s="417"/>
      <c r="E172" s="417"/>
      <c r="F172" s="452"/>
      <c r="G172" s="417"/>
    </row>
    <row r="173" spans="1:7">
      <c r="A173" s="541"/>
      <c r="B173" s="454" t="s">
        <v>2202</v>
      </c>
      <c r="C173" s="622" t="s">
        <v>2141</v>
      </c>
      <c r="D173" s="622" t="s">
        <v>2142</v>
      </c>
      <c r="E173" s="417"/>
      <c r="F173" s="452"/>
      <c r="G173" s="417"/>
    </row>
    <row r="174" spans="1:7">
      <c r="A174" s="541"/>
      <c r="B174" s="417" t="s">
        <v>2203</v>
      </c>
      <c r="C174" s="633">
        <v>0.45</v>
      </c>
      <c r="D174" s="417"/>
      <c r="E174" s="417"/>
      <c r="F174" s="452" t="s">
        <v>2204</v>
      </c>
      <c r="G174" s="417"/>
    </row>
    <row r="175" spans="1:7">
      <c r="A175" s="541"/>
      <c r="B175" s="417" t="s">
        <v>2143</v>
      </c>
      <c r="C175" s="620">
        <f>C188*C174</f>
        <v>945</v>
      </c>
      <c r="D175" s="620">
        <f>C175-C189</f>
        <v>295</v>
      </c>
      <c r="E175" s="417"/>
      <c r="F175" s="452" t="s">
        <v>2205</v>
      </c>
      <c r="G175" s="417"/>
    </row>
    <row r="176" spans="1:7">
      <c r="B176" s="417" t="s">
        <v>2206</v>
      </c>
      <c r="C176" s="417"/>
      <c r="D176" s="417"/>
      <c r="E176" s="417"/>
      <c r="F176" s="452" t="s">
        <v>2207</v>
      </c>
      <c r="G176" s="417"/>
    </row>
    <row r="177" spans="2:7">
      <c r="B177" s="417" t="s">
        <v>2208</v>
      </c>
      <c r="C177" s="417"/>
      <c r="D177" s="417"/>
      <c r="E177" s="417"/>
      <c r="F177" s="452" t="s">
        <v>2209</v>
      </c>
      <c r="G177" s="417"/>
    </row>
    <row r="178" spans="2:7">
      <c r="B178" s="417" t="s">
        <v>2210</v>
      </c>
      <c r="C178" s="417"/>
      <c r="D178" s="417"/>
      <c r="E178" s="417"/>
      <c r="F178" s="452" t="s">
        <v>2211</v>
      </c>
      <c r="G178" s="417"/>
    </row>
    <row r="179" spans="2:7">
      <c r="B179" s="417" t="s">
        <v>2212</v>
      </c>
      <c r="C179" s="417"/>
      <c r="D179" s="417"/>
      <c r="E179" s="417"/>
      <c r="F179" s="452" t="s">
        <v>2213</v>
      </c>
      <c r="G179" s="417"/>
    </row>
    <row r="180" spans="2:7">
      <c r="B180" s="417" t="s">
        <v>2147</v>
      </c>
      <c r="C180" s="417"/>
      <c r="D180" s="417"/>
      <c r="E180" s="417"/>
      <c r="F180" s="452" t="s">
        <v>2159</v>
      </c>
      <c r="G180" s="417"/>
    </row>
    <row r="181" spans="2:7" ht="15" customHeight="1">
      <c r="B181" s="417" t="s">
        <v>2250</v>
      </c>
      <c r="C181" s="417"/>
      <c r="D181" s="417"/>
      <c r="E181" s="417"/>
      <c r="F181" s="452" t="s">
        <v>2251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2165</v>
      </c>
      <c r="C183" s="622" t="s">
        <v>2024</v>
      </c>
      <c r="D183" s="622" t="str">
        <f>"Year "&amp;$C$9</f>
        <v>Year 5</v>
      </c>
      <c r="E183" s="417"/>
      <c r="F183" s="452"/>
      <c r="G183" s="417"/>
    </row>
    <row r="184" spans="2:7">
      <c r="B184" s="417" t="s">
        <v>2100</v>
      </c>
      <c r="C184" s="634">
        <f>'P&amp;L Overview'!K16</f>
        <v>2998.5410200000001</v>
      </c>
      <c r="D184" s="417"/>
      <c r="E184" s="417"/>
      <c r="F184" s="452" t="s">
        <v>2106</v>
      </c>
      <c r="G184" s="417"/>
    </row>
    <row r="185" spans="2:7">
      <c r="B185" s="417" t="s">
        <v>2166</v>
      </c>
      <c r="C185" s="429">
        <f>C72</f>
        <v>3000</v>
      </c>
      <c r="D185" s="417"/>
      <c r="E185" s="417"/>
      <c r="F185" s="452" t="s">
        <v>2793</v>
      </c>
      <c r="G185" s="417"/>
    </row>
    <row r="186" spans="2:7">
      <c r="B186" s="417" t="s">
        <v>2167</v>
      </c>
      <c r="C186" s="635">
        <f>C7</f>
        <v>0.3</v>
      </c>
      <c r="D186" s="417"/>
      <c r="E186" s="417"/>
      <c r="F186" s="452" t="s">
        <v>2709</v>
      </c>
      <c r="G186" s="417"/>
    </row>
    <row r="187" spans="2:7">
      <c r="B187" s="417" t="s">
        <v>2168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2169</v>
      </c>
      <c r="C188" s="620">
        <f>C185*C187</f>
        <v>2100</v>
      </c>
      <c r="D188" s="417"/>
      <c r="E188" s="417"/>
      <c r="F188" s="452" t="s">
        <v>2170</v>
      </c>
      <c r="G188" s="417"/>
    </row>
    <row r="189" spans="2:7">
      <c r="B189" s="471" t="s">
        <v>1999</v>
      </c>
      <c r="C189" s="53">
        <f>'Offer Comparison'!$C$21</f>
        <v>650</v>
      </c>
      <c r="D189" s="417"/>
      <c r="E189" s="417"/>
      <c r="F189" s="452" t="s">
        <v>2171</v>
      </c>
      <c r="G189" s="417"/>
    </row>
    <row r="190" spans="2:7">
      <c r="B190" s="417" t="s">
        <v>2172</v>
      </c>
      <c r="C190" s="470">
        <f>C188-C189</f>
        <v>1450</v>
      </c>
      <c r="D190" s="417"/>
      <c r="E190" s="417"/>
      <c r="F190" s="452" t="s">
        <v>2173</v>
      </c>
      <c r="G190" s="417"/>
    </row>
    <row r="191" spans="2:7">
      <c r="B191" s="417" t="s">
        <v>2037</v>
      </c>
      <c r="C191" s="53">
        <f>'Offer Comparison'!$C$9</f>
        <v>50000</v>
      </c>
      <c r="D191" s="417"/>
      <c r="E191" s="417"/>
      <c r="F191" s="452" t="s">
        <v>2710</v>
      </c>
      <c r="G191" s="417"/>
    </row>
    <row r="192" spans="2:7">
      <c r="B192" s="417" t="s">
        <v>2000</v>
      </c>
      <c r="C192" s="470">
        <f>C191+C188-C189</f>
        <v>51450</v>
      </c>
      <c r="D192" s="417"/>
      <c r="E192" s="417"/>
      <c r="F192" s="452" t="s">
        <v>2174</v>
      </c>
      <c r="G192" s="417"/>
    </row>
    <row r="193" spans="2:8">
      <c r="B193" s="417" t="s">
        <v>2056</v>
      </c>
      <c r="C193" s="631">
        <f>IFERROR(C190/C192,0)</f>
        <v>2.8182701652089408E-2</v>
      </c>
      <c r="D193" s="631">
        <f>C193*(1-$C$8)</f>
        <v>2.6773566569484937E-2</v>
      </c>
      <c r="E193" s="417"/>
      <c r="F193" s="541" t="s">
        <v>2326</v>
      </c>
      <c r="G193" s="417"/>
      <c r="H193" s="541"/>
    </row>
    <row r="194" spans="2:8">
      <c r="B194" s="417" t="s">
        <v>2045</v>
      </c>
      <c r="C194" s="470">
        <f>C191-C189</f>
        <v>49350</v>
      </c>
      <c r="D194" s="417"/>
      <c r="E194" s="417"/>
      <c r="F194" s="452" t="s">
        <v>2175</v>
      </c>
      <c r="G194" s="417"/>
      <c r="H194" s="541"/>
    </row>
    <row r="195" spans="2:8">
      <c r="B195" s="417" t="s">
        <v>2176</v>
      </c>
      <c r="C195" s="470">
        <f>C83-C192</f>
        <v>0</v>
      </c>
      <c r="D195" s="417"/>
      <c r="E195" s="417"/>
      <c r="F195" s="452" t="s">
        <v>2107</v>
      </c>
      <c r="G195" s="417"/>
    </row>
    <row r="196" spans="2:8">
      <c r="B196" s="417" t="s">
        <v>2177</v>
      </c>
      <c r="C196" s="470">
        <f>C85-C190</f>
        <v>0</v>
      </c>
      <c r="D196" s="417"/>
      <c r="E196" s="417"/>
      <c r="F196" s="452" t="s">
        <v>2107</v>
      </c>
      <c r="G196" s="417"/>
    </row>
    <row r="197" spans="2:8">
      <c r="B197" s="417" t="s">
        <v>2178</v>
      </c>
      <c r="C197" s="470">
        <f>C92-C185</f>
        <v>0</v>
      </c>
      <c r="D197" s="417"/>
      <c r="E197" s="417"/>
      <c r="F197" s="452" t="s">
        <v>2107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2114</v>
      </c>
      <c r="C199" s="622" t="s">
        <v>1197</v>
      </c>
      <c r="D199" s="622"/>
      <c r="E199" s="417"/>
      <c r="F199" s="452"/>
      <c r="G199" s="417"/>
    </row>
    <row r="200" spans="2:8">
      <c r="B200" s="417" t="s">
        <v>2115</v>
      </c>
      <c r="C200" s="472">
        <f>'Client Retention'!H22</f>
        <v>151</v>
      </c>
      <c r="D200" s="417"/>
      <c r="E200" s="417"/>
      <c r="F200" s="452" t="s">
        <v>2118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4" t="s">
        <v>2116</v>
      </c>
      <c r="C203" s="675">
        <f>SUM(C200:C202)</f>
        <v>177</v>
      </c>
      <c r="D203" s="480"/>
      <c r="E203" s="417"/>
      <c r="F203" s="452" t="s">
        <v>2119</v>
      </c>
      <c r="G203" s="417"/>
    </row>
    <row r="204" spans="2:8">
      <c r="B204" s="628" t="s">
        <v>2117</v>
      </c>
      <c r="C204" s="632">
        <f>C203-C200</f>
        <v>26</v>
      </c>
      <c r="D204" s="480"/>
      <c r="E204" s="417"/>
      <c r="F204" s="452" t="s">
        <v>2120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69" t="s">
        <v>2233</v>
      </c>
      <c r="C206" s="569"/>
      <c r="D206" s="541"/>
      <c r="E206" s="541"/>
      <c r="F206" s="452"/>
      <c r="G206" s="417"/>
    </row>
    <row r="207" spans="2:8">
      <c r="B207" s="452" t="s">
        <v>2234</v>
      </c>
      <c r="C207" s="647">
        <f>C32/'Client Retention'!H30</f>
        <v>1.4634146341463414</v>
      </c>
      <c r="D207" s="452"/>
      <c r="E207" s="541"/>
      <c r="F207" s="452" t="s">
        <v>2104</v>
      </c>
      <c r="G207" s="417"/>
    </row>
    <row r="208" spans="2:8">
      <c r="B208" s="559" t="s">
        <v>2235</v>
      </c>
      <c r="C208" s="633">
        <v>0.5</v>
      </c>
      <c r="D208" s="452"/>
      <c r="E208" s="541"/>
      <c r="F208" s="452" t="s">
        <v>2244</v>
      </c>
      <c r="G208" s="417"/>
    </row>
    <row r="209" spans="2:7">
      <c r="B209" s="452" t="s">
        <v>2236</v>
      </c>
      <c r="C209" s="649">
        <v>0</v>
      </c>
      <c r="D209" s="452"/>
      <c r="E209" s="541"/>
      <c r="F209" s="452" t="s">
        <v>2245</v>
      </c>
      <c r="G209" s="417"/>
    </row>
    <row r="210" spans="2:7">
      <c r="B210" s="452" t="s">
        <v>2237</v>
      </c>
      <c r="C210" s="648">
        <f>MAX(C207*C208,C209)</f>
        <v>0.73170731707317072</v>
      </c>
      <c r="D210" s="452"/>
      <c r="E210" s="541"/>
      <c r="F210" s="452" t="s">
        <v>2246</v>
      </c>
      <c r="G210" s="417"/>
    </row>
    <row r="211" spans="2:7">
      <c r="B211" s="452" t="s">
        <v>2238</v>
      </c>
      <c r="C211" s="648">
        <f>C207-C210</f>
        <v>0.73170731707317072</v>
      </c>
      <c r="D211" s="452"/>
      <c r="E211" s="541"/>
      <c r="F211" s="452" t="s">
        <v>2247</v>
      </c>
      <c r="G211" s="417"/>
    </row>
    <row r="212" spans="2:7">
      <c r="B212" s="452" t="s">
        <v>2239</v>
      </c>
      <c r="C212" s="430">
        <f>C203+C41</f>
        <v>477</v>
      </c>
      <c r="D212" s="452"/>
      <c r="E212" s="541"/>
      <c r="F212" s="452" t="s">
        <v>2711</v>
      </c>
      <c r="G212" s="417"/>
    </row>
    <row r="213" spans="2:7">
      <c r="B213" s="452" t="s">
        <v>2240</v>
      </c>
      <c r="C213" s="430">
        <f>C210*C212</f>
        <v>349.02439024390242</v>
      </c>
      <c r="D213" s="452"/>
      <c r="E213" s="541"/>
      <c r="F213" s="452" t="s">
        <v>2248</v>
      </c>
      <c r="G213" s="417"/>
    </row>
    <row r="214" spans="2:7">
      <c r="B214" s="524" t="s">
        <v>2241</v>
      </c>
      <c r="C214" s="526">
        <f>C211*C212</f>
        <v>349.02439024390242</v>
      </c>
      <c r="D214" s="453"/>
      <c r="E214" s="541"/>
      <c r="F214" s="452" t="s">
        <v>2252</v>
      </c>
      <c r="G214" s="417"/>
    </row>
    <row r="215" spans="2:7">
      <c r="B215" s="452" t="s">
        <v>2242</v>
      </c>
      <c r="C215" s="528">
        <f>IFERROR(C214/C121,0)</f>
        <v>4.3693682599656787E-2</v>
      </c>
      <c r="D215" s="452"/>
      <c r="E215" s="541"/>
      <c r="F215" s="452" t="s">
        <v>2712</v>
      </c>
      <c r="G215" s="417"/>
    </row>
    <row r="216" spans="2:7">
      <c r="B216" s="521" t="s">
        <v>2243</v>
      </c>
      <c r="C216" s="527">
        <f>C214*($C$186+$C$187*$D$193)</f>
        <v>111.24855649576902</v>
      </c>
      <c r="D216" s="453"/>
      <c r="E216" s="541"/>
      <c r="F216" s="452" t="s">
        <v>2249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2274</v>
      </c>
      <c r="C218" s="622" t="s">
        <v>1242</v>
      </c>
      <c r="D218" s="622" t="s">
        <v>2275</v>
      </c>
      <c r="E218" s="541"/>
      <c r="F218" s="452"/>
      <c r="G218" s="417"/>
    </row>
    <row r="219" spans="2:7" ht="15" customHeight="1">
      <c r="B219" s="452" t="str">
        <f t="shared" ref="B219:B224" si="1">"Year "&amp;C219</f>
        <v>Year 0</v>
      </c>
      <c r="C219" s="654">
        <v>0</v>
      </c>
      <c r="D219" s="431">
        <f t="shared" ref="D219:D224" si="2">-IF(C219=0,$C$103+$C$104,0)-IF(C219=$C$46,$C$105,0)+IF(C219=$C$9,$C$109,0)</f>
        <v>-2100</v>
      </c>
      <c r="E219" s="541"/>
      <c r="F219" s="452" t="s">
        <v>2713</v>
      </c>
      <c r="G219" s="417"/>
    </row>
    <row r="220" spans="2:7" ht="15" customHeight="1">
      <c r="B220" s="452" t="str">
        <f t="shared" si="1"/>
        <v>Year 1</v>
      </c>
      <c r="C220" s="653">
        <f>C219+1</f>
        <v>1</v>
      </c>
      <c r="D220" s="430">
        <f t="shared" si="2"/>
        <v>0</v>
      </c>
      <c r="E220" s="541"/>
      <c r="F220" s="452"/>
      <c r="G220" s="417"/>
    </row>
    <row r="221" spans="2:7" ht="15" customHeight="1">
      <c r="B221" s="452" t="str">
        <f t="shared" si="1"/>
        <v>Year 2</v>
      </c>
      <c r="C221" s="653">
        <f>C220+1</f>
        <v>2</v>
      </c>
      <c r="D221" s="430">
        <f t="shared" si="2"/>
        <v>0</v>
      </c>
      <c r="E221" s="541"/>
      <c r="F221" s="452"/>
      <c r="G221" s="417"/>
    </row>
    <row r="222" spans="2:7" ht="15" customHeight="1">
      <c r="B222" s="452" t="str">
        <f t="shared" si="1"/>
        <v>Year 3</v>
      </c>
      <c r="C222" s="653">
        <f>C221+1</f>
        <v>3</v>
      </c>
      <c r="D222" s="430">
        <f t="shared" si="2"/>
        <v>0</v>
      </c>
      <c r="E222" s="541"/>
      <c r="F222" s="452"/>
      <c r="G222" s="417"/>
    </row>
    <row r="223" spans="2:7" ht="15" customHeight="1">
      <c r="B223" s="452" t="str">
        <f t="shared" si="1"/>
        <v>Year 4</v>
      </c>
      <c r="C223" s="653">
        <f>C222+1</f>
        <v>4</v>
      </c>
      <c r="D223" s="430">
        <f t="shared" si="2"/>
        <v>0</v>
      </c>
      <c r="E223" s="541"/>
      <c r="F223" s="452"/>
      <c r="G223" s="417"/>
    </row>
    <row r="224" spans="2:7" ht="15" customHeight="1">
      <c r="B224" s="452" t="str">
        <f t="shared" si="1"/>
        <v>Year 5</v>
      </c>
      <c r="C224" s="653">
        <f>C223+1</f>
        <v>5</v>
      </c>
      <c r="D224" s="430">
        <f t="shared" si="2"/>
        <v>11183.176085627114</v>
      </c>
      <c r="E224" s="541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2295</v>
      </c>
      <c r="C226" s="622" t="s">
        <v>1242</v>
      </c>
      <c r="D226" s="622" t="s">
        <v>2275</v>
      </c>
      <c r="E226" s="417"/>
      <c r="F226" s="417"/>
      <c r="G226" s="417"/>
    </row>
    <row r="227" spans="2:7" ht="15" customHeight="1">
      <c r="B227" s="452" t="str">
        <f t="shared" ref="B227:B232" si="3">"Year "&amp;C227</f>
        <v>Year 0</v>
      </c>
      <c r="C227" s="654">
        <v>0</v>
      </c>
      <c r="D227" s="431">
        <f t="shared" ref="D227:D232" si="4">IF(C227=0,$C$189-$C$185,0)+IF(C227=$C$46,$C$58,0)+IF(C227=$C$9,$D$79+$D$85,0)</f>
        <v>-2350</v>
      </c>
      <c r="E227" s="417"/>
      <c r="F227" s="612" t="s">
        <v>2714</v>
      </c>
      <c r="G227" s="417"/>
    </row>
    <row r="228" spans="2:7" ht="15" customHeight="1">
      <c r="B228" s="452" t="str">
        <f t="shared" si="3"/>
        <v>Year 1</v>
      </c>
      <c r="C228" s="653">
        <f>C227+1</f>
        <v>1</v>
      </c>
      <c r="D228" s="430">
        <f t="shared" si="4"/>
        <v>0</v>
      </c>
      <c r="E228" s="417"/>
      <c r="F228" s="417"/>
      <c r="G228" s="417"/>
    </row>
    <row r="229" spans="2:7" ht="15" customHeight="1">
      <c r="B229" s="452" t="str">
        <f t="shared" si="3"/>
        <v>Year 2</v>
      </c>
      <c r="C229" s="653">
        <f>C228+1</f>
        <v>2</v>
      </c>
      <c r="D229" s="430">
        <f t="shared" si="4"/>
        <v>0</v>
      </c>
      <c r="E229" s="417"/>
      <c r="F229" s="417"/>
      <c r="G229" s="417"/>
    </row>
    <row r="230" spans="2:7" ht="15" customHeight="1">
      <c r="B230" s="452" t="str">
        <f t="shared" si="3"/>
        <v>Year 3</v>
      </c>
      <c r="C230" s="653">
        <f>C229+1</f>
        <v>3</v>
      </c>
      <c r="D230" s="430">
        <f t="shared" si="4"/>
        <v>0</v>
      </c>
      <c r="E230" s="417"/>
      <c r="F230" s="417"/>
      <c r="G230" s="417"/>
    </row>
    <row r="231" spans="2:7" ht="15" customHeight="1">
      <c r="B231" s="452" t="str">
        <f t="shared" si="3"/>
        <v>Year 4</v>
      </c>
      <c r="C231" s="653">
        <f>C230+1</f>
        <v>4</v>
      </c>
      <c r="D231" s="430">
        <f t="shared" si="4"/>
        <v>0</v>
      </c>
      <c r="E231" s="417"/>
      <c r="F231" s="417"/>
      <c r="G231" s="417"/>
    </row>
    <row r="232" spans="2:7" ht="15" customHeight="1">
      <c r="B232" s="452" t="str">
        <f t="shared" si="3"/>
        <v>Year 5</v>
      </c>
      <c r="C232" s="653">
        <f>C231+1</f>
        <v>5</v>
      </c>
      <c r="D232" s="430">
        <f t="shared" si="4"/>
        <v>7752.1570990481869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90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DE468"/>
  <sheetViews>
    <sheetView showGridLines="0" view="pageBreakPreview" zoomScaleNormal="100" zoomScaleSheetLayoutView="100" workbookViewId="0"/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64" t="s">
        <v>2482</v>
      </c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84"/>
      <c r="N3" s="417" t="s">
        <v>276</v>
      </c>
      <c r="O3" s="785">
        <v>1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795" t="s">
        <v>2735</v>
      </c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417"/>
      <c r="N5" s="417"/>
      <c r="O5" s="417"/>
      <c r="P5" s="417"/>
      <c r="Q5" s="417"/>
    </row>
    <row r="6" spans="1:54">
      <c r="A6" s="417"/>
      <c r="B6" s="148" t="s">
        <v>2527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67" t="s">
        <v>2525</v>
      </c>
      <c r="E8" s="767"/>
      <c r="F8" s="767"/>
      <c r="G8" s="767"/>
      <c r="H8" s="767"/>
      <c r="I8" s="767"/>
      <c r="J8" s="767"/>
      <c r="K8" s="767"/>
      <c r="L8" s="767"/>
      <c r="M8" s="417"/>
      <c r="N8" s="417"/>
      <c r="O8" s="417"/>
      <c r="P8" s="417"/>
      <c r="Q8" s="417"/>
      <c r="S8" s="786" t="s">
        <v>2535</v>
      </c>
      <c r="T8" s="746"/>
      <c r="U8" s="746"/>
      <c r="V8" s="746"/>
      <c r="W8" s="746"/>
      <c r="X8" s="746"/>
      <c r="Z8" s="786" t="s">
        <v>2549</v>
      </c>
      <c r="AA8" s="746"/>
      <c r="AB8" s="746"/>
      <c r="AC8" s="746"/>
      <c r="AD8" s="746"/>
      <c r="AE8" s="746"/>
      <c r="AF8" s="746"/>
      <c r="AG8" s="746"/>
      <c r="AH8" s="746"/>
    </row>
    <row r="9" spans="1:54" ht="12.75" customHeight="1">
      <c r="A9" s="417"/>
      <c r="B9" s="454"/>
      <c r="C9" s="454"/>
      <c r="D9" s="768">
        <f>E9-$G$441</f>
        <v>1.3171225937183451E-2</v>
      </c>
      <c r="E9" s="768">
        <f>F9-$G$441</f>
        <v>0.26317122593718345</v>
      </c>
      <c r="F9" s="768">
        <f>G9-$G$441</f>
        <v>0.51317122593718345</v>
      </c>
      <c r="G9" s="768">
        <f>H9-$G$441</f>
        <v>0.76317122593718345</v>
      </c>
      <c r="H9" s="768">
        <f>$G$440</f>
        <v>1.0131712259371835</v>
      </c>
      <c r="I9" s="768">
        <f>H9+$G$441</f>
        <v>1.2631712259371835</v>
      </c>
      <c r="J9" s="768">
        <f>I9+$G$441</f>
        <v>1.5131712259371835</v>
      </c>
      <c r="K9" s="768">
        <f>J9+$G$441</f>
        <v>1.7631712259371835</v>
      </c>
      <c r="L9" s="768">
        <f>K9+$G$441</f>
        <v>2.0131712259371835</v>
      </c>
      <c r="M9" s="417"/>
      <c r="N9" s="772" t="s">
        <v>2496</v>
      </c>
      <c r="O9" s="772" t="s">
        <v>2497</v>
      </c>
      <c r="P9" s="772" t="s">
        <v>2498</v>
      </c>
      <c r="Q9" s="772" t="s">
        <v>2499</v>
      </c>
      <c r="R9" s="772" t="s">
        <v>2500</v>
      </c>
      <c r="S9" s="787">
        <v>0</v>
      </c>
      <c r="T9" s="788">
        <f>S9+1</f>
        <v>1</v>
      </c>
      <c r="U9" s="788">
        <f>T9+1</f>
        <v>2</v>
      </c>
      <c r="V9" s="788">
        <f>U9+1</f>
        <v>3</v>
      </c>
      <c r="W9" s="788">
        <f>V9+1</f>
        <v>4</v>
      </c>
      <c r="X9" s="788">
        <f>W9+1</f>
        <v>5</v>
      </c>
      <c r="Z9" s="798">
        <f>D$9</f>
        <v>1.3171225937183451E-2</v>
      </c>
      <c r="AA9" s="798">
        <f t="shared" ref="AA9:AH9" si="0">E$9</f>
        <v>0.26317122593718345</v>
      </c>
      <c r="AB9" s="798">
        <f t="shared" si="0"/>
        <v>0.51317122593718345</v>
      </c>
      <c r="AC9" s="798">
        <f t="shared" si="0"/>
        <v>0.76317122593718345</v>
      </c>
      <c r="AD9" s="798">
        <f t="shared" si="0"/>
        <v>1.0131712259371835</v>
      </c>
      <c r="AE9" s="798">
        <f t="shared" si="0"/>
        <v>1.2631712259371835</v>
      </c>
      <c r="AF9" s="798">
        <f t="shared" si="0"/>
        <v>1.5131712259371835</v>
      </c>
      <c r="AG9" s="798">
        <f t="shared" si="0"/>
        <v>1.7631712259371835</v>
      </c>
      <c r="AH9" s="798">
        <f t="shared" si="0"/>
        <v>2.0131712259371835</v>
      </c>
      <c r="AT9" s="772" t="s">
        <v>2614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27" t="s">
        <v>2526</v>
      </c>
      <c r="C10" s="779">
        <f>C11-$G$439</f>
        <v>0.15000000000000002</v>
      </c>
      <c r="D10" s="620">
        <f>ROUND(Z10,$G$452)</f>
        <v>2300</v>
      </c>
      <c r="E10" s="620">
        <f t="shared" ref="E10:E16" si="1">ROUND(AA10,$G$452)</f>
        <v>2700</v>
      </c>
      <c r="F10" s="620">
        <f t="shared" ref="F10:F16" si="2">ROUND(AB10,$G$452)</f>
        <v>3100</v>
      </c>
      <c r="G10" s="620">
        <f t="shared" ref="G10:G16" si="3">ROUND(AC10,$G$452)</f>
        <v>3500</v>
      </c>
      <c r="H10" s="620">
        <f t="shared" ref="H10:H16" si="4">ROUND(AD10,$G$452)</f>
        <v>4000</v>
      </c>
      <c r="I10" s="620">
        <f t="shared" ref="I10:I16" si="5">ROUND(AE10,$G$452)</f>
        <v>4400</v>
      </c>
      <c r="J10" s="620">
        <f t="shared" ref="J10:J16" si="6">ROUND(AF10,$G$452)</f>
        <v>4800</v>
      </c>
      <c r="K10" s="620">
        <f t="shared" ref="K10:K16" si="7">ROUND(AG10,$G$452)</f>
        <v>5300</v>
      </c>
      <c r="L10" s="620">
        <f t="shared" ref="L10:L16" si="8">ROUND(AH10,$G$452)</f>
        <v>5700</v>
      </c>
      <c r="M10" s="417"/>
      <c r="N10" s="769">
        <f t="shared" ref="N10:N16" si="9">$C10</f>
        <v>0.15000000000000002</v>
      </c>
      <c r="O10" s="428">
        <f t="shared" ref="O10:O16" si="10">$G$433</f>
        <v>650</v>
      </c>
      <c r="P10" s="428">
        <f t="shared" ref="P10:P16" si="11">$G$430*(1-N10)-O10</f>
        <v>1900</v>
      </c>
      <c r="Q10" s="428">
        <f t="shared" ref="Q10:Q16" si="12">$G$432-O10</f>
        <v>49350</v>
      </c>
      <c r="R10" s="770">
        <f t="shared" ref="R10:R16" si="13">IFERROR(P10/(Q10+$G$430*(1-N10)),0)*(1-$G$434)</f>
        <v>3.4778420038535644E-2</v>
      </c>
      <c r="Z10" s="367">
        <f t="shared" ref="Z10:AH16" si="14">$O10+$G$435+$N10*$G$431+$R10*($Q10*(1+D$9)+$G$431*(1-$N10))-$G$430</f>
        <v>2257.5919002471928</v>
      </c>
      <c r="AA10" s="367">
        <f t="shared" si="14"/>
        <v>2686.6706574726268</v>
      </c>
      <c r="AB10" s="367">
        <f t="shared" si="14"/>
        <v>3115.7494146980598</v>
      </c>
      <c r="AC10" s="367">
        <f t="shared" si="14"/>
        <v>3544.8281719234928</v>
      </c>
      <c r="AD10" s="367">
        <f t="shared" si="14"/>
        <v>3973.9069291489268</v>
      </c>
      <c r="AE10" s="367">
        <f t="shared" si="14"/>
        <v>4402.9856863743607</v>
      </c>
      <c r="AF10" s="367">
        <f t="shared" si="14"/>
        <v>4832.0644435997929</v>
      </c>
      <c r="AG10" s="367">
        <f t="shared" si="14"/>
        <v>5261.1432008252268</v>
      </c>
      <c r="AH10" s="367">
        <f t="shared" si="14"/>
        <v>5690.2219580506608</v>
      </c>
      <c r="AT10" s="804">
        <f>IF(Z50&lt;$G$449,0,MIN($G$446,1+IFERROR(INT((Z50-$G$449)/$G$451),0)))</f>
        <v>0</v>
      </c>
      <c r="AU10" s="804">
        <f t="shared" ref="AU10:BB10" si="15">IF(AA50&lt;$G$449,0,MIN($G$446,1+IFERROR(INT((AA50-$G$449)/$G$451),0)))</f>
        <v>0</v>
      </c>
      <c r="AV10" s="804">
        <f t="shared" si="15"/>
        <v>0</v>
      </c>
      <c r="AW10" s="804">
        <f t="shared" si="15"/>
        <v>0</v>
      </c>
      <c r="AX10" s="804">
        <f t="shared" si="15"/>
        <v>0</v>
      </c>
      <c r="AY10" s="804">
        <f t="shared" si="15"/>
        <v>0</v>
      </c>
      <c r="AZ10" s="804">
        <f t="shared" si="15"/>
        <v>0</v>
      </c>
      <c r="BA10" s="804">
        <f t="shared" si="15"/>
        <v>0</v>
      </c>
      <c r="BB10" s="804">
        <f t="shared" si="15"/>
        <v>1</v>
      </c>
    </row>
    <row r="11" spans="1:54">
      <c r="A11" s="417"/>
      <c r="B11" s="828"/>
      <c r="C11" s="779">
        <f>C12-$G$439</f>
        <v>0.2</v>
      </c>
      <c r="D11" s="470">
        <f t="shared" ref="D11:D16" si="16">ROUND(Z11,$G$452)</f>
        <v>2900</v>
      </c>
      <c r="E11" s="470">
        <f t="shared" si="1"/>
        <v>3300</v>
      </c>
      <c r="F11" s="470">
        <f t="shared" si="2"/>
        <v>3700</v>
      </c>
      <c r="G11" s="470">
        <f t="shared" si="3"/>
        <v>4100</v>
      </c>
      <c r="H11" s="470">
        <f t="shared" si="4"/>
        <v>4400</v>
      </c>
      <c r="I11" s="470">
        <f t="shared" si="5"/>
        <v>4800</v>
      </c>
      <c r="J11" s="470">
        <f t="shared" si="6"/>
        <v>5200</v>
      </c>
      <c r="K11" s="470">
        <f t="shared" si="7"/>
        <v>5600</v>
      </c>
      <c r="L11" s="470">
        <f t="shared" si="8"/>
        <v>6000</v>
      </c>
      <c r="M11" s="417"/>
      <c r="N11" s="769">
        <f t="shared" si="9"/>
        <v>0.2</v>
      </c>
      <c r="O11" s="428">
        <f t="shared" si="10"/>
        <v>650</v>
      </c>
      <c r="P11" s="428">
        <f t="shared" si="11"/>
        <v>1750</v>
      </c>
      <c r="Q11" s="428">
        <f t="shared" si="12"/>
        <v>49350</v>
      </c>
      <c r="R11" s="770">
        <f t="shared" si="13"/>
        <v>3.2125603864734294E-2</v>
      </c>
      <c r="Z11" s="367">
        <f t="shared" si="14"/>
        <v>2862.0634004175208</v>
      </c>
      <c r="AA11" s="367">
        <f t="shared" si="14"/>
        <v>3258.4130380986808</v>
      </c>
      <c r="AB11" s="367">
        <f t="shared" si="14"/>
        <v>3654.7626757798398</v>
      </c>
      <c r="AC11" s="367">
        <f t="shared" si="14"/>
        <v>4051.1123134609988</v>
      </c>
      <c r="AD11" s="367">
        <f t="shared" si="14"/>
        <v>4447.4619511421588</v>
      </c>
      <c r="AE11" s="367">
        <f t="shared" si="14"/>
        <v>4843.8115888233178</v>
      </c>
      <c r="AF11" s="367">
        <f t="shared" si="14"/>
        <v>5240.1612265044769</v>
      </c>
      <c r="AG11" s="367">
        <f t="shared" si="14"/>
        <v>5636.5108641856368</v>
      </c>
      <c r="AH11" s="367">
        <f t="shared" si="14"/>
        <v>6032.8605018667949</v>
      </c>
      <c r="AT11" s="804">
        <f t="shared" ref="AT11:BB11" si="17">IF(Z51&lt;$G$449,0,MIN($G$446,1+IFERROR(INT((Z51-$G$449)/$G$451),0)))</f>
        <v>0</v>
      </c>
      <c r="AU11" s="804">
        <f t="shared" si="17"/>
        <v>0</v>
      </c>
      <c r="AV11" s="804">
        <f t="shared" si="17"/>
        <v>0</v>
      </c>
      <c r="AW11" s="804">
        <f t="shared" si="17"/>
        <v>0</v>
      </c>
      <c r="AX11" s="804">
        <f t="shared" si="17"/>
        <v>0</v>
      </c>
      <c r="AY11" s="804">
        <f t="shared" si="17"/>
        <v>0</v>
      </c>
      <c r="AZ11" s="804">
        <f t="shared" si="17"/>
        <v>0</v>
      </c>
      <c r="BA11" s="804">
        <f t="shared" si="17"/>
        <v>1</v>
      </c>
      <c r="BB11" s="804">
        <f t="shared" si="17"/>
        <v>3</v>
      </c>
    </row>
    <row r="12" spans="1:54">
      <c r="A12" s="417"/>
      <c r="B12" s="828"/>
      <c r="C12" s="779">
        <f>C13-$G$439</f>
        <v>0.25</v>
      </c>
      <c r="D12" s="470">
        <f t="shared" si="16"/>
        <v>3500</v>
      </c>
      <c r="E12" s="470">
        <f t="shared" si="1"/>
        <v>3800</v>
      </c>
      <c r="F12" s="470">
        <f t="shared" si="2"/>
        <v>4200</v>
      </c>
      <c r="G12" s="470">
        <f t="shared" si="3"/>
        <v>4600</v>
      </c>
      <c r="H12" s="470">
        <f t="shared" si="4"/>
        <v>4900</v>
      </c>
      <c r="I12" s="470">
        <f t="shared" si="5"/>
        <v>5300</v>
      </c>
      <c r="J12" s="470">
        <f t="shared" si="6"/>
        <v>5700</v>
      </c>
      <c r="K12" s="470">
        <f t="shared" si="7"/>
        <v>6000</v>
      </c>
      <c r="L12" s="470">
        <f t="shared" si="8"/>
        <v>6400</v>
      </c>
      <c r="M12" s="417"/>
      <c r="N12" s="769">
        <f t="shared" si="9"/>
        <v>0.25</v>
      </c>
      <c r="O12" s="428">
        <f t="shared" si="10"/>
        <v>650</v>
      </c>
      <c r="P12" s="428">
        <f t="shared" si="11"/>
        <v>1600</v>
      </c>
      <c r="Q12" s="428">
        <f t="shared" si="12"/>
        <v>49350</v>
      </c>
      <c r="R12" s="770">
        <f t="shared" si="13"/>
        <v>2.9457364341085271E-2</v>
      </c>
      <c r="Z12" s="367">
        <f t="shared" si="14"/>
        <v>3469.8170609691224</v>
      </c>
      <c r="AA12" s="367">
        <f t="shared" si="14"/>
        <v>3833.2472935272617</v>
      </c>
      <c r="AB12" s="367">
        <f t="shared" si="14"/>
        <v>4196.677526085401</v>
      </c>
      <c r="AC12" s="367">
        <f t="shared" si="14"/>
        <v>4560.1077586435404</v>
      </c>
      <c r="AD12" s="367">
        <f t="shared" si="14"/>
        <v>4923.5379912016797</v>
      </c>
      <c r="AE12" s="367">
        <f t="shared" si="14"/>
        <v>5286.9682237598208</v>
      </c>
      <c r="AF12" s="367">
        <f t="shared" si="14"/>
        <v>5650.3984563179602</v>
      </c>
      <c r="AG12" s="367">
        <f t="shared" si="14"/>
        <v>6013.8286888760995</v>
      </c>
      <c r="AH12" s="367">
        <f t="shared" si="14"/>
        <v>6377.2589214342388</v>
      </c>
      <c r="AT12" s="804">
        <f t="shared" ref="AT12:BB12" si="18">IF(Z52&lt;$G$449,0,MIN($G$446,1+IFERROR(INT((Z52-$G$449)/$G$451),0)))</f>
        <v>0</v>
      </c>
      <c r="AU12" s="804">
        <f t="shared" si="18"/>
        <v>0</v>
      </c>
      <c r="AV12" s="804">
        <f t="shared" si="18"/>
        <v>0</v>
      </c>
      <c r="AW12" s="804">
        <f t="shared" si="18"/>
        <v>0</v>
      </c>
      <c r="AX12" s="804">
        <f t="shared" si="18"/>
        <v>0</v>
      </c>
      <c r="AY12" s="804">
        <f t="shared" si="18"/>
        <v>0</v>
      </c>
      <c r="AZ12" s="804">
        <f t="shared" si="18"/>
        <v>1</v>
      </c>
      <c r="BA12" s="804">
        <f t="shared" si="18"/>
        <v>3</v>
      </c>
      <c r="BB12" s="804">
        <f t="shared" si="18"/>
        <v>4</v>
      </c>
    </row>
    <row r="13" spans="1:54">
      <c r="A13" s="417"/>
      <c r="B13" s="828"/>
      <c r="C13" s="779">
        <f>$G$438</f>
        <v>0.3</v>
      </c>
      <c r="D13" s="470">
        <f t="shared" si="16"/>
        <v>4100</v>
      </c>
      <c r="E13" s="470">
        <f t="shared" si="1"/>
        <v>4400</v>
      </c>
      <c r="F13" s="470">
        <f t="shared" si="2"/>
        <v>4700</v>
      </c>
      <c r="G13" s="470">
        <f t="shared" si="3"/>
        <v>5100</v>
      </c>
      <c r="H13" s="781">
        <f t="shared" si="4"/>
        <v>5400</v>
      </c>
      <c r="I13" s="470">
        <f t="shared" si="5"/>
        <v>5700</v>
      </c>
      <c r="J13" s="470">
        <f t="shared" si="6"/>
        <v>6100</v>
      </c>
      <c r="K13" s="470">
        <f t="shared" si="7"/>
        <v>6400</v>
      </c>
      <c r="L13" s="470">
        <f t="shared" si="8"/>
        <v>6700</v>
      </c>
      <c r="M13" s="417"/>
      <c r="N13" s="769">
        <f t="shared" si="9"/>
        <v>0.3</v>
      </c>
      <c r="O13" s="428">
        <f t="shared" si="10"/>
        <v>650</v>
      </c>
      <c r="P13" s="428">
        <f t="shared" si="11"/>
        <v>1450</v>
      </c>
      <c r="Q13" s="428">
        <f t="shared" si="12"/>
        <v>49350</v>
      </c>
      <c r="R13" s="770">
        <f t="shared" si="13"/>
        <v>2.6773566569484937E-2</v>
      </c>
      <c r="Z13" s="367">
        <f t="shared" si="14"/>
        <v>4080.8815888441059</v>
      </c>
      <c r="AA13" s="367">
        <f t="shared" si="14"/>
        <v>4411.2004663951257</v>
      </c>
      <c r="AB13" s="367">
        <f t="shared" si="14"/>
        <v>4741.5193439461464</v>
      </c>
      <c r="AC13" s="367">
        <f t="shared" si="14"/>
        <v>5071.8382214971662</v>
      </c>
      <c r="AD13" s="367">
        <f t="shared" si="14"/>
        <v>5402.1570990481869</v>
      </c>
      <c r="AE13" s="367">
        <f t="shared" si="14"/>
        <v>5732.4759765992076</v>
      </c>
      <c r="AF13" s="367">
        <f t="shared" si="14"/>
        <v>6062.7948541502283</v>
      </c>
      <c r="AG13" s="367">
        <f t="shared" si="14"/>
        <v>6393.113731701249</v>
      </c>
      <c r="AH13" s="367">
        <f t="shared" si="14"/>
        <v>6723.4326092522679</v>
      </c>
      <c r="AT13" s="804">
        <f t="shared" ref="AT13:BB13" si="19">IF(Z53&lt;$G$449,0,MIN($G$446,1+IFERROR(INT((Z53-$G$449)/$G$451),0)))</f>
        <v>0</v>
      </c>
      <c r="AU13" s="804">
        <f t="shared" si="19"/>
        <v>0</v>
      </c>
      <c r="AV13" s="804">
        <f t="shared" si="19"/>
        <v>0</v>
      </c>
      <c r="AW13" s="804">
        <f t="shared" si="19"/>
        <v>0</v>
      </c>
      <c r="AX13" s="804">
        <f t="shared" si="19"/>
        <v>0</v>
      </c>
      <c r="AY13" s="804">
        <f t="shared" si="19"/>
        <v>2</v>
      </c>
      <c r="AZ13" s="804">
        <f t="shared" si="19"/>
        <v>3</v>
      </c>
      <c r="BA13" s="804">
        <f t="shared" si="19"/>
        <v>4</v>
      </c>
      <c r="BB13" s="804">
        <f t="shared" si="19"/>
        <v>6</v>
      </c>
    </row>
    <row r="14" spans="1:54">
      <c r="A14" s="417"/>
      <c r="B14" s="828"/>
      <c r="C14" s="779">
        <f>C13+$G$439</f>
        <v>0.35</v>
      </c>
      <c r="D14" s="470">
        <f t="shared" si="16"/>
        <v>4700</v>
      </c>
      <c r="E14" s="470">
        <f t="shared" si="1"/>
        <v>5000</v>
      </c>
      <c r="F14" s="470">
        <f t="shared" si="2"/>
        <v>5300</v>
      </c>
      <c r="G14" s="470">
        <f t="shared" si="3"/>
        <v>5600</v>
      </c>
      <c r="H14" s="470">
        <f t="shared" si="4"/>
        <v>5900</v>
      </c>
      <c r="I14" s="470">
        <f t="shared" si="5"/>
        <v>6200</v>
      </c>
      <c r="J14" s="470">
        <f t="shared" si="6"/>
        <v>6500</v>
      </c>
      <c r="K14" s="470">
        <f t="shared" si="7"/>
        <v>6800</v>
      </c>
      <c r="L14" s="470">
        <f t="shared" si="8"/>
        <v>7100</v>
      </c>
      <c r="M14" s="417"/>
      <c r="N14" s="769">
        <f t="shared" si="9"/>
        <v>0.35</v>
      </c>
      <c r="O14" s="428">
        <f t="shared" si="10"/>
        <v>650</v>
      </c>
      <c r="P14" s="428">
        <f t="shared" si="11"/>
        <v>1300</v>
      </c>
      <c r="Q14" s="428">
        <f t="shared" si="12"/>
        <v>49350</v>
      </c>
      <c r="R14" s="770">
        <f t="shared" si="13"/>
        <v>2.4074074074074071E-2</v>
      </c>
      <c r="Z14" s="367">
        <f t="shared" si="14"/>
        <v>4695.2860267382894</v>
      </c>
      <c r="AA14" s="367">
        <f t="shared" si="14"/>
        <v>4992.299915627179</v>
      </c>
      <c r="AB14" s="367">
        <f t="shared" si="14"/>
        <v>5289.3138045160667</v>
      </c>
      <c r="AC14" s="367">
        <f t="shared" si="14"/>
        <v>5586.3276934049572</v>
      </c>
      <c r="AD14" s="367">
        <f t="shared" si="14"/>
        <v>5883.3415822938459</v>
      </c>
      <c r="AE14" s="367">
        <f t="shared" si="14"/>
        <v>6180.3554711827346</v>
      </c>
      <c r="AF14" s="367">
        <f t="shared" si="14"/>
        <v>6477.3693600716233</v>
      </c>
      <c r="AG14" s="367">
        <f t="shared" si="14"/>
        <v>6774.383248960512</v>
      </c>
      <c r="AH14" s="367">
        <f t="shared" si="14"/>
        <v>7071.3971378494007</v>
      </c>
      <c r="AT14" s="804">
        <f t="shared" ref="AT14:BB14" si="20">IF(Z54&lt;$G$449,0,MIN($G$446,1+IFERROR(INT((Z54-$G$449)/$G$451),0)))</f>
        <v>0</v>
      </c>
      <c r="AU14" s="804">
        <f t="shared" si="20"/>
        <v>0</v>
      </c>
      <c r="AV14" s="804">
        <f t="shared" si="20"/>
        <v>0</v>
      </c>
      <c r="AW14" s="804">
        <f t="shared" si="20"/>
        <v>1</v>
      </c>
      <c r="AX14" s="804">
        <f t="shared" si="20"/>
        <v>2</v>
      </c>
      <c r="AY14" s="804">
        <f t="shared" si="20"/>
        <v>4</v>
      </c>
      <c r="AZ14" s="804">
        <f t="shared" si="20"/>
        <v>5</v>
      </c>
      <c r="BA14" s="804">
        <f t="shared" si="20"/>
        <v>6</v>
      </c>
      <c r="BB14" s="804">
        <f t="shared" si="20"/>
        <v>7</v>
      </c>
    </row>
    <row r="15" spans="1:54">
      <c r="A15" s="417"/>
      <c r="B15" s="828"/>
      <c r="C15" s="779">
        <f>C14+$G$439</f>
        <v>0.39999999999999997</v>
      </c>
      <c r="D15" s="470">
        <f t="shared" si="16"/>
        <v>5300</v>
      </c>
      <c r="E15" s="470">
        <f t="shared" si="1"/>
        <v>5600</v>
      </c>
      <c r="F15" s="470">
        <f t="shared" si="2"/>
        <v>5800</v>
      </c>
      <c r="G15" s="470">
        <f t="shared" si="3"/>
        <v>6100</v>
      </c>
      <c r="H15" s="470">
        <f t="shared" si="4"/>
        <v>6400</v>
      </c>
      <c r="I15" s="470">
        <f t="shared" si="5"/>
        <v>6600</v>
      </c>
      <c r="J15" s="470">
        <f t="shared" si="6"/>
        <v>6900</v>
      </c>
      <c r="K15" s="470">
        <f t="shared" si="7"/>
        <v>7200</v>
      </c>
      <c r="L15" s="470">
        <f t="shared" si="8"/>
        <v>7400</v>
      </c>
      <c r="M15" s="417"/>
      <c r="N15" s="769">
        <f t="shared" si="9"/>
        <v>0.39999999999999997</v>
      </c>
      <c r="O15" s="428">
        <f t="shared" si="10"/>
        <v>650</v>
      </c>
      <c r="P15" s="428">
        <f t="shared" si="11"/>
        <v>1150.0000000000002</v>
      </c>
      <c r="Q15" s="428">
        <f t="shared" si="12"/>
        <v>49350</v>
      </c>
      <c r="R15" s="770">
        <f t="shared" si="13"/>
        <v>2.135874877810362E-2</v>
      </c>
      <c r="Z15" s="367">
        <f t="shared" si="14"/>
        <v>5313.0597580242811</v>
      </c>
      <c r="AA15" s="367">
        <f t="shared" si="14"/>
        <v>5576.5733210741346</v>
      </c>
      <c r="AB15" s="367">
        <f t="shared" si="14"/>
        <v>5840.0868841239862</v>
      </c>
      <c r="AC15" s="367">
        <f t="shared" si="14"/>
        <v>6103.6004471738415</v>
      </c>
      <c r="AD15" s="367">
        <f t="shared" si="14"/>
        <v>6367.1140102236932</v>
      </c>
      <c r="AE15" s="367">
        <f t="shared" si="14"/>
        <v>6630.6275732735485</v>
      </c>
      <c r="AF15" s="367">
        <f t="shared" si="14"/>
        <v>6894.1411363234001</v>
      </c>
      <c r="AG15" s="367">
        <f t="shared" si="14"/>
        <v>7157.6546993732536</v>
      </c>
      <c r="AH15" s="367">
        <f t="shared" si="14"/>
        <v>7421.1682624231071</v>
      </c>
      <c r="AT15" s="804">
        <f t="shared" ref="AT15:BB15" si="21">IF(Z55&lt;$G$449,0,MIN($G$446,1+IFERROR(INT((Z55-$G$449)/$G$451),0)))</f>
        <v>0</v>
      </c>
      <c r="AU15" s="804">
        <f t="shared" si="21"/>
        <v>1</v>
      </c>
      <c r="AV15" s="804">
        <f t="shared" si="21"/>
        <v>2</v>
      </c>
      <c r="AW15" s="804">
        <f t="shared" si="21"/>
        <v>3</v>
      </c>
      <c r="AX15" s="804">
        <f t="shared" si="21"/>
        <v>4</v>
      </c>
      <c r="AY15" s="804">
        <f t="shared" si="21"/>
        <v>5</v>
      </c>
      <c r="AZ15" s="804">
        <f t="shared" si="21"/>
        <v>7</v>
      </c>
      <c r="BA15" s="804">
        <f t="shared" si="21"/>
        <v>8</v>
      </c>
      <c r="BB15" s="804">
        <f t="shared" si="21"/>
        <v>9</v>
      </c>
    </row>
    <row r="16" spans="1:54">
      <c r="A16" s="417"/>
      <c r="B16" s="829"/>
      <c r="C16" s="780">
        <f>C15+$G$439</f>
        <v>0.44999999999999996</v>
      </c>
      <c r="D16" s="771">
        <f t="shared" si="16"/>
        <v>5900</v>
      </c>
      <c r="E16" s="771">
        <f t="shared" si="1"/>
        <v>6200</v>
      </c>
      <c r="F16" s="771">
        <f t="shared" si="2"/>
        <v>6400</v>
      </c>
      <c r="G16" s="771">
        <f t="shared" si="3"/>
        <v>6600</v>
      </c>
      <c r="H16" s="771">
        <f t="shared" si="4"/>
        <v>6900</v>
      </c>
      <c r="I16" s="771">
        <f t="shared" si="5"/>
        <v>7100</v>
      </c>
      <c r="J16" s="771">
        <f t="shared" si="6"/>
        <v>7300</v>
      </c>
      <c r="K16" s="771">
        <f t="shared" si="7"/>
        <v>7500</v>
      </c>
      <c r="L16" s="771">
        <f t="shared" si="8"/>
        <v>7800</v>
      </c>
      <c r="M16" s="417"/>
      <c r="N16" s="769">
        <f t="shared" si="9"/>
        <v>0.44999999999999996</v>
      </c>
      <c r="O16" s="428">
        <f t="shared" si="10"/>
        <v>650</v>
      </c>
      <c r="P16" s="428">
        <f t="shared" si="11"/>
        <v>1000.0000000000002</v>
      </c>
      <c r="Q16" s="428">
        <f t="shared" si="12"/>
        <v>49350</v>
      </c>
      <c r="R16" s="770">
        <f t="shared" si="13"/>
        <v>1.862745098039216E-2</v>
      </c>
      <c r="Z16" s="367">
        <f t="shared" si="14"/>
        <v>5934.2325117614128</v>
      </c>
      <c r="AA16" s="367">
        <f t="shared" si="14"/>
        <v>6164.048688232002</v>
      </c>
      <c r="AB16" s="367">
        <f t="shared" si="14"/>
        <v>6393.8648647025893</v>
      </c>
      <c r="AC16" s="367">
        <f t="shared" si="14"/>
        <v>6623.6810411731785</v>
      </c>
      <c r="AD16" s="367">
        <f t="shared" si="14"/>
        <v>6853.4972176437659</v>
      </c>
      <c r="AE16" s="367">
        <f t="shared" si="14"/>
        <v>7083.3133941143551</v>
      </c>
      <c r="AF16" s="367">
        <f t="shared" si="14"/>
        <v>7313.1295705849425</v>
      </c>
      <c r="AG16" s="367">
        <f t="shared" si="14"/>
        <v>7542.9457470555317</v>
      </c>
      <c r="AH16" s="367">
        <f t="shared" si="14"/>
        <v>7772.7619235261191</v>
      </c>
      <c r="AT16" s="804">
        <f t="shared" ref="AT16:BB16" si="22">IF(Z56&lt;$G$449,0,MIN($G$446,1+IFERROR(INT((Z56-$G$449)/$G$451),0)))</f>
        <v>2</v>
      </c>
      <c r="AU16" s="804">
        <f t="shared" si="22"/>
        <v>3</v>
      </c>
      <c r="AV16" s="804">
        <f t="shared" si="22"/>
        <v>4</v>
      </c>
      <c r="AW16" s="804">
        <f t="shared" si="22"/>
        <v>5</v>
      </c>
      <c r="AX16" s="804">
        <f t="shared" si="22"/>
        <v>6</v>
      </c>
      <c r="AY16" s="804">
        <f t="shared" si="22"/>
        <v>7</v>
      </c>
      <c r="AZ16" s="804">
        <f t="shared" si="22"/>
        <v>8</v>
      </c>
      <c r="BA16" s="804">
        <f t="shared" si="22"/>
        <v>9</v>
      </c>
      <c r="BB16" s="804">
        <f t="shared" si="22"/>
        <v>10</v>
      </c>
    </row>
    <row r="17" spans="1:54" hidden="1" outlineLevel="1">
      <c r="A17" s="417"/>
      <c r="B17" s="423" t="s">
        <v>2773</v>
      </c>
      <c r="C17" s="784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69"/>
      <c r="O17" s="428"/>
      <c r="P17" s="428"/>
      <c r="Q17" s="428"/>
      <c r="R17" s="770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69">
        <f>$G$436</f>
        <v>0.3</v>
      </c>
      <c r="O18" s="428">
        <f>$G$433</f>
        <v>650</v>
      </c>
      <c r="P18" s="428">
        <f>$G$430*(1-N18)-O18</f>
        <v>1450</v>
      </c>
      <c r="Q18" s="428">
        <f>$G$432-O18</f>
        <v>49350</v>
      </c>
      <c r="R18" s="770">
        <f>IFERROR(P18/(Q18+$G$430*(1-N18)),0)*(1-$G$434)</f>
        <v>2.6773566569484937E-2</v>
      </c>
    </row>
    <row r="19" spans="1:54" ht="15" customHeight="1">
      <c r="A19" s="417"/>
      <c r="B19" s="148" t="s">
        <v>2528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67" t="s">
        <v>2525</v>
      </c>
      <c r="E21" s="767"/>
      <c r="F21" s="767"/>
      <c r="G21" s="767"/>
      <c r="H21" s="767"/>
      <c r="I21" s="767"/>
      <c r="J21" s="767"/>
      <c r="K21" s="767"/>
      <c r="L21" s="767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68">
        <f>E22-$G$441</f>
        <v>1.3171225937183451E-2</v>
      </c>
      <c r="E22" s="768">
        <f>F22-$G$441</f>
        <v>0.26317122593718345</v>
      </c>
      <c r="F22" s="768">
        <f>G22-$G$441</f>
        <v>0.51317122593718345</v>
      </c>
      <c r="G22" s="768">
        <f>H22-$G$441</f>
        <v>0.76317122593718345</v>
      </c>
      <c r="H22" s="768">
        <f>$G$440</f>
        <v>1.0131712259371835</v>
      </c>
      <c r="I22" s="768">
        <f>H22+$G$441</f>
        <v>1.2631712259371835</v>
      </c>
      <c r="J22" s="768">
        <f>I22+$G$441</f>
        <v>1.5131712259371835</v>
      </c>
      <c r="K22" s="768">
        <f>J22+$G$441</f>
        <v>1.7631712259371835</v>
      </c>
      <c r="L22" s="768">
        <f>K22+$G$441</f>
        <v>2.0131712259371835</v>
      </c>
      <c r="M22" s="417"/>
      <c r="N22" s="417"/>
      <c r="O22" s="417"/>
      <c r="P22" s="417"/>
      <c r="Q22" s="417"/>
      <c r="AT22" s="772" t="s">
        <v>2614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27" t="s">
        <v>2526</v>
      </c>
      <c r="C23" s="779">
        <f>C24-$G$439</f>
        <v>0.15000000000000002</v>
      </c>
      <c r="D23" s="490">
        <f>IFERROR(Z10/$G$430,0)</f>
        <v>0.7525306334157309</v>
      </c>
      <c r="E23" s="490">
        <f t="shared" ref="E23:L23" si="23">IFERROR(AA10/$G$430,0)</f>
        <v>0.89555688582420889</v>
      </c>
      <c r="F23" s="490">
        <f t="shared" si="23"/>
        <v>1.0385831382326867</v>
      </c>
      <c r="G23" s="490">
        <f t="shared" si="23"/>
        <v>1.1816093906411642</v>
      </c>
      <c r="H23" s="490">
        <f t="shared" si="23"/>
        <v>1.3246356430496422</v>
      </c>
      <c r="I23" s="490">
        <f t="shared" si="23"/>
        <v>1.4676618954581202</v>
      </c>
      <c r="J23" s="490">
        <f t="shared" si="23"/>
        <v>1.6106881478665975</v>
      </c>
      <c r="K23" s="490">
        <f t="shared" si="23"/>
        <v>1.7537144002750755</v>
      </c>
      <c r="L23" s="490">
        <f t="shared" si="23"/>
        <v>1.8967406526835535</v>
      </c>
      <c r="M23" s="417"/>
      <c r="N23" s="417"/>
      <c r="O23" s="417"/>
      <c r="P23" s="417"/>
      <c r="Q23" s="417"/>
      <c r="AT23" s="804">
        <f>IF(Z50&lt;$G$449,0,MIN($G$446,1+IFERROR(INT((Z50-$G$449)/$G$451),0)))</f>
        <v>0</v>
      </c>
      <c r="AU23" s="804">
        <f t="shared" ref="AU23:BB23" si="24">IF(AA50&lt;$G$449,0,MIN($G$446,1+IFERROR(INT((AA50-$G$449)/$G$451),0)))</f>
        <v>0</v>
      </c>
      <c r="AV23" s="804">
        <f t="shared" si="24"/>
        <v>0</v>
      </c>
      <c r="AW23" s="804">
        <f t="shared" si="24"/>
        <v>0</v>
      </c>
      <c r="AX23" s="804">
        <f t="shared" si="24"/>
        <v>0</v>
      </c>
      <c r="AY23" s="804">
        <f t="shared" si="24"/>
        <v>0</v>
      </c>
      <c r="AZ23" s="804">
        <f t="shared" si="24"/>
        <v>0</v>
      </c>
      <c r="BA23" s="804">
        <f t="shared" si="24"/>
        <v>0</v>
      </c>
      <c r="BB23" s="804">
        <f t="shared" si="24"/>
        <v>1</v>
      </c>
    </row>
    <row r="24" spans="1:54" ht="15" customHeight="1">
      <c r="A24" s="417"/>
      <c r="B24" s="828"/>
      <c r="C24" s="779">
        <f>C25-$G$439</f>
        <v>0.2</v>
      </c>
      <c r="D24" s="490">
        <f t="shared" ref="D24:L24" si="25">IFERROR(Z11/$G$430,0)</f>
        <v>0.95402113347250694</v>
      </c>
      <c r="E24" s="490">
        <f t="shared" si="25"/>
        <v>1.086137679366227</v>
      </c>
      <c r="F24" s="490">
        <f t="shared" si="25"/>
        <v>1.2182542252599466</v>
      </c>
      <c r="G24" s="490">
        <f t="shared" si="25"/>
        <v>1.3503707711536663</v>
      </c>
      <c r="H24" s="490">
        <f t="shared" si="25"/>
        <v>1.4824873170473862</v>
      </c>
      <c r="I24" s="490">
        <f t="shared" si="25"/>
        <v>1.6146038629411059</v>
      </c>
      <c r="J24" s="490">
        <f t="shared" si="25"/>
        <v>1.7467204088348256</v>
      </c>
      <c r="K24" s="490">
        <f t="shared" si="25"/>
        <v>1.8788369547285455</v>
      </c>
      <c r="L24" s="490">
        <f t="shared" si="25"/>
        <v>2.0109535006222652</v>
      </c>
      <c r="M24" s="417"/>
      <c r="N24" s="417"/>
      <c r="O24" s="417"/>
      <c r="P24" s="417"/>
      <c r="Q24" s="417"/>
      <c r="AT24" s="804">
        <f t="shared" ref="AT24:BB24" si="26">IF(Z51&lt;$G$449,0,MIN($G$446,1+IFERROR(INT((Z51-$G$449)/$G$451),0)))</f>
        <v>0</v>
      </c>
      <c r="AU24" s="804">
        <f t="shared" si="26"/>
        <v>0</v>
      </c>
      <c r="AV24" s="804">
        <f t="shared" si="26"/>
        <v>0</v>
      </c>
      <c r="AW24" s="804">
        <f t="shared" si="26"/>
        <v>0</v>
      </c>
      <c r="AX24" s="804">
        <f t="shared" si="26"/>
        <v>0</v>
      </c>
      <c r="AY24" s="804">
        <f t="shared" si="26"/>
        <v>0</v>
      </c>
      <c r="AZ24" s="804">
        <f t="shared" si="26"/>
        <v>0</v>
      </c>
      <c r="BA24" s="804">
        <f t="shared" si="26"/>
        <v>1</v>
      </c>
      <c r="BB24" s="804">
        <f t="shared" si="26"/>
        <v>3</v>
      </c>
    </row>
    <row r="25" spans="1:54" ht="15" customHeight="1">
      <c r="B25" s="828"/>
      <c r="C25" s="779">
        <f>C26-$G$439</f>
        <v>0.25</v>
      </c>
      <c r="D25" s="490">
        <f t="shared" ref="D25:L25" si="27">IFERROR(Z12/$G$430,0)</f>
        <v>1.1566056869897074</v>
      </c>
      <c r="E25" s="490">
        <f t="shared" si="27"/>
        <v>1.2777490978424206</v>
      </c>
      <c r="F25" s="490">
        <f t="shared" si="27"/>
        <v>1.3988925086951336</v>
      </c>
      <c r="G25" s="490">
        <f t="shared" si="27"/>
        <v>1.5200359195478468</v>
      </c>
      <c r="H25" s="490">
        <f t="shared" si="27"/>
        <v>1.64117933040056</v>
      </c>
      <c r="I25" s="490">
        <f t="shared" si="27"/>
        <v>1.7623227412532736</v>
      </c>
      <c r="J25" s="490">
        <f t="shared" si="27"/>
        <v>1.8834661521059868</v>
      </c>
      <c r="K25" s="490">
        <f t="shared" si="27"/>
        <v>2.0046095629587</v>
      </c>
      <c r="L25" s="490">
        <f t="shared" si="27"/>
        <v>2.1257529738114131</v>
      </c>
      <c r="AT25" s="804">
        <f t="shared" ref="AT25:BB25" si="28">IF(Z52&lt;$G$449,0,MIN($G$446,1+IFERROR(INT((Z52-$G$449)/$G$451),0)))</f>
        <v>0</v>
      </c>
      <c r="AU25" s="804">
        <f t="shared" si="28"/>
        <v>0</v>
      </c>
      <c r="AV25" s="804">
        <f t="shared" si="28"/>
        <v>0</v>
      </c>
      <c r="AW25" s="804">
        <f t="shared" si="28"/>
        <v>0</v>
      </c>
      <c r="AX25" s="804">
        <f t="shared" si="28"/>
        <v>0</v>
      </c>
      <c r="AY25" s="804">
        <f t="shared" si="28"/>
        <v>0</v>
      </c>
      <c r="AZ25" s="804">
        <f t="shared" si="28"/>
        <v>1</v>
      </c>
      <c r="BA25" s="804">
        <f t="shared" si="28"/>
        <v>3</v>
      </c>
      <c r="BB25" s="804">
        <f t="shared" si="28"/>
        <v>4</v>
      </c>
    </row>
    <row r="26" spans="1:54" ht="15" customHeight="1">
      <c r="B26" s="828"/>
      <c r="C26" s="779">
        <f>$G$438</f>
        <v>0.3</v>
      </c>
      <c r="D26" s="490">
        <f t="shared" ref="D26:L26" si="29">IFERROR(Z13/$G$430,0)</f>
        <v>1.3602938629480352</v>
      </c>
      <c r="E26" s="490">
        <f t="shared" si="29"/>
        <v>1.4704001554650419</v>
      </c>
      <c r="F26" s="490">
        <f t="shared" si="29"/>
        <v>1.5805064479820488</v>
      </c>
      <c r="G26" s="490">
        <f t="shared" si="29"/>
        <v>1.6906127404990554</v>
      </c>
      <c r="H26" s="782">
        <f t="shared" si="29"/>
        <v>1.8007190330160623</v>
      </c>
      <c r="I26" s="490">
        <f t="shared" si="29"/>
        <v>1.9108253255330692</v>
      </c>
      <c r="J26" s="490">
        <f t="shared" si="29"/>
        <v>2.020931618050076</v>
      </c>
      <c r="K26" s="490">
        <f t="shared" si="29"/>
        <v>2.1310379105670831</v>
      </c>
      <c r="L26" s="490">
        <f t="shared" si="29"/>
        <v>2.2411442030840893</v>
      </c>
      <c r="AT26" s="804">
        <f t="shared" ref="AT26:BB26" si="30">IF(Z53&lt;$G$449,0,MIN($G$446,1+IFERROR(INT((Z53-$G$449)/$G$451),0)))</f>
        <v>0</v>
      </c>
      <c r="AU26" s="804">
        <f t="shared" si="30"/>
        <v>0</v>
      </c>
      <c r="AV26" s="804">
        <f t="shared" si="30"/>
        <v>0</v>
      </c>
      <c r="AW26" s="804">
        <f t="shared" si="30"/>
        <v>0</v>
      </c>
      <c r="AX26" s="804">
        <f t="shared" si="30"/>
        <v>0</v>
      </c>
      <c r="AY26" s="804">
        <f t="shared" si="30"/>
        <v>2</v>
      </c>
      <c r="AZ26" s="804">
        <f t="shared" si="30"/>
        <v>3</v>
      </c>
      <c r="BA26" s="804">
        <f t="shared" si="30"/>
        <v>4</v>
      </c>
      <c r="BB26" s="804">
        <f t="shared" si="30"/>
        <v>6</v>
      </c>
    </row>
    <row r="27" spans="1:54" ht="15" customHeight="1">
      <c r="B27" s="828"/>
      <c r="C27" s="779">
        <f>C26+$G$439</f>
        <v>0.35</v>
      </c>
      <c r="D27" s="490">
        <f t="shared" ref="D27:L27" si="31">IFERROR(Z14/$G$430,0)</f>
        <v>1.5650953422460965</v>
      </c>
      <c r="E27" s="490">
        <f t="shared" si="31"/>
        <v>1.6640999718757263</v>
      </c>
      <c r="F27" s="490">
        <f t="shared" si="31"/>
        <v>1.7631046015053555</v>
      </c>
      <c r="G27" s="490">
        <f t="shared" si="31"/>
        <v>1.8621092311349858</v>
      </c>
      <c r="H27" s="490">
        <f t="shared" si="31"/>
        <v>1.9611138607646152</v>
      </c>
      <c r="I27" s="490">
        <f t="shared" si="31"/>
        <v>2.0601184903942449</v>
      </c>
      <c r="J27" s="490">
        <f t="shared" si="31"/>
        <v>2.1591231200238745</v>
      </c>
      <c r="K27" s="490">
        <f t="shared" si="31"/>
        <v>2.2581277496535042</v>
      </c>
      <c r="L27" s="490">
        <f t="shared" si="31"/>
        <v>2.3571323792831333</v>
      </c>
      <c r="AT27" s="804">
        <f t="shared" ref="AT27:BB27" si="32">IF(Z54&lt;$G$449,0,MIN($G$446,1+IFERROR(INT((Z54-$G$449)/$G$451),0)))</f>
        <v>0</v>
      </c>
      <c r="AU27" s="804">
        <f t="shared" si="32"/>
        <v>0</v>
      </c>
      <c r="AV27" s="804">
        <f t="shared" si="32"/>
        <v>0</v>
      </c>
      <c r="AW27" s="804">
        <f t="shared" si="32"/>
        <v>1</v>
      </c>
      <c r="AX27" s="804">
        <f t="shared" si="32"/>
        <v>2</v>
      </c>
      <c r="AY27" s="804">
        <f t="shared" si="32"/>
        <v>4</v>
      </c>
      <c r="AZ27" s="804">
        <f t="shared" si="32"/>
        <v>5</v>
      </c>
      <c r="BA27" s="804">
        <f t="shared" si="32"/>
        <v>6</v>
      </c>
      <c r="BB27" s="804">
        <f t="shared" si="32"/>
        <v>7</v>
      </c>
    </row>
    <row r="28" spans="1:54" ht="15" customHeight="1">
      <c r="B28" s="828"/>
      <c r="C28" s="779">
        <f>C27+$G$439</f>
        <v>0.39999999999999997</v>
      </c>
      <c r="D28" s="490">
        <f t="shared" ref="D28:L28" si="33">IFERROR(Z15/$G$430,0)</f>
        <v>1.7710199193414271</v>
      </c>
      <c r="E28" s="490">
        <f t="shared" si="33"/>
        <v>1.8588577736913783</v>
      </c>
      <c r="F28" s="490">
        <f t="shared" si="33"/>
        <v>1.9466956280413288</v>
      </c>
      <c r="G28" s="490">
        <f t="shared" si="33"/>
        <v>2.0345334823912804</v>
      </c>
      <c r="H28" s="490">
        <f t="shared" si="33"/>
        <v>2.1223713367412311</v>
      </c>
      <c r="I28" s="490">
        <f t="shared" si="33"/>
        <v>2.2102091910911827</v>
      </c>
      <c r="J28" s="490">
        <f t="shared" si="33"/>
        <v>2.2980470454411335</v>
      </c>
      <c r="K28" s="490">
        <f t="shared" si="33"/>
        <v>2.3858848997910846</v>
      </c>
      <c r="L28" s="490">
        <f t="shared" si="33"/>
        <v>2.4737227541410358</v>
      </c>
      <c r="AT28" s="804">
        <f t="shared" ref="AT28:BB28" si="34">IF(Z55&lt;$G$449,0,MIN($G$446,1+IFERROR(INT((Z55-$G$449)/$G$451),0)))</f>
        <v>0</v>
      </c>
      <c r="AU28" s="804">
        <f t="shared" si="34"/>
        <v>1</v>
      </c>
      <c r="AV28" s="804">
        <f t="shared" si="34"/>
        <v>2</v>
      </c>
      <c r="AW28" s="804">
        <f t="shared" si="34"/>
        <v>3</v>
      </c>
      <c r="AX28" s="804">
        <f t="shared" si="34"/>
        <v>4</v>
      </c>
      <c r="AY28" s="804">
        <f t="shared" si="34"/>
        <v>5</v>
      </c>
      <c r="AZ28" s="804">
        <f t="shared" si="34"/>
        <v>7</v>
      </c>
      <c r="BA28" s="804">
        <f t="shared" si="34"/>
        <v>8</v>
      </c>
      <c r="BB28" s="804">
        <f t="shared" si="34"/>
        <v>9</v>
      </c>
    </row>
    <row r="29" spans="1:54" ht="15" customHeight="1">
      <c r="B29" s="829"/>
      <c r="C29" s="780">
        <f>C28+$G$439</f>
        <v>0.44999999999999996</v>
      </c>
      <c r="D29" s="783">
        <f t="shared" ref="D29:L29" si="35">IFERROR(Z16/$G$430,0)</f>
        <v>1.978077503920471</v>
      </c>
      <c r="E29" s="783">
        <f t="shared" si="35"/>
        <v>2.0546828960773338</v>
      </c>
      <c r="F29" s="783">
        <f t="shared" si="35"/>
        <v>2.1312882882341966</v>
      </c>
      <c r="G29" s="783">
        <f t="shared" si="35"/>
        <v>2.2078936803910594</v>
      </c>
      <c r="H29" s="783">
        <f t="shared" si="35"/>
        <v>2.2844990725479222</v>
      </c>
      <c r="I29" s="783">
        <f t="shared" si="35"/>
        <v>2.361104464704785</v>
      </c>
      <c r="J29" s="783">
        <f t="shared" si="35"/>
        <v>2.4377098568616473</v>
      </c>
      <c r="K29" s="783">
        <f t="shared" si="35"/>
        <v>2.5143152490185106</v>
      </c>
      <c r="L29" s="783">
        <f t="shared" si="35"/>
        <v>2.5909206411753729</v>
      </c>
      <c r="AT29" s="804">
        <f t="shared" ref="AT29:BB29" si="36">IF(Z56&lt;$G$449,0,MIN($G$446,1+IFERROR(INT((Z56-$G$449)/$G$451),0)))</f>
        <v>2</v>
      </c>
      <c r="AU29" s="804">
        <f t="shared" si="36"/>
        <v>3</v>
      </c>
      <c r="AV29" s="804">
        <f t="shared" si="36"/>
        <v>4</v>
      </c>
      <c r="AW29" s="804">
        <f t="shared" si="36"/>
        <v>5</v>
      </c>
      <c r="AX29" s="804">
        <f t="shared" si="36"/>
        <v>6</v>
      </c>
      <c r="AY29" s="804">
        <f t="shared" si="36"/>
        <v>7</v>
      </c>
      <c r="AZ29" s="804">
        <f t="shared" si="36"/>
        <v>8</v>
      </c>
      <c r="BA29" s="804">
        <f t="shared" si="36"/>
        <v>9</v>
      </c>
      <c r="BB29" s="804">
        <f t="shared" si="36"/>
        <v>10</v>
      </c>
    </row>
    <row r="30" spans="1:54" ht="15" hidden="1" customHeight="1" outlineLevel="1">
      <c r="B30" s="423" t="s">
        <v>2774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2531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109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109" ht="12.75" customHeight="1">
      <c r="A34" s="417"/>
      <c r="B34" s="454"/>
      <c r="C34" s="454"/>
      <c r="D34" s="767" t="s">
        <v>2525</v>
      </c>
      <c r="E34" s="767"/>
      <c r="F34" s="767"/>
      <c r="G34" s="767"/>
      <c r="H34" s="767"/>
      <c r="I34" s="767"/>
      <c r="J34" s="767"/>
      <c r="K34" s="767"/>
      <c r="L34" s="767"/>
      <c r="M34" s="417"/>
      <c r="BD34" s="772" t="s">
        <v>2803</v>
      </c>
      <c r="BE34" s="772"/>
      <c r="BF34" s="772"/>
      <c r="BG34" s="772"/>
      <c r="BH34" s="772"/>
      <c r="BI34" s="772"/>
      <c r="BJ34" s="772" t="s">
        <v>2804</v>
      </c>
      <c r="BK34" s="772"/>
      <c r="BL34" s="772"/>
      <c r="BM34" s="772"/>
      <c r="BN34" s="772"/>
      <c r="BO34" s="772"/>
      <c r="BP34" s="772" t="s">
        <v>2805</v>
      </c>
      <c r="BQ34" s="772"/>
      <c r="BR34" s="772"/>
      <c r="BS34" s="772"/>
      <c r="BT34" s="772"/>
      <c r="BU34" s="772"/>
      <c r="BV34" s="772" t="s">
        <v>2806</v>
      </c>
      <c r="BW34" s="772"/>
      <c r="BX34" s="772"/>
      <c r="BY34" s="772"/>
      <c r="BZ34" s="772"/>
      <c r="CA34" s="772"/>
      <c r="CB34" s="772" t="s">
        <v>2807</v>
      </c>
      <c r="CC34" s="772"/>
      <c r="CD34" s="772"/>
      <c r="CE34" s="772"/>
      <c r="CF34" s="772"/>
      <c r="CG34" s="772"/>
      <c r="CH34" s="772" t="s">
        <v>2808</v>
      </c>
      <c r="CI34" s="772"/>
      <c r="CJ34" s="772"/>
      <c r="CK34" s="772"/>
      <c r="CL34" s="772"/>
      <c r="CM34" s="772"/>
      <c r="CN34" s="772" t="s">
        <v>2809</v>
      </c>
      <c r="CO34" s="772"/>
      <c r="CP34" s="772"/>
      <c r="CQ34" s="772"/>
      <c r="CR34" s="772"/>
      <c r="CS34" s="772"/>
      <c r="CT34" s="772" t="s">
        <v>2810</v>
      </c>
      <c r="CU34" s="772"/>
      <c r="CV34" s="772"/>
      <c r="CW34" s="772"/>
      <c r="CX34" s="772"/>
      <c r="CY34" s="772"/>
      <c r="CZ34" s="772" t="s">
        <v>2811</v>
      </c>
      <c r="DA34" s="772"/>
      <c r="DB34" s="772"/>
      <c r="DC34" s="772"/>
      <c r="DD34" s="772"/>
      <c r="DE34" s="772"/>
    </row>
    <row r="35" spans="1:109" ht="12.75" customHeight="1">
      <c r="A35" s="417"/>
      <c r="B35" s="454"/>
      <c r="C35" s="454"/>
      <c r="D35" s="768">
        <f>E35-$G$441</f>
        <v>1.3171225937183451E-2</v>
      </c>
      <c r="E35" s="768">
        <f>F35-$G$441</f>
        <v>0.26317122593718345</v>
      </c>
      <c r="F35" s="768">
        <f>G35-$G$441</f>
        <v>0.51317122593718345</v>
      </c>
      <c r="G35" s="768">
        <f>H35-$G$441</f>
        <v>0.76317122593718345</v>
      </c>
      <c r="H35" s="768">
        <f>$G$440</f>
        <v>1.0131712259371835</v>
      </c>
      <c r="I35" s="768">
        <f>H35+$G$441</f>
        <v>1.2631712259371835</v>
      </c>
      <c r="J35" s="768">
        <f>I35+$G$441</f>
        <v>1.5131712259371835</v>
      </c>
      <c r="K35" s="768">
        <f>J35+$G$441</f>
        <v>1.7631712259371835</v>
      </c>
      <c r="L35" s="768">
        <f>K35+$G$441</f>
        <v>2.0131712259371835</v>
      </c>
      <c r="M35" s="417"/>
      <c r="AT35" s="772" t="s">
        <v>2614</v>
      </c>
      <c r="AU35" s="427"/>
      <c r="AV35" s="427"/>
      <c r="AW35" s="427"/>
      <c r="AX35" s="427"/>
      <c r="AY35" s="427"/>
      <c r="AZ35" s="427"/>
      <c r="BA35" s="427"/>
      <c r="BB35" s="427"/>
      <c r="BD35" s="818">
        <f>$S$9</f>
        <v>0</v>
      </c>
      <c r="BE35" s="818">
        <f>$T$9</f>
        <v>1</v>
      </c>
      <c r="BF35" s="818">
        <f>$U$9</f>
        <v>2</v>
      </c>
      <c r="BG35" s="818">
        <f>$V$9</f>
        <v>3</v>
      </c>
      <c r="BH35" s="818">
        <f>$W$9</f>
        <v>4</v>
      </c>
      <c r="BI35" s="818">
        <f>$X$9</f>
        <v>5</v>
      </c>
      <c r="BJ35" s="818">
        <f>$S$9</f>
        <v>0</v>
      </c>
      <c r="BK35" s="818">
        <f>$T$9</f>
        <v>1</v>
      </c>
      <c r="BL35" s="818">
        <f>$U$9</f>
        <v>2</v>
      </c>
      <c r="BM35" s="818">
        <f>$V$9</f>
        <v>3</v>
      </c>
      <c r="BN35" s="818">
        <f>$W$9</f>
        <v>4</v>
      </c>
      <c r="BO35" s="818">
        <f>$X$9</f>
        <v>5</v>
      </c>
      <c r="BP35" s="818">
        <f>$S$9</f>
        <v>0</v>
      </c>
      <c r="BQ35" s="818">
        <f>$T$9</f>
        <v>1</v>
      </c>
      <c r="BR35" s="818">
        <f>$U$9</f>
        <v>2</v>
      </c>
      <c r="BS35" s="818">
        <f>$V$9</f>
        <v>3</v>
      </c>
      <c r="BT35" s="818">
        <f>$W$9</f>
        <v>4</v>
      </c>
      <c r="BU35" s="818">
        <f>$X$9</f>
        <v>5</v>
      </c>
      <c r="BV35" s="818">
        <f>$S$9</f>
        <v>0</v>
      </c>
      <c r="BW35" s="818">
        <f>$T$9</f>
        <v>1</v>
      </c>
      <c r="BX35" s="818">
        <f>$U$9</f>
        <v>2</v>
      </c>
      <c r="BY35" s="818">
        <f>$V$9</f>
        <v>3</v>
      </c>
      <c r="BZ35" s="818">
        <f>$W$9</f>
        <v>4</v>
      </c>
      <c r="CA35" s="818">
        <f>$X$9</f>
        <v>5</v>
      </c>
      <c r="CB35" s="818">
        <f>$S$9</f>
        <v>0</v>
      </c>
      <c r="CC35" s="818">
        <f>$T$9</f>
        <v>1</v>
      </c>
      <c r="CD35" s="818">
        <f>$U$9</f>
        <v>2</v>
      </c>
      <c r="CE35" s="818">
        <f>$V$9</f>
        <v>3</v>
      </c>
      <c r="CF35" s="818">
        <f>$W$9</f>
        <v>4</v>
      </c>
      <c r="CG35" s="818">
        <f>$X$9</f>
        <v>5</v>
      </c>
      <c r="CH35" s="818">
        <f>$S$9</f>
        <v>0</v>
      </c>
      <c r="CI35" s="818">
        <f>$T$9</f>
        <v>1</v>
      </c>
      <c r="CJ35" s="818">
        <f>$U$9</f>
        <v>2</v>
      </c>
      <c r="CK35" s="818">
        <f>$V$9</f>
        <v>3</v>
      </c>
      <c r="CL35" s="818">
        <f>$W$9</f>
        <v>4</v>
      </c>
      <c r="CM35" s="818">
        <f>$X$9</f>
        <v>5</v>
      </c>
      <c r="CN35" s="818">
        <f>$S$9</f>
        <v>0</v>
      </c>
      <c r="CO35" s="818">
        <f>$T$9</f>
        <v>1</v>
      </c>
      <c r="CP35" s="818">
        <f>$U$9</f>
        <v>2</v>
      </c>
      <c r="CQ35" s="818">
        <f>$V$9</f>
        <v>3</v>
      </c>
      <c r="CR35" s="818">
        <f>$W$9</f>
        <v>4</v>
      </c>
      <c r="CS35" s="818">
        <f>$X$9</f>
        <v>5</v>
      </c>
      <c r="CT35" s="818">
        <f>$S$9</f>
        <v>0</v>
      </c>
      <c r="CU35" s="818">
        <f>$T$9</f>
        <v>1</v>
      </c>
      <c r="CV35" s="818">
        <f>$U$9</f>
        <v>2</v>
      </c>
      <c r="CW35" s="818">
        <f>$V$9</f>
        <v>3</v>
      </c>
      <c r="CX35" s="818">
        <f>$W$9</f>
        <v>4</v>
      </c>
      <c r="CY35" s="818">
        <f>$X$9</f>
        <v>5</v>
      </c>
      <c r="CZ35" s="818">
        <f>$S$9</f>
        <v>0</v>
      </c>
      <c r="DA35" s="818">
        <f>$T$9</f>
        <v>1</v>
      </c>
      <c r="DB35" s="818">
        <f>$U$9</f>
        <v>2</v>
      </c>
      <c r="DC35" s="818">
        <f>$V$9</f>
        <v>3</v>
      </c>
      <c r="DD35" s="818">
        <f>$W$9</f>
        <v>4</v>
      </c>
      <c r="DE35" s="818">
        <f>$X$9</f>
        <v>5</v>
      </c>
    </row>
    <row r="36" spans="1:109" ht="15" customHeight="1">
      <c r="A36" s="417"/>
      <c r="B36" s="827" t="s">
        <v>2526</v>
      </c>
      <c r="C36" s="779">
        <f>C37-$G$439</f>
        <v>0.15000000000000002</v>
      </c>
      <c r="D36" s="631">
        <f t="shared" ref="D36:D42" si="37">IFERROR(IRR(BD36:BI36),0)</f>
        <v>0.14414542610571157</v>
      </c>
      <c r="E36" s="631">
        <f t="shared" ref="E36:E42" si="38">IFERROR(IRR(BJ36:BO36),0)</f>
        <v>0.16470285029863385</v>
      </c>
      <c r="F36" s="631">
        <f t="shared" ref="F36:F42" si="39">IFERROR(IRR(BP36:BU36),0)</f>
        <v>0.1839036811607373</v>
      </c>
      <c r="G36" s="631">
        <f t="shared" ref="G36:G42" si="40">IFERROR(IRR(BV36:CA36),0)</f>
        <v>0.2019341025744239</v>
      </c>
      <c r="H36" s="631">
        <f t="shared" ref="H36:H42" si="41">IFERROR(IRR(CB36:CG36),0)</f>
        <v>0.2189433474385134</v>
      </c>
      <c r="I36" s="631">
        <f t="shared" ref="I36:I42" si="42">IFERROR(IRR(CH36:CM36),0)</f>
        <v>0.23505299558959813</v>
      </c>
      <c r="J36" s="631">
        <f t="shared" ref="J36:J42" si="43">IFERROR(IRR(CN36:CS36),0)</f>
        <v>0.25036349883446563</v>
      </c>
      <c r="K36" s="631">
        <f t="shared" ref="K36:K42" si="44">IFERROR(IRR(CT36:CY36),0)</f>
        <v>0.26495887426243581</v>
      </c>
      <c r="L36" s="631">
        <f t="shared" ref="L36:L42" si="45">IFERROR(IRR(CZ36:DE36),0)</f>
        <v>0.27891015299358735</v>
      </c>
      <c r="M36" s="417"/>
      <c r="AT36" s="804">
        <f>IF(Z50&lt;$G$449,0,MIN($G$446,1+IFERROR(INT((Z50-$G$449)/$G$451),0)))</f>
        <v>0</v>
      </c>
      <c r="AU36" s="804">
        <f t="shared" ref="AU36:BB36" si="46">IF(AA50&lt;$G$449,0,MIN($G$446,1+IFERROR(INT((AA50-$G$449)/$G$451),0)))</f>
        <v>0</v>
      </c>
      <c r="AV36" s="804">
        <f t="shared" si="46"/>
        <v>0</v>
      </c>
      <c r="AW36" s="804">
        <f t="shared" si="46"/>
        <v>0</v>
      </c>
      <c r="AX36" s="804">
        <f t="shared" si="46"/>
        <v>0</v>
      </c>
      <c r="AY36" s="804">
        <f t="shared" si="46"/>
        <v>0</v>
      </c>
      <c r="AZ36" s="804">
        <f t="shared" si="46"/>
        <v>0</v>
      </c>
      <c r="BA36" s="804">
        <f t="shared" si="46"/>
        <v>0</v>
      </c>
      <c r="BB36" s="804">
        <f t="shared" si="46"/>
        <v>1</v>
      </c>
      <c r="BD36" s="428">
        <f t="shared" ref="BD36:BD42" si="47">(BD$35=0)*($O10-$G$430)+(BD$35=$G$444)*$G$435+(BD$35=$G$445)*(Z10+$G$430-$O10-$G$435)</f>
        <v>-2350</v>
      </c>
      <c r="BE36" s="428">
        <f t="shared" ref="BE36:BE42" si="48">(BE$35=0)*($O10-$G$430)+(BE$35=$G$444)*$G$435+(BE$35=$G$445)*(Z10+$G$430-$O10-$G$435)</f>
        <v>0</v>
      </c>
      <c r="BF36" s="428">
        <f t="shared" ref="BF36:BF42" si="49">(BF$35=0)*($O10-$G$430)+(BF$35=$G$444)*$G$435+(BF$35=$G$445)*(Z10+$G$430-$O10-$G$435)</f>
        <v>0</v>
      </c>
      <c r="BG36" s="428">
        <f t="shared" ref="BG36:BG42" si="50">(BG$35=0)*($O10-$G$430)+(BG$35=$G$444)*$G$435+(BG$35=$G$445)*(Z10+$G$430-$O10-$G$435)</f>
        <v>0</v>
      </c>
      <c r="BH36" s="428">
        <f t="shared" ref="BH36:BH42" si="51">(BH$35=0)*($O10-$G$430)+(BH$35=$G$444)*$G$435+(BH$35=$G$445)*(Z10+$G$430-$O10-$G$435)</f>
        <v>0</v>
      </c>
      <c r="BI36" s="428">
        <f t="shared" ref="BI36:BJ42" si="52">(BI$35=0)*($O10-$G$430)+(BI$35=$G$444)*$G$435+(BI$35=$G$445)*(Z10+$G$430-$O10-$G$435)</f>
        <v>4607.5919002471928</v>
      </c>
      <c r="BJ36" s="428">
        <f t="shared" si="52"/>
        <v>-2350</v>
      </c>
      <c r="BK36" s="428">
        <f t="shared" ref="BK36:BK42" si="53">(BK$35=0)*($O10-$G$430)+(BK$35=$G$444)*$G$435+(BK$35=$G$445)*(AA10+$G$430-$O10-$G$435)</f>
        <v>0</v>
      </c>
      <c r="BL36" s="428">
        <f t="shared" ref="BL36:BL42" si="54">(BL$35=0)*($O10-$G$430)+(BL$35=$G$444)*$G$435+(BL$35=$G$445)*(AA10+$G$430-$O10-$G$435)</f>
        <v>0</v>
      </c>
      <c r="BM36" s="428">
        <f t="shared" ref="BM36:BM42" si="55">(BM$35=0)*($O10-$G$430)+(BM$35=$G$444)*$G$435+(BM$35=$G$445)*(AA10+$G$430-$O10-$G$435)</f>
        <v>0</v>
      </c>
      <c r="BN36" s="428">
        <f t="shared" ref="BN36:BN42" si="56">(BN$35=0)*($O10-$G$430)+(BN$35=$G$444)*$G$435+(BN$35=$G$445)*(AA10+$G$430-$O10-$G$435)</f>
        <v>0</v>
      </c>
      <c r="BO36" s="428">
        <f t="shared" ref="BO36:BP42" si="57">(BO$35=0)*($O10-$G$430)+(BO$35=$G$444)*$G$435+(BO$35=$G$445)*(AA10+$G$430-$O10-$G$435)</f>
        <v>5036.6706574726268</v>
      </c>
      <c r="BP36" s="428">
        <f t="shared" si="57"/>
        <v>-2350</v>
      </c>
      <c r="BQ36" s="428">
        <f t="shared" ref="BQ36:BQ42" si="58">(BQ$35=0)*($O10-$G$430)+(BQ$35=$G$444)*$G$435+(BQ$35=$G$445)*(AB10+$G$430-$O10-$G$435)</f>
        <v>0</v>
      </c>
      <c r="BR36" s="428">
        <f t="shared" ref="BR36:BR42" si="59">(BR$35=0)*($O10-$G$430)+(BR$35=$G$444)*$G$435+(BR$35=$G$445)*(AB10+$G$430-$O10-$G$435)</f>
        <v>0</v>
      </c>
      <c r="BS36" s="428">
        <f t="shared" ref="BS36:BS42" si="60">(BS$35=0)*($O10-$G$430)+(BS$35=$G$444)*$G$435+(BS$35=$G$445)*(AB10+$G$430-$O10-$G$435)</f>
        <v>0</v>
      </c>
      <c r="BT36" s="428">
        <f t="shared" ref="BT36:BT42" si="61">(BT$35=0)*($O10-$G$430)+(BT$35=$G$444)*$G$435+(BT$35=$G$445)*(AB10+$G$430-$O10-$G$435)</f>
        <v>0</v>
      </c>
      <c r="BU36" s="428">
        <f t="shared" ref="BU36:BV42" si="62">(BU$35=0)*($O10-$G$430)+(BU$35=$G$444)*$G$435+(BU$35=$G$445)*(AB10+$G$430-$O10-$G$435)</f>
        <v>5465.7494146980598</v>
      </c>
      <c r="BV36" s="428">
        <f t="shared" si="62"/>
        <v>-2350</v>
      </c>
      <c r="BW36" s="428">
        <f t="shared" ref="BW36:BW42" si="63">(BW$35=0)*($O10-$G$430)+(BW$35=$G$444)*$G$435+(BW$35=$G$445)*(AC10+$G$430-$O10-$G$435)</f>
        <v>0</v>
      </c>
      <c r="BX36" s="428">
        <f t="shared" ref="BX36:BX42" si="64">(BX$35=0)*($O10-$G$430)+(BX$35=$G$444)*$G$435+(BX$35=$G$445)*(AC10+$G$430-$O10-$G$435)</f>
        <v>0</v>
      </c>
      <c r="BY36" s="428">
        <f t="shared" ref="BY36:BY42" si="65">(BY$35=0)*($O10-$G$430)+(BY$35=$G$444)*$G$435+(BY$35=$G$445)*(AC10+$G$430-$O10-$G$435)</f>
        <v>0</v>
      </c>
      <c r="BZ36" s="428">
        <f t="shared" ref="BZ36:BZ42" si="66">(BZ$35=0)*($O10-$G$430)+(BZ$35=$G$444)*$G$435+(BZ$35=$G$445)*(AC10+$G$430-$O10-$G$435)</f>
        <v>0</v>
      </c>
      <c r="CA36" s="428">
        <f t="shared" ref="CA36:CB42" si="67">(CA$35=0)*($O10-$G$430)+(CA$35=$G$444)*$G$435+(CA$35=$G$445)*(AC10+$G$430-$O10-$G$435)</f>
        <v>5894.8281719234928</v>
      </c>
      <c r="CB36" s="428">
        <f t="shared" si="67"/>
        <v>-2350</v>
      </c>
      <c r="CC36" s="428">
        <f t="shared" ref="CC36:CC42" si="68">(CC$35=0)*($O10-$G$430)+(CC$35=$G$444)*$G$435+(CC$35=$G$445)*(AD10+$G$430-$O10-$G$435)</f>
        <v>0</v>
      </c>
      <c r="CD36" s="428">
        <f t="shared" ref="CD36:CD42" si="69">(CD$35=0)*($O10-$G$430)+(CD$35=$G$444)*$G$435+(CD$35=$G$445)*(AD10+$G$430-$O10-$G$435)</f>
        <v>0</v>
      </c>
      <c r="CE36" s="428">
        <f t="shared" ref="CE36:CE42" si="70">(CE$35=0)*($O10-$G$430)+(CE$35=$G$444)*$G$435+(CE$35=$G$445)*(AD10+$G$430-$O10-$G$435)</f>
        <v>0</v>
      </c>
      <c r="CF36" s="428">
        <f t="shared" ref="CF36:CF42" si="71">(CF$35=0)*($O10-$G$430)+(CF$35=$G$444)*$G$435+(CF$35=$G$445)*(AD10+$G$430-$O10-$G$435)</f>
        <v>0</v>
      </c>
      <c r="CG36" s="428">
        <f t="shared" ref="CG36:CH42" si="72">(CG$35=0)*($O10-$G$430)+(CG$35=$G$444)*$G$435+(CG$35=$G$445)*(AD10+$G$430-$O10-$G$435)</f>
        <v>6323.9069291489268</v>
      </c>
      <c r="CH36" s="428">
        <f t="shared" si="72"/>
        <v>-2350</v>
      </c>
      <c r="CI36" s="428">
        <f t="shared" ref="CI36:CI42" si="73">(CI$35=0)*($O10-$G$430)+(CI$35=$G$444)*$G$435+(CI$35=$G$445)*(AE10+$G$430-$O10-$G$435)</f>
        <v>0</v>
      </c>
      <c r="CJ36" s="428">
        <f t="shared" ref="CJ36:CJ42" si="74">(CJ$35=0)*($O10-$G$430)+(CJ$35=$G$444)*$G$435+(CJ$35=$G$445)*(AE10+$G$430-$O10-$G$435)</f>
        <v>0</v>
      </c>
      <c r="CK36" s="428">
        <f t="shared" ref="CK36:CK42" si="75">(CK$35=0)*($O10-$G$430)+(CK$35=$G$444)*$G$435+(CK$35=$G$445)*(AE10+$G$430-$O10-$G$435)</f>
        <v>0</v>
      </c>
      <c r="CL36" s="428">
        <f t="shared" ref="CL36:CL42" si="76">(CL$35=0)*($O10-$G$430)+(CL$35=$G$444)*$G$435+(CL$35=$G$445)*(AE10+$G$430-$O10-$G$435)</f>
        <v>0</v>
      </c>
      <c r="CM36" s="428">
        <f t="shared" ref="CM36:CN42" si="77">(CM$35=0)*($O10-$G$430)+(CM$35=$G$444)*$G$435+(CM$35=$G$445)*(AE10+$G$430-$O10-$G$435)</f>
        <v>6752.9856863743607</v>
      </c>
      <c r="CN36" s="428">
        <f t="shared" si="77"/>
        <v>-2350</v>
      </c>
      <c r="CO36" s="428">
        <f t="shared" ref="CO36:CO42" si="78">(CO$35=0)*($O10-$G$430)+(CO$35=$G$444)*$G$435+(CO$35=$G$445)*(AF10+$G$430-$O10-$G$435)</f>
        <v>0</v>
      </c>
      <c r="CP36" s="428">
        <f t="shared" ref="CP36:CP42" si="79">(CP$35=0)*($O10-$G$430)+(CP$35=$G$444)*$G$435+(CP$35=$G$445)*(AF10+$G$430-$O10-$G$435)</f>
        <v>0</v>
      </c>
      <c r="CQ36" s="428">
        <f t="shared" ref="CQ36:CQ42" si="80">(CQ$35=0)*($O10-$G$430)+(CQ$35=$G$444)*$G$435+(CQ$35=$G$445)*(AF10+$G$430-$O10-$G$435)</f>
        <v>0</v>
      </c>
      <c r="CR36" s="428">
        <f t="shared" ref="CR36:CR42" si="81">(CR$35=0)*($O10-$G$430)+(CR$35=$G$444)*$G$435+(CR$35=$G$445)*(AF10+$G$430-$O10-$G$435)</f>
        <v>0</v>
      </c>
      <c r="CS36" s="428">
        <f t="shared" ref="CS36:CT42" si="82">(CS$35=0)*($O10-$G$430)+(CS$35=$G$444)*$G$435+(CS$35=$G$445)*(AF10+$G$430-$O10-$G$435)</f>
        <v>7182.0644435997929</v>
      </c>
      <c r="CT36" s="428">
        <f t="shared" si="82"/>
        <v>-2350</v>
      </c>
      <c r="CU36" s="428">
        <f t="shared" ref="CU36:CU42" si="83">(CU$35=0)*($O10-$G$430)+(CU$35=$G$444)*$G$435+(CU$35=$G$445)*(AG10+$G$430-$O10-$G$435)</f>
        <v>0</v>
      </c>
      <c r="CV36" s="428">
        <f t="shared" ref="CV36:CV42" si="84">(CV$35=0)*($O10-$G$430)+(CV$35=$G$444)*$G$435+(CV$35=$G$445)*(AG10+$G$430-$O10-$G$435)</f>
        <v>0</v>
      </c>
      <c r="CW36" s="428">
        <f t="shared" ref="CW36:CW42" si="85">(CW$35=0)*($O10-$G$430)+(CW$35=$G$444)*$G$435+(CW$35=$G$445)*(AG10+$G$430-$O10-$G$435)</f>
        <v>0</v>
      </c>
      <c r="CX36" s="428">
        <f t="shared" ref="CX36:CX42" si="86">(CX$35=0)*($O10-$G$430)+(CX$35=$G$444)*$G$435+(CX$35=$G$445)*(AG10+$G$430-$O10-$G$435)</f>
        <v>0</v>
      </c>
      <c r="CY36" s="428">
        <f t="shared" ref="CY36:CZ42" si="87">(CY$35=0)*($O10-$G$430)+(CY$35=$G$444)*$G$435+(CY$35=$G$445)*(AG10+$G$430-$O10-$G$435)</f>
        <v>7611.1432008252268</v>
      </c>
      <c r="CZ36" s="428">
        <f t="shared" si="87"/>
        <v>-2350</v>
      </c>
      <c r="DA36" s="428">
        <f t="shared" ref="DA36:DA42" si="88">(DA$35=0)*($O10-$G$430)+(DA$35=$G$444)*$G$435+(DA$35=$G$445)*(AH10+$G$430-$O10-$G$435)</f>
        <v>0</v>
      </c>
      <c r="DB36" s="428">
        <f t="shared" ref="DB36:DB42" si="89">(DB$35=0)*($O10-$G$430)+(DB$35=$G$444)*$G$435+(DB$35=$G$445)*(AH10+$G$430-$O10-$G$435)</f>
        <v>0</v>
      </c>
      <c r="DC36" s="428">
        <f t="shared" ref="DC36:DC42" si="90">(DC$35=0)*($O10-$G$430)+(DC$35=$G$444)*$G$435+(DC$35=$G$445)*(AH10+$G$430-$O10-$G$435)</f>
        <v>0</v>
      </c>
      <c r="DD36" s="428">
        <f t="shared" ref="DD36:DD42" si="91">(DD$35=0)*($O10-$G$430)+(DD$35=$G$444)*$G$435+(DD$35=$G$445)*(AH10+$G$430-$O10-$G$435)</f>
        <v>0</v>
      </c>
      <c r="DE36" s="428">
        <f t="shared" ref="DE36:DE42" si="92">(DE$35=0)*($O10-$G$430)+(DE$35=$G$444)*$G$435+(DE$35=$G$445)*(AH10+$G$430-$O10-$G$435)</f>
        <v>8040.2219580506608</v>
      </c>
    </row>
    <row r="37" spans="1:109" ht="15" customHeight="1">
      <c r="A37" s="417"/>
      <c r="B37" s="828"/>
      <c r="C37" s="779">
        <f>C38-$G$439</f>
        <v>0.2</v>
      </c>
      <c r="D37" s="631">
        <f t="shared" si="37"/>
        <v>0.17270388936453362</v>
      </c>
      <c r="E37" s="631">
        <f t="shared" si="38"/>
        <v>0.1900204526661724</v>
      </c>
      <c r="F37" s="631">
        <f t="shared" si="39"/>
        <v>0.20638407903547296</v>
      </c>
      <c r="G37" s="631">
        <f t="shared" si="40"/>
        <v>0.22190521126428098</v>
      </c>
      <c r="H37" s="631">
        <f t="shared" si="41"/>
        <v>0.23667557864272393</v>
      </c>
      <c r="I37" s="631">
        <f t="shared" si="42"/>
        <v>0.25077225599329434</v>
      </c>
      <c r="J37" s="631">
        <f t="shared" si="43"/>
        <v>0.26426067033998391</v>
      </c>
      <c r="K37" s="631">
        <f t="shared" si="44"/>
        <v>0.27719686808287247</v>
      </c>
      <c r="L37" s="631">
        <f t="shared" si="45"/>
        <v>0.28962925178655241</v>
      </c>
      <c r="M37" s="417"/>
      <c r="AT37" s="804">
        <f t="shared" ref="AT37:BB37" si="93">IF(Z51&lt;$G$449,0,MIN($G$446,1+IFERROR(INT((Z51-$G$449)/$G$451),0)))</f>
        <v>0</v>
      </c>
      <c r="AU37" s="804">
        <f t="shared" si="93"/>
        <v>0</v>
      </c>
      <c r="AV37" s="804">
        <f t="shared" si="93"/>
        <v>0</v>
      </c>
      <c r="AW37" s="804">
        <f t="shared" si="93"/>
        <v>0</v>
      </c>
      <c r="AX37" s="804">
        <f t="shared" si="93"/>
        <v>0</v>
      </c>
      <c r="AY37" s="804">
        <f t="shared" si="93"/>
        <v>0</v>
      </c>
      <c r="AZ37" s="804">
        <f t="shared" si="93"/>
        <v>0</v>
      </c>
      <c r="BA37" s="804">
        <f t="shared" si="93"/>
        <v>1</v>
      </c>
      <c r="BB37" s="804">
        <f t="shared" si="93"/>
        <v>3</v>
      </c>
      <c r="BD37" s="428">
        <f t="shared" si="47"/>
        <v>-2350</v>
      </c>
      <c r="BE37" s="428">
        <f t="shared" si="48"/>
        <v>0</v>
      </c>
      <c r="BF37" s="428">
        <f t="shared" si="49"/>
        <v>0</v>
      </c>
      <c r="BG37" s="428">
        <f t="shared" si="50"/>
        <v>0</v>
      </c>
      <c r="BH37" s="428">
        <f t="shared" si="51"/>
        <v>0</v>
      </c>
      <c r="BI37" s="428">
        <f t="shared" si="52"/>
        <v>5212.0634004175208</v>
      </c>
      <c r="BJ37" s="428">
        <f t="shared" si="52"/>
        <v>-2350</v>
      </c>
      <c r="BK37" s="428">
        <f t="shared" si="53"/>
        <v>0</v>
      </c>
      <c r="BL37" s="428">
        <f t="shared" si="54"/>
        <v>0</v>
      </c>
      <c r="BM37" s="428">
        <f t="shared" si="55"/>
        <v>0</v>
      </c>
      <c r="BN37" s="428">
        <f t="shared" si="56"/>
        <v>0</v>
      </c>
      <c r="BO37" s="428">
        <f t="shared" si="57"/>
        <v>5608.4130380986808</v>
      </c>
      <c r="BP37" s="428">
        <f t="shared" si="57"/>
        <v>-2350</v>
      </c>
      <c r="BQ37" s="428">
        <f t="shared" si="58"/>
        <v>0</v>
      </c>
      <c r="BR37" s="428">
        <f t="shared" si="59"/>
        <v>0</v>
      </c>
      <c r="BS37" s="428">
        <f t="shared" si="60"/>
        <v>0</v>
      </c>
      <c r="BT37" s="428">
        <f t="shared" si="61"/>
        <v>0</v>
      </c>
      <c r="BU37" s="428">
        <f t="shared" si="62"/>
        <v>6004.7626757798398</v>
      </c>
      <c r="BV37" s="428">
        <f t="shared" si="62"/>
        <v>-2350</v>
      </c>
      <c r="BW37" s="428">
        <f t="shared" si="63"/>
        <v>0</v>
      </c>
      <c r="BX37" s="428">
        <f t="shared" si="64"/>
        <v>0</v>
      </c>
      <c r="BY37" s="428">
        <f t="shared" si="65"/>
        <v>0</v>
      </c>
      <c r="BZ37" s="428">
        <f t="shared" si="66"/>
        <v>0</v>
      </c>
      <c r="CA37" s="428">
        <f t="shared" si="67"/>
        <v>6401.1123134609988</v>
      </c>
      <c r="CB37" s="428">
        <f t="shared" si="67"/>
        <v>-2350</v>
      </c>
      <c r="CC37" s="428">
        <f t="shared" si="68"/>
        <v>0</v>
      </c>
      <c r="CD37" s="428">
        <f t="shared" si="69"/>
        <v>0</v>
      </c>
      <c r="CE37" s="428">
        <f t="shared" si="70"/>
        <v>0</v>
      </c>
      <c r="CF37" s="428">
        <f t="shared" si="71"/>
        <v>0</v>
      </c>
      <c r="CG37" s="428">
        <f t="shared" si="72"/>
        <v>6797.4619511421588</v>
      </c>
      <c r="CH37" s="428">
        <f t="shared" si="72"/>
        <v>-2350</v>
      </c>
      <c r="CI37" s="428">
        <f t="shared" si="73"/>
        <v>0</v>
      </c>
      <c r="CJ37" s="428">
        <f t="shared" si="74"/>
        <v>0</v>
      </c>
      <c r="CK37" s="428">
        <f t="shared" si="75"/>
        <v>0</v>
      </c>
      <c r="CL37" s="428">
        <f t="shared" si="76"/>
        <v>0</v>
      </c>
      <c r="CM37" s="428">
        <f t="shared" si="77"/>
        <v>7193.8115888233178</v>
      </c>
      <c r="CN37" s="428">
        <f t="shared" si="77"/>
        <v>-2350</v>
      </c>
      <c r="CO37" s="428">
        <f t="shared" si="78"/>
        <v>0</v>
      </c>
      <c r="CP37" s="428">
        <f t="shared" si="79"/>
        <v>0</v>
      </c>
      <c r="CQ37" s="428">
        <f t="shared" si="80"/>
        <v>0</v>
      </c>
      <c r="CR37" s="428">
        <f t="shared" si="81"/>
        <v>0</v>
      </c>
      <c r="CS37" s="428">
        <f t="shared" si="82"/>
        <v>7590.1612265044769</v>
      </c>
      <c r="CT37" s="428">
        <f t="shared" si="82"/>
        <v>-2350</v>
      </c>
      <c r="CU37" s="428">
        <f t="shared" si="83"/>
        <v>0</v>
      </c>
      <c r="CV37" s="428">
        <f t="shared" si="84"/>
        <v>0</v>
      </c>
      <c r="CW37" s="428">
        <f t="shared" si="85"/>
        <v>0</v>
      </c>
      <c r="CX37" s="428">
        <f t="shared" si="86"/>
        <v>0</v>
      </c>
      <c r="CY37" s="428">
        <f t="shared" si="87"/>
        <v>7986.5108641856368</v>
      </c>
      <c r="CZ37" s="428">
        <f t="shared" si="87"/>
        <v>-2350</v>
      </c>
      <c r="DA37" s="428">
        <f t="shared" si="88"/>
        <v>0</v>
      </c>
      <c r="DB37" s="428">
        <f t="shared" si="89"/>
        <v>0</v>
      </c>
      <c r="DC37" s="428">
        <f t="shared" si="90"/>
        <v>0</v>
      </c>
      <c r="DD37" s="428">
        <f t="shared" si="91"/>
        <v>0</v>
      </c>
      <c r="DE37" s="428">
        <f t="shared" si="92"/>
        <v>8382.8605018667949</v>
      </c>
    </row>
    <row r="38" spans="1:109" ht="15" customHeight="1">
      <c r="A38" s="417"/>
      <c r="B38" s="828"/>
      <c r="C38" s="779">
        <f>C39-$G$439</f>
        <v>0.25</v>
      </c>
      <c r="D38" s="631">
        <f t="shared" si="37"/>
        <v>0.19885951421729953</v>
      </c>
      <c r="E38" s="631">
        <f t="shared" si="38"/>
        <v>0.21347197488488323</v>
      </c>
      <c r="F38" s="631">
        <f t="shared" si="39"/>
        <v>0.22741271347679581</v>
      </c>
      <c r="G38" s="631">
        <f t="shared" si="40"/>
        <v>0.24074745067544168</v>
      </c>
      <c r="H38" s="631">
        <f t="shared" si="41"/>
        <v>0.25353241798882786</v>
      </c>
      <c r="I38" s="631">
        <f t="shared" si="42"/>
        <v>0.26581612642442631</v>
      </c>
      <c r="J38" s="631">
        <f t="shared" si="43"/>
        <v>0.27764073813294976</v>
      </c>
      <c r="K38" s="631">
        <f t="shared" si="44"/>
        <v>0.28904314392358144</v>
      </c>
      <c r="L38" s="631">
        <f t="shared" si="45"/>
        <v>0.30005581961606675</v>
      </c>
      <c r="M38" s="417"/>
      <c r="AT38" s="804">
        <f t="shared" ref="AT38:BB38" si="94">IF(Z52&lt;$G$449,0,MIN($G$446,1+IFERROR(INT((Z52-$G$449)/$G$451),0)))</f>
        <v>0</v>
      </c>
      <c r="AU38" s="804">
        <f t="shared" si="94"/>
        <v>0</v>
      </c>
      <c r="AV38" s="804">
        <f t="shared" si="94"/>
        <v>0</v>
      </c>
      <c r="AW38" s="804">
        <f t="shared" si="94"/>
        <v>0</v>
      </c>
      <c r="AX38" s="804">
        <f t="shared" si="94"/>
        <v>0</v>
      </c>
      <c r="AY38" s="804">
        <f t="shared" si="94"/>
        <v>0</v>
      </c>
      <c r="AZ38" s="804">
        <f t="shared" si="94"/>
        <v>1</v>
      </c>
      <c r="BA38" s="804">
        <f t="shared" si="94"/>
        <v>3</v>
      </c>
      <c r="BB38" s="804">
        <f t="shared" si="94"/>
        <v>4</v>
      </c>
      <c r="BD38" s="428">
        <f t="shared" si="47"/>
        <v>-2350</v>
      </c>
      <c r="BE38" s="428">
        <f t="shared" si="48"/>
        <v>0</v>
      </c>
      <c r="BF38" s="428">
        <f t="shared" si="49"/>
        <v>0</v>
      </c>
      <c r="BG38" s="428">
        <f t="shared" si="50"/>
        <v>0</v>
      </c>
      <c r="BH38" s="428">
        <f t="shared" si="51"/>
        <v>0</v>
      </c>
      <c r="BI38" s="428">
        <f t="shared" si="52"/>
        <v>5819.8170609691224</v>
      </c>
      <c r="BJ38" s="428">
        <f t="shared" si="52"/>
        <v>-2350</v>
      </c>
      <c r="BK38" s="428">
        <f t="shared" si="53"/>
        <v>0</v>
      </c>
      <c r="BL38" s="428">
        <f t="shared" si="54"/>
        <v>0</v>
      </c>
      <c r="BM38" s="428">
        <f t="shared" si="55"/>
        <v>0</v>
      </c>
      <c r="BN38" s="428">
        <f t="shared" si="56"/>
        <v>0</v>
      </c>
      <c r="BO38" s="428">
        <f t="shared" si="57"/>
        <v>6183.2472935272617</v>
      </c>
      <c r="BP38" s="428">
        <f t="shared" si="57"/>
        <v>-2350</v>
      </c>
      <c r="BQ38" s="428">
        <f t="shared" si="58"/>
        <v>0</v>
      </c>
      <c r="BR38" s="428">
        <f t="shared" si="59"/>
        <v>0</v>
      </c>
      <c r="BS38" s="428">
        <f t="shared" si="60"/>
        <v>0</v>
      </c>
      <c r="BT38" s="428">
        <f t="shared" si="61"/>
        <v>0</v>
      </c>
      <c r="BU38" s="428">
        <f t="shared" si="62"/>
        <v>6546.677526085401</v>
      </c>
      <c r="BV38" s="428">
        <f t="shared" si="62"/>
        <v>-2350</v>
      </c>
      <c r="BW38" s="428">
        <f t="shared" si="63"/>
        <v>0</v>
      </c>
      <c r="BX38" s="428">
        <f t="shared" si="64"/>
        <v>0</v>
      </c>
      <c r="BY38" s="428">
        <f t="shared" si="65"/>
        <v>0</v>
      </c>
      <c r="BZ38" s="428">
        <f t="shared" si="66"/>
        <v>0</v>
      </c>
      <c r="CA38" s="428">
        <f t="shared" si="67"/>
        <v>6910.1077586435404</v>
      </c>
      <c r="CB38" s="428">
        <f t="shared" si="67"/>
        <v>-2350</v>
      </c>
      <c r="CC38" s="428">
        <f t="shared" si="68"/>
        <v>0</v>
      </c>
      <c r="CD38" s="428">
        <f t="shared" si="69"/>
        <v>0</v>
      </c>
      <c r="CE38" s="428">
        <f t="shared" si="70"/>
        <v>0</v>
      </c>
      <c r="CF38" s="428">
        <f t="shared" si="71"/>
        <v>0</v>
      </c>
      <c r="CG38" s="428">
        <f t="shared" si="72"/>
        <v>7273.5379912016797</v>
      </c>
      <c r="CH38" s="428">
        <f t="shared" si="72"/>
        <v>-2350</v>
      </c>
      <c r="CI38" s="428">
        <f t="shared" si="73"/>
        <v>0</v>
      </c>
      <c r="CJ38" s="428">
        <f t="shared" si="74"/>
        <v>0</v>
      </c>
      <c r="CK38" s="428">
        <f t="shared" si="75"/>
        <v>0</v>
      </c>
      <c r="CL38" s="428">
        <f t="shared" si="76"/>
        <v>0</v>
      </c>
      <c r="CM38" s="428">
        <f t="shared" si="77"/>
        <v>7636.9682237598208</v>
      </c>
      <c r="CN38" s="428">
        <f t="shared" si="77"/>
        <v>-2350</v>
      </c>
      <c r="CO38" s="428">
        <f t="shared" si="78"/>
        <v>0</v>
      </c>
      <c r="CP38" s="428">
        <f t="shared" si="79"/>
        <v>0</v>
      </c>
      <c r="CQ38" s="428">
        <f t="shared" si="80"/>
        <v>0</v>
      </c>
      <c r="CR38" s="428">
        <f t="shared" si="81"/>
        <v>0</v>
      </c>
      <c r="CS38" s="428">
        <f t="shared" si="82"/>
        <v>8000.3984563179602</v>
      </c>
      <c r="CT38" s="428">
        <f t="shared" si="82"/>
        <v>-2350</v>
      </c>
      <c r="CU38" s="428">
        <f t="shared" si="83"/>
        <v>0</v>
      </c>
      <c r="CV38" s="428">
        <f t="shared" si="84"/>
        <v>0</v>
      </c>
      <c r="CW38" s="428">
        <f t="shared" si="85"/>
        <v>0</v>
      </c>
      <c r="CX38" s="428">
        <f t="shared" si="86"/>
        <v>0</v>
      </c>
      <c r="CY38" s="428">
        <f t="shared" si="87"/>
        <v>8363.8286888760995</v>
      </c>
      <c r="CZ38" s="428">
        <f t="shared" si="87"/>
        <v>-2350</v>
      </c>
      <c r="DA38" s="428">
        <f t="shared" si="88"/>
        <v>0</v>
      </c>
      <c r="DB38" s="428">
        <f t="shared" si="89"/>
        <v>0</v>
      </c>
      <c r="DC38" s="428">
        <f t="shared" si="90"/>
        <v>0</v>
      </c>
      <c r="DD38" s="428">
        <f t="shared" si="91"/>
        <v>0</v>
      </c>
      <c r="DE38" s="428">
        <f t="shared" si="92"/>
        <v>8727.2589214342388</v>
      </c>
    </row>
    <row r="39" spans="1:109" ht="15" customHeight="1">
      <c r="A39" s="417"/>
      <c r="B39" s="828"/>
      <c r="C39" s="779">
        <f>$G$438</f>
        <v>0.3</v>
      </c>
      <c r="D39" s="631">
        <f t="shared" si="37"/>
        <v>0.2230396314054639</v>
      </c>
      <c r="E39" s="631">
        <f t="shared" si="38"/>
        <v>0.23535332957483757</v>
      </c>
      <c r="F39" s="631">
        <f t="shared" si="39"/>
        <v>0.24719478410839013</v>
      </c>
      <c r="G39" s="631">
        <f t="shared" si="40"/>
        <v>0.25860288887625971</v>
      </c>
      <c r="H39" s="789">
        <f t="shared" si="41"/>
        <v>0.26961177196095765</v>
      </c>
      <c r="I39" s="631">
        <f t="shared" si="42"/>
        <v>0.28025155508867439</v>
      </c>
      <c r="J39" s="631">
        <f t="shared" si="43"/>
        <v>0.29054896632678173</v>
      </c>
      <c r="K39" s="631">
        <f t="shared" si="44"/>
        <v>0.30052783898445146</v>
      </c>
      <c r="L39" s="631">
        <f t="shared" si="45"/>
        <v>0.3102095213276328</v>
      </c>
      <c r="M39" s="417"/>
      <c r="AT39" s="804">
        <f t="shared" ref="AT39:BB39" si="95">IF(Z53&lt;$G$449,0,MIN($G$446,1+IFERROR(INT((Z53-$G$449)/$G$451),0)))</f>
        <v>0</v>
      </c>
      <c r="AU39" s="804">
        <f t="shared" si="95"/>
        <v>0</v>
      </c>
      <c r="AV39" s="804">
        <f t="shared" si="95"/>
        <v>0</v>
      </c>
      <c r="AW39" s="804">
        <f t="shared" si="95"/>
        <v>0</v>
      </c>
      <c r="AX39" s="804">
        <f t="shared" si="95"/>
        <v>0</v>
      </c>
      <c r="AY39" s="804">
        <f t="shared" si="95"/>
        <v>2</v>
      </c>
      <c r="AZ39" s="804">
        <f t="shared" si="95"/>
        <v>3</v>
      </c>
      <c r="BA39" s="804">
        <f t="shared" si="95"/>
        <v>4</v>
      </c>
      <c r="BB39" s="804">
        <f t="shared" si="95"/>
        <v>6</v>
      </c>
      <c r="BD39" s="428">
        <f t="shared" si="47"/>
        <v>-2350</v>
      </c>
      <c r="BE39" s="428">
        <f t="shared" si="48"/>
        <v>0</v>
      </c>
      <c r="BF39" s="428">
        <f t="shared" si="49"/>
        <v>0</v>
      </c>
      <c r="BG39" s="428">
        <f t="shared" si="50"/>
        <v>0</v>
      </c>
      <c r="BH39" s="428">
        <f t="shared" si="51"/>
        <v>0</v>
      </c>
      <c r="BI39" s="428">
        <f t="shared" si="52"/>
        <v>6430.8815888441059</v>
      </c>
      <c r="BJ39" s="428">
        <f t="shared" si="52"/>
        <v>-2350</v>
      </c>
      <c r="BK39" s="428">
        <f t="shared" si="53"/>
        <v>0</v>
      </c>
      <c r="BL39" s="428">
        <f t="shared" si="54"/>
        <v>0</v>
      </c>
      <c r="BM39" s="428">
        <f t="shared" si="55"/>
        <v>0</v>
      </c>
      <c r="BN39" s="428">
        <f t="shared" si="56"/>
        <v>0</v>
      </c>
      <c r="BO39" s="428">
        <f t="shared" si="57"/>
        <v>6761.2004663951257</v>
      </c>
      <c r="BP39" s="428">
        <f t="shared" si="57"/>
        <v>-2350</v>
      </c>
      <c r="BQ39" s="428">
        <f t="shared" si="58"/>
        <v>0</v>
      </c>
      <c r="BR39" s="428">
        <f t="shared" si="59"/>
        <v>0</v>
      </c>
      <c r="BS39" s="428">
        <f t="shared" si="60"/>
        <v>0</v>
      </c>
      <c r="BT39" s="428">
        <f t="shared" si="61"/>
        <v>0</v>
      </c>
      <c r="BU39" s="428">
        <f t="shared" si="62"/>
        <v>7091.5193439461464</v>
      </c>
      <c r="BV39" s="428">
        <f t="shared" si="62"/>
        <v>-2350</v>
      </c>
      <c r="BW39" s="428">
        <f t="shared" si="63"/>
        <v>0</v>
      </c>
      <c r="BX39" s="428">
        <f t="shared" si="64"/>
        <v>0</v>
      </c>
      <c r="BY39" s="428">
        <f t="shared" si="65"/>
        <v>0</v>
      </c>
      <c r="BZ39" s="428">
        <f t="shared" si="66"/>
        <v>0</v>
      </c>
      <c r="CA39" s="428">
        <f t="shared" si="67"/>
        <v>7421.8382214971662</v>
      </c>
      <c r="CB39" s="428">
        <f t="shared" si="67"/>
        <v>-2350</v>
      </c>
      <c r="CC39" s="428">
        <f t="shared" si="68"/>
        <v>0</v>
      </c>
      <c r="CD39" s="428">
        <f t="shared" si="69"/>
        <v>0</v>
      </c>
      <c r="CE39" s="428">
        <f t="shared" si="70"/>
        <v>0</v>
      </c>
      <c r="CF39" s="428">
        <f t="shared" si="71"/>
        <v>0</v>
      </c>
      <c r="CG39" s="428">
        <f t="shared" si="72"/>
        <v>7752.1570990481869</v>
      </c>
      <c r="CH39" s="428">
        <f t="shared" si="72"/>
        <v>-2350</v>
      </c>
      <c r="CI39" s="428">
        <f t="shared" si="73"/>
        <v>0</v>
      </c>
      <c r="CJ39" s="428">
        <f t="shared" si="74"/>
        <v>0</v>
      </c>
      <c r="CK39" s="428">
        <f t="shared" si="75"/>
        <v>0</v>
      </c>
      <c r="CL39" s="428">
        <f t="shared" si="76"/>
        <v>0</v>
      </c>
      <c r="CM39" s="428">
        <f t="shared" si="77"/>
        <v>8082.4759765992076</v>
      </c>
      <c r="CN39" s="428">
        <f t="shared" si="77"/>
        <v>-2350</v>
      </c>
      <c r="CO39" s="428">
        <f t="shared" si="78"/>
        <v>0</v>
      </c>
      <c r="CP39" s="428">
        <f t="shared" si="79"/>
        <v>0</v>
      </c>
      <c r="CQ39" s="428">
        <f t="shared" si="80"/>
        <v>0</v>
      </c>
      <c r="CR39" s="428">
        <f t="shared" si="81"/>
        <v>0</v>
      </c>
      <c r="CS39" s="428">
        <f t="shared" si="82"/>
        <v>8412.7948541502283</v>
      </c>
      <c r="CT39" s="428">
        <f t="shared" si="82"/>
        <v>-2350</v>
      </c>
      <c r="CU39" s="428">
        <f t="shared" si="83"/>
        <v>0</v>
      </c>
      <c r="CV39" s="428">
        <f t="shared" si="84"/>
        <v>0</v>
      </c>
      <c r="CW39" s="428">
        <f t="shared" si="85"/>
        <v>0</v>
      </c>
      <c r="CX39" s="428">
        <f t="shared" si="86"/>
        <v>0</v>
      </c>
      <c r="CY39" s="428">
        <f t="shared" si="87"/>
        <v>8743.113731701249</v>
      </c>
      <c r="CZ39" s="428">
        <f t="shared" si="87"/>
        <v>-2350</v>
      </c>
      <c r="DA39" s="428">
        <f t="shared" si="88"/>
        <v>0</v>
      </c>
      <c r="DB39" s="428">
        <f t="shared" si="89"/>
        <v>0</v>
      </c>
      <c r="DC39" s="428">
        <f t="shared" si="90"/>
        <v>0</v>
      </c>
      <c r="DD39" s="428">
        <f t="shared" si="91"/>
        <v>0</v>
      </c>
      <c r="DE39" s="428">
        <f t="shared" si="92"/>
        <v>9073.4326092522679</v>
      </c>
    </row>
    <row r="40" spans="1:109" ht="15" customHeight="1">
      <c r="A40" s="417"/>
      <c r="B40" s="828"/>
      <c r="C40" s="779">
        <f>C39+$G$439</f>
        <v>0.35</v>
      </c>
      <c r="D40" s="631">
        <f t="shared" si="37"/>
        <v>0.24556430376911309</v>
      </c>
      <c r="E40" s="631">
        <f t="shared" si="38"/>
        <v>0.25589361255485499</v>
      </c>
      <c r="F40" s="631">
        <f t="shared" si="39"/>
        <v>0.26589387217809479</v>
      </c>
      <c r="G40" s="631">
        <f t="shared" si="40"/>
        <v>0.27558776761932524</v>
      </c>
      <c r="H40" s="631">
        <f t="shared" si="41"/>
        <v>0.28499564050678283</v>
      </c>
      <c r="I40" s="631">
        <f t="shared" si="42"/>
        <v>0.29413580598785738</v>
      </c>
      <c r="J40" s="631">
        <f t="shared" si="43"/>
        <v>0.3030248173417398</v>
      </c>
      <c r="K40" s="631">
        <f t="shared" si="44"/>
        <v>0.31167768835073395</v>
      </c>
      <c r="L40" s="631">
        <f t="shared" si="45"/>
        <v>0.32010808142122382</v>
      </c>
      <c r="M40" s="417"/>
      <c r="AT40" s="804">
        <f t="shared" ref="AT40:BB40" si="96">IF(Z54&lt;$G$449,0,MIN($G$446,1+IFERROR(INT((Z54-$G$449)/$G$451),0)))</f>
        <v>0</v>
      </c>
      <c r="AU40" s="804">
        <f t="shared" si="96"/>
        <v>0</v>
      </c>
      <c r="AV40" s="804">
        <f t="shared" si="96"/>
        <v>0</v>
      </c>
      <c r="AW40" s="804">
        <f t="shared" si="96"/>
        <v>1</v>
      </c>
      <c r="AX40" s="804">
        <f t="shared" si="96"/>
        <v>2</v>
      </c>
      <c r="AY40" s="804">
        <f t="shared" si="96"/>
        <v>4</v>
      </c>
      <c r="AZ40" s="804">
        <f t="shared" si="96"/>
        <v>5</v>
      </c>
      <c r="BA40" s="804">
        <f t="shared" si="96"/>
        <v>6</v>
      </c>
      <c r="BB40" s="804">
        <f t="shared" si="96"/>
        <v>7</v>
      </c>
      <c r="BD40" s="428">
        <f t="shared" si="47"/>
        <v>-2350</v>
      </c>
      <c r="BE40" s="428">
        <f t="shared" si="48"/>
        <v>0</v>
      </c>
      <c r="BF40" s="428">
        <f t="shared" si="49"/>
        <v>0</v>
      </c>
      <c r="BG40" s="428">
        <f t="shared" si="50"/>
        <v>0</v>
      </c>
      <c r="BH40" s="428">
        <f t="shared" si="51"/>
        <v>0</v>
      </c>
      <c r="BI40" s="428">
        <f t="shared" si="52"/>
        <v>7045.2860267382894</v>
      </c>
      <c r="BJ40" s="428">
        <f t="shared" si="52"/>
        <v>-2350</v>
      </c>
      <c r="BK40" s="428">
        <f t="shared" si="53"/>
        <v>0</v>
      </c>
      <c r="BL40" s="428">
        <f t="shared" si="54"/>
        <v>0</v>
      </c>
      <c r="BM40" s="428">
        <f t="shared" si="55"/>
        <v>0</v>
      </c>
      <c r="BN40" s="428">
        <f t="shared" si="56"/>
        <v>0</v>
      </c>
      <c r="BO40" s="428">
        <f t="shared" si="57"/>
        <v>7342.299915627179</v>
      </c>
      <c r="BP40" s="428">
        <f t="shared" si="57"/>
        <v>-2350</v>
      </c>
      <c r="BQ40" s="428">
        <f t="shared" si="58"/>
        <v>0</v>
      </c>
      <c r="BR40" s="428">
        <f t="shared" si="59"/>
        <v>0</v>
      </c>
      <c r="BS40" s="428">
        <f t="shared" si="60"/>
        <v>0</v>
      </c>
      <c r="BT40" s="428">
        <f t="shared" si="61"/>
        <v>0</v>
      </c>
      <c r="BU40" s="428">
        <f t="shared" si="62"/>
        <v>7639.3138045160667</v>
      </c>
      <c r="BV40" s="428">
        <f t="shared" si="62"/>
        <v>-2350</v>
      </c>
      <c r="BW40" s="428">
        <f t="shared" si="63"/>
        <v>0</v>
      </c>
      <c r="BX40" s="428">
        <f t="shared" si="64"/>
        <v>0</v>
      </c>
      <c r="BY40" s="428">
        <f t="shared" si="65"/>
        <v>0</v>
      </c>
      <c r="BZ40" s="428">
        <f t="shared" si="66"/>
        <v>0</v>
      </c>
      <c r="CA40" s="428">
        <f t="shared" si="67"/>
        <v>7936.3276934049572</v>
      </c>
      <c r="CB40" s="428">
        <f t="shared" si="67"/>
        <v>-2350</v>
      </c>
      <c r="CC40" s="428">
        <f t="shared" si="68"/>
        <v>0</v>
      </c>
      <c r="CD40" s="428">
        <f t="shared" si="69"/>
        <v>0</v>
      </c>
      <c r="CE40" s="428">
        <f t="shared" si="70"/>
        <v>0</v>
      </c>
      <c r="CF40" s="428">
        <f t="shared" si="71"/>
        <v>0</v>
      </c>
      <c r="CG40" s="428">
        <f t="shared" si="72"/>
        <v>8233.3415822938459</v>
      </c>
      <c r="CH40" s="428">
        <f t="shared" si="72"/>
        <v>-2350</v>
      </c>
      <c r="CI40" s="428">
        <f t="shared" si="73"/>
        <v>0</v>
      </c>
      <c r="CJ40" s="428">
        <f t="shared" si="74"/>
        <v>0</v>
      </c>
      <c r="CK40" s="428">
        <f t="shared" si="75"/>
        <v>0</v>
      </c>
      <c r="CL40" s="428">
        <f t="shared" si="76"/>
        <v>0</v>
      </c>
      <c r="CM40" s="428">
        <f t="shared" si="77"/>
        <v>8530.3554711827346</v>
      </c>
      <c r="CN40" s="428">
        <f t="shared" si="77"/>
        <v>-2350</v>
      </c>
      <c r="CO40" s="428">
        <f t="shared" si="78"/>
        <v>0</v>
      </c>
      <c r="CP40" s="428">
        <f t="shared" si="79"/>
        <v>0</v>
      </c>
      <c r="CQ40" s="428">
        <f t="shared" si="80"/>
        <v>0</v>
      </c>
      <c r="CR40" s="428">
        <f t="shared" si="81"/>
        <v>0</v>
      </c>
      <c r="CS40" s="428">
        <f t="shared" si="82"/>
        <v>8827.3693600716233</v>
      </c>
      <c r="CT40" s="428">
        <f t="shared" si="82"/>
        <v>-2350</v>
      </c>
      <c r="CU40" s="428">
        <f t="shared" si="83"/>
        <v>0</v>
      </c>
      <c r="CV40" s="428">
        <f t="shared" si="84"/>
        <v>0</v>
      </c>
      <c r="CW40" s="428">
        <f t="shared" si="85"/>
        <v>0</v>
      </c>
      <c r="CX40" s="428">
        <f t="shared" si="86"/>
        <v>0</v>
      </c>
      <c r="CY40" s="428">
        <f t="shared" si="87"/>
        <v>9124.383248960512</v>
      </c>
      <c r="CZ40" s="428">
        <f t="shared" si="87"/>
        <v>-2350</v>
      </c>
      <c r="DA40" s="428">
        <f t="shared" si="88"/>
        <v>0</v>
      </c>
      <c r="DB40" s="428">
        <f t="shared" si="89"/>
        <v>0</v>
      </c>
      <c r="DC40" s="428">
        <f t="shared" si="90"/>
        <v>0</v>
      </c>
      <c r="DD40" s="428">
        <f t="shared" si="91"/>
        <v>0</v>
      </c>
      <c r="DE40" s="428">
        <f t="shared" si="92"/>
        <v>9421.3971378494007</v>
      </c>
    </row>
    <row r="41" spans="1:109" ht="15" customHeight="1">
      <c r="A41" s="417"/>
      <c r="B41" s="828"/>
      <c r="C41" s="779">
        <f>C40+$G$439</f>
        <v>0.39999999999999997</v>
      </c>
      <c r="D41" s="631">
        <f t="shared" si="37"/>
        <v>0.2666798734413951</v>
      </c>
      <c r="E41" s="631">
        <f t="shared" si="38"/>
        <v>0.27527405376640424</v>
      </c>
      <c r="F41" s="631">
        <f t="shared" si="39"/>
        <v>0.28364262314349609</v>
      </c>
      <c r="G41" s="631">
        <f t="shared" si="40"/>
        <v>0.29179848543992448</v>
      </c>
      <c r="H41" s="631">
        <f t="shared" si="41"/>
        <v>0.29975343171187152</v>
      </c>
      <c r="I41" s="631">
        <f t="shared" si="42"/>
        <v>0.3075182665816214</v>
      </c>
      <c r="J41" s="631">
        <f t="shared" si="43"/>
        <v>0.31510291694632464</v>
      </c>
      <c r="K41" s="631">
        <f t="shared" si="44"/>
        <v>0.32251652608416048</v>
      </c>
      <c r="L41" s="631">
        <f t="shared" si="45"/>
        <v>0.32976753527630165</v>
      </c>
      <c r="M41" s="417"/>
      <c r="AT41" s="804">
        <f t="shared" ref="AT41:BB41" si="97">IF(Z55&lt;$G$449,0,MIN($G$446,1+IFERROR(INT((Z55-$G$449)/$G$451),0)))</f>
        <v>0</v>
      </c>
      <c r="AU41" s="804">
        <f t="shared" si="97"/>
        <v>1</v>
      </c>
      <c r="AV41" s="804">
        <f t="shared" si="97"/>
        <v>2</v>
      </c>
      <c r="AW41" s="804">
        <f t="shared" si="97"/>
        <v>3</v>
      </c>
      <c r="AX41" s="804">
        <f t="shared" si="97"/>
        <v>4</v>
      </c>
      <c r="AY41" s="804">
        <f t="shared" si="97"/>
        <v>5</v>
      </c>
      <c r="AZ41" s="804">
        <f t="shared" si="97"/>
        <v>7</v>
      </c>
      <c r="BA41" s="804">
        <f t="shared" si="97"/>
        <v>8</v>
      </c>
      <c r="BB41" s="804">
        <f t="shared" si="97"/>
        <v>9</v>
      </c>
      <c r="BD41" s="428">
        <f t="shared" si="47"/>
        <v>-2350</v>
      </c>
      <c r="BE41" s="428">
        <f t="shared" si="48"/>
        <v>0</v>
      </c>
      <c r="BF41" s="428">
        <f t="shared" si="49"/>
        <v>0</v>
      </c>
      <c r="BG41" s="428">
        <f t="shared" si="50"/>
        <v>0</v>
      </c>
      <c r="BH41" s="428">
        <f t="shared" si="51"/>
        <v>0</v>
      </c>
      <c r="BI41" s="428">
        <f t="shared" si="52"/>
        <v>7663.0597580242811</v>
      </c>
      <c r="BJ41" s="428">
        <f t="shared" si="52"/>
        <v>-2350</v>
      </c>
      <c r="BK41" s="428">
        <f t="shared" si="53"/>
        <v>0</v>
      </c>
      <c r="BL41" s="428">
        <f t="shared" si="54"/>
        <v>0</v>
      </c>
      <c r="BM41" s="428">
        <f t="shared" si="55"/>
        <v>0</v>
      </c>
      <c r="BN41" s="428">
        <f t="shared" si="56"/>
        <v>0</v>
      </c>
      <c r="BO41" s="428">
        <f t="shared" si="57"/>
        <v>7926.5733210741346</v>
      </c>
      <c r="BP41" s="428">
        <f t="shared" si="57"/>
        <v>-2350</v>
      </c>
      <c r="BQ41" s="428">
        <f t="shared" si="58"/>
        <v>0</v>
      </c>
      <c r="BR41" s="428">
        <f t="shared" si="59"/>
        <v>0</v>
      </c>
      <c r="BS41" s="428">
        <f t="shared" si="60"/>
        <v>0</v>
      </c>
      <c r="BT41" s="428">
        <f t="shared" si="61"/>
        <v>0</v>
      </c>
      <c r="BU41" s="428">
        <f t="shared" si="62"/>
        <v>8190.0868841239862</v>
      </c>
      <c r="BV41" s="428">
        <f t="shared" si="62"/>
        <v>-2350</v>
      </c>
      <c r="BW41" s="428">
        <f t="shared" si="63"/>
        <v>0</v>
      </c>
      <c r="BX41" s="428">
        <f t="shared" si="64"/>
        <v>0</v>
      </c>
      <c r="BY41" s="428">
        <f t="shared" si="65"/>
        <v>0</v>
      </c>
      <c r="BZ41" s="428">
        <f t="shared" si="66"/>
        <v>0</v>
      </c>
      <c r="CA41" s="428">
        <f t="shared" si="67"/>
        <v>8453.6004471738415</v>
      </c>
      <c r="CB41" s="428">
        <f t="shared" si="67"/>
        <v>-2350</v>
      </c>
      <c r="CC41" s="428">
        <f t="shared" si="68"/>
        <v>0</v>
      </c>
      <c r="CD41" s="428">
        <f t="shared" si="69"/>
        <v>0</v>
      </c>
      <c r="CE41" s="428">
        <f t="shared" si="70"/>
        <v>0</v>
      </c>
      <c r="CF41" s="428">
        <f t="shared" si="71"/>
        <v>0</v>
      </c>
      <c r="CG41" s="428">
        <f t="shared" si="72"/>
        <v>8717.1140102236932</v>
      </c>
      <c r="CH41" s="428">
        <f t="shared" si="72"/>
        <v>-2350</v>
      </c>
      <c r="CI41" s="428">
        <f t="shared" si="73"/>
        <v>0</v>
      </c>
      <c r="CJ41" s="428">
        <f t="shared" si="74"/>
        <v>0</v>
      </c>
      <c r="CK41" s="428">
        <f t="shared" si="75"/>
        <v>0</v>
      </c>
      <c r="CL41" s="428">
        <f t="shared" si="76"/>
        <v>0</v>
      </c>
      <c r="CM41" s="428">
        <f t="shared" si="77"/>
        <v>8980.6275732735485</v>
      </c>
      <c r="CN41" s="428">
        <f t="shared" si="77"/>
        <v>-2350</v>
      </c>
      <c r="CO41" s="428">
        <f t="shared" si="78"/>
        <v>0</v>
      </c>
      <c r="CP41" s="428">
        <f t="shared" si="79"/>
        <v>0</v>
      </c>
      <c r="CQ41" s="428">
        <f t="shared" si="80"/>
        <v>0</v>
      </c>
      <c r="CR41" s="428">
        <f t="shared" si="81"/>
        <v>0</v>
      </c>
      <c r="CS41" s="428">
        <f t="shared" si="82"/>
        <v>9244.1411363234001</v>
      </c>
      <c r="CT41" s="428">
        <f t="shared" si="82"/>
        <v>-2350</v>
      </c>
      <c r="CU41" s="428">
        <f t="shared" si="83"/>
        <v>0</v>
      </c>
      <c r="CV41" s="428">
        <f t="shared" si="84"/>
        <v>0</v>
      </c>
      <c r="CW41" s="428">
        <f t="shared" si="85"/>
        <v>0</v>
      </c>
      <c r="CX41" s="428">
        <f t="shared" si="86"/>
        <v>0</v>
      </c>
      <c r="CY41" s="428">
        <f t="shared" si="87"/>
        <v>9507.6546993732536</v>
      </c>
      <c r="CZ41" s="428">
        <f t="shared" si="87"/>
        <v>-2350</v>
      </c>
      <c r="DA41" s="428">
        <f t="shared" si="88"/>
        <v>0</v>
      </c>
      <c r="DB41" s="428">
        <f t="shared" si="89"/>
        <v>0</v>
      </c>
      <c r="DC41" s="428">
        <f t="shared" si="90"/>
        <v>0</v>
      </c>
      <c r="DD41" s="428">
        <f t="shared" si="91"/>
        <v>0</v>
      </c>
      <c r="DE41" s="428">
        <f t="shared" si="92"/>
        <v>9771.1682624231071</v>
      </c>
    </row>
    <row r="42" spans="1:109" ht="15" customHeight="1">
      <c r="A42" s="417"/>
      <c r="B42" s="829"/>
      <c r="C42" s="780">
        <f>C41+$G$439</f>
        <v>0.44999999999999996</v>
      </c>
      <c r="D42" s="790">
        <f t="shared" si="37"/>
        <v>0.28658025922256125</v>
      </c>
      <c r="E42" s="790">
        <f t="shared" si="38"/>
        <v>0.29364064850491323</v>
      </c>
      <c r="F42" s="790">
        <f t="shared" si="39"/>
        <v>0.30055018424588309</v>
      </c>
      <c r="G42" s="790">
        <f t="shared" si="40"/>
        <v>0.30731593040765115</v>
      </c>
      <c r="H42" s="790">
        <f t="shared" si="41"/>
        <v>0.31394444938217059</v>
      </c>
      <c r="I42" s="790">
        <f t="shared" si="42"/>
        <v>0.32044184919370822</v>
      </c>
      <c r="J42" s="790">
        <f t="shared" si="43"/>
        <v>0.32681382513090962</v>
      </c>
      <c r="K42" s="790">
        <f t="shared" si="44"/>
        <v>0.33306569671476982</v>
      </c>
      <c r="L42" s="790">
        <f t="shared" si="45"/>
        <v>0.3392024405729448</v>
      </c>
      <c r="M42" s="417"/>
      <c r="AT42" s="804">
        <f t="shared" ref="AT42:BB42" si="98">IF(Z56&lt;$G$449,0,MIN($G$446,1+IFERROR(INT((Z56-$G$449)/$G$451),0)))</f>
        <v>2</v>
      </c>
      <c r="AU42" s="804">
        <f t="shared" si="98"/>
        <v>3</v>
      </c>
      <c r="AV42" s="804">
        <f t="shared" si="98"/>
        <v>4</v>
      </c>
      <c r="AW42" s="804">
        <f t="shared" si="98"/>
        <v>5</v>
      </c>
      <c r="AX42" s="804">
        <f t="shared" si="98"/>
        <v>6</v>
      </c>
      <c r="AY42" s="804">
        <f t="shared" si="98"/>
        <v>7</v>
      </c>
      <c r="AZ42" s="804">
        <f t="shared" si="98"/>
        <v>8</v>
      </c>
      <c r="BA42" s="804">
        <f t="shared" si="98"/>
        <v>9</v>
      </c>
      <c r="BB42" s="804">
        <f t="shared" si="98"/>
        <v>10</v>
      </c>
      <c r="BD42" s="428">
        <f t="shared" si="47"/>
        <v>-2350</v>
      </c>
      <c r="BE42" s="428">
        <f t="shared" si="48"/>
        <v>0</v>
      </c>
      <c r="BF42" s="428">
        <f t="shared" si="49"/>
        <v>0</v>
      </c>
      <c r="BG42" s="428">
        <f t="shared" si="50"/>
        <v>0</v>
      </c>
      <c r="BH42" s="428">
        <f t="shared" si="51"/>
        <v>0</v>
      </c>
      <c r="BI42" s="428">
        <f t="shared" si="52"/>
        <v>8284.2325117614128</v>
      </c>
      <c r="BJ42" s="428">
        <f t="shared" si="52"/>
        <v>-2350</v>
      </c>
      <c r="BK42" s="428">
        <f t="shared" si="53"/>
        <v>0</v>
      </c>
      <c r="BL42" s="428">
        <f t="shared" si="54"/>
        <v>0</v>
      </c>
      <c r="BM42" s="428">
        <f t="shared" si="55"/>
        <v>0</v>
      </c>
      <c r="BN42" s="428">
        <f t="shared" si="56"/>
        <v>0</v>
      </c>
      <c r="BO42" s="428">
        <f t="shared" si="57"/>
        <v>8514.048688232002</v>
      </c>
      <c r="BP42" s="428">
        <f t="shared" si="57"/>
        <v>-2350</v>
      </c>
      <c r="BQ42" s="428">
        <f t="shared" si="58"/>
        <v>0</v>
      </c>
      <c r="BR42" s="428">
        <f t="shared" si="59"/>
        <v>0</v>
      </c>
      <c r="BS42" s="428">
        <f t="shared" si="60"/>
        <v>0</v>
      </c>
      <c r="BT42" s="428">
        <f t="shared" si="61"/>
        <v>0</v>
      </c>
      <c r="BU42" s="428">
        <f t="shared" si="62"/>
        <v>8743.8648647025893</v>
      </c>
      <c r="BV42" s="428">
        <f t="shared" si="62"/>
        <v>-2350</v>
      </c>
      <c r="BW42" s="428">
        <f t="shared" si="63"/>
        <v>0</v>
      </c>
      <c r="BX42" s="428">
        <f t="shared" si="64"/>
        <v>0</v>
      </c>
      <c r="BY42" s="428">
        <f t="shared" si="65"/>
        <v>0</v>
      </c>
      <c r="BZ42" s="428">
        <f t="shared" si="66"/>
        <v>0</v>
      </c>
      <c r="CA42" s="428">
        <f t="shared" si="67"/>
        <v>8973.6810411731785</v>
      </c>
      <c r="CB42" s="428">
        <f t="shared" si="67"/>
        <v>-2350</v>
      </c>
      <c r="CC42" s="428">
        <f t="shared" si="68"/>
        <v>0</v>
      </c>
      <c r="CD42" s="428">
        <f t="shared" si="69"/>
        <v>0</v>
      </c>
      <c r="CE42" s="428">
        <f t="shared" si="70"/>
        <v>0</v>
      </c>
      <c r="CF42" s="428">
        <f t="shared" si="71"/>
        <v>0</v>
      </c>
      <c r="CG42" s="428">
        <f t="shared" si="72"/>
        <v>9203.4972176437659</v>
      </c>
      <c r="CH42" s="428">
        <f t="shared" si="72"/>
        <v>-2350</v>
      </c>
      <c r="CI42" s="428">
        <f t="shared" si="73"/>
        <v>0</v>
      </c>
      <c r="CJ42" s="428">
        <f t="shared" si="74"/>
        <v>0</v>
      </c>
      <c r="CK42" s="428">
        <f t="shared" si="75"/>
        <v>0</v>
      </c>
      <c r="CL42" s="428">
        <f t="shared" si="76"/>
        <v>0</v>
      </c>
      <c r="CM42" s="428">
        <f t="shared" si="77"/>
        <v>9433.3133941143551</v>
      </c>
      <c r="CN42" s="428">
        <f t="shared" si="77"/>
        <v>-2350</v>
      </c>
      <c r="CO42" s="428">
        <f t="shared" si="78"/>
        <v>0</v>
      </c>
      <c r="CP42" s="428">
        <f t="shared" si="79"/>
        <v>0</v>
      </c>
      <c r="CQ42" s="428">
        <f t="shared" si="80"/>
        <v>0</v>
      </c>
      <c r="CR42" s="428">
        <f t="shared" si="81"/>
        <v>0</v>
      </c>
      <c r="CS42" s="428">
        <f t="shared" si="82"/>
        <v>9663.1295705849425</v>
      </c>
      <c r="CT42" s="428">
        <f t="shared" si="82"/>
        <v>-2350</v>
      </c>
      <c r="CU42" s="428">
        <f t="shared" si="83"/>
        <v>0</v>
      </c>
      <c r="CV42" s="428">
        <f t="shared" si="84"/>
        <v>0</v>
      </c>
      <c r="CW42" s="428">
        <f t="shared" si="85"/>
        <v>0</v>
      </c>
      <c r="CX42" s="428">
        <f t="shared" si="86"/>
        <v>0</v>
      </c>
      <c r="CY42" s="428">
        <f t="shared" si="87"/>
        <v>9892.9457470555317</v>
      </c>
      <c r="CZ42" s="428">
        <f t="shared" si="87"/>
        <v>-2350</v>
      </c>
      <c r="DA42" s="428">
        <f t="shared" si="88"/>
        <v>0</v>
      </c>
      <c r="DB42" s="428">
        <f t="shared" si="89"/>
        <v>0</v>
      </c>
      <c r="DC42" s="428">
        <f t="shared" si="90"/>
        <v>0</v>
      </c>
      <c r="DD42" s="428">
        <f t="shared" si="91"/>
        <v>0</v>
      </c>
      <c r="DE42" s="428">
        <f t="shared" si="92"/>
        <v>10122.761923526119</v>
      </c>
    </row>
    <row r="43" spans="1:109" ht="15" hidden="1" customHeight="1" outlineLevel="1">
      <c r="A43" s="417"/>
      <c r="B43" s="423" t="s">
        <v>2536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109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109">
      <c r="A45" s="417"/>
      <c r="B45" s="794" t="s">
        <v>2736</v>
      </c>
      <c r="C45" s="794"/>
      <c r="D45" s="794"/>
      <c r="E45" s="794"/>
      <c r="F45" s="794"/>
      <c r="G45" s="794"/>
      <c r="H45" s="794"/>
      <c r="I45" s="794"/>
      <c r="J45" s="794"/>
      <c r="K45" s="794"/>
      <c r="L45" s="794"/>
      <c r="M45" s="417"/>
      <c r="N45" s="417"/>
      <c r="O45" s="417"/>
      <c r="P45" s="417"/>
      <c r="Q45" s="417"/>
    </row>
    <row r="46" spans="1:109" ht="15" customHeight="1">
      <c r="A46" s="417"/>
      <c r="B46" s="148" t="s">
        <v>2544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109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109" ht="12.75" customHeight="1">
      <c r="A48" s="417"/>
      <c r="B48" s="454"/>
      <c r="C48" s="454"/>
      <c r="D48" s="767" t="s">
        <v>2525</v>
      </c>
      <c r="E48" s="767"/>
      <c r="F48" s="767"/>
      <c r="G48" s="767"/>
      <c r="H48" s="767"/>
      <c r="I48" s="767"/>
      <c r="J48" s="767"/>
      <c r="K48" s="767"/>
      <c r="L48" s="767"/>
      <c r="M48" s="417"/>
      <c r="N48" s="417"/>
      <c r="O48" s="417"/>
      <c r="P48" s="417"/>
      <c r="Q48" s="417"/>
      <c r="Z48" s="786" t="s">
        <v>2550</v>
      </c>
      <c r="AA48" s="746"/>
      <c r="AB48" s="746"/>
      <c r="AC48" s="746"/>
      <c r="AD48" s="746"/>
      <c r="AE48" s="746"/>
      <c r="AF48" s="746"/>
      <c r="AG48" s="746"/>
      <c r="AH48" s="746"/>
    </row>
    <row r="49" spans="1:54" ht="12.75" customHeight="1">
      <c r="A49" s="417"/>
      <c r="B49" s="454"/>
      <c r="C49" s="454"/>
      <c r="D49" s="768">
        <f>E49-$G$441</f>
        <v>1.3171225937183451E-2</v>
      </c>
      <c r="E49" s="768">
        <f>F49-$G$441</f>
        <v>0.26317122593718345</v>
      </c>
      <c r="F49" s="768">
        <f>G49-$G$441</f>
        <v>0.51317122593718345</v>
      </c>
      <c r="G49" s="768">
        <f>H49-$G$441</f>
        <v>0.76317122593718345</v>
      </c>
      <c r="H49" s="768">
        <f>$G$440</f>
        <v>1.0131712259371835</v>
      </c>
      <c r="I49" s="768">
        <f>H49+$G$441</f>
        <v>1.2631712259371835</v>
      </c>
      <c r="J49" s="768">
        <f>I49+$G$441</f>
        <v>1.5131712259371835</v>
      </c>
      <c r="K49" s="768">
        <f>J49+$G$441</f>
        <v>1.7631712259371835</v>
      </c>
      <c r="L49" s="768">
        <f>K49+$G$441</f>
        <v>2.0131712259371835</v>
      </c>
      <c r="M49" s="417"/>
      <c r="N49" s="417"/>
      <c r="O49" s="417"/>
      <c r="P49" s="417"/>
      <c r="Q49" s="417"/>
      <c r="Z49" s="798">
        <f>D$9</f>
        <v>1.3171225937183451E-2</v>
      </c>
      <c r="AA49" s="798">
        <f t="shared" ref="AA49:AH49" si="99">E$9</f>
        <v>0.26317122593718345</v>
      </c>
      <c r="AB49" s="798">
        <f t="shared" si="99"/>
        <v>0.51317122593718345</v>
      </c>
      <c r="AC49" s="798">
        <f t="shared" si="99"/>
        <v>0.76317122593718345</v>
      </c>
      <c r="AD49" s="798">
        <f t="shared" si="99"/>
        <v>1.0131712259371835</v>
      </c>
      <c r="AE49" s="798">
        <f t="shared" si="99"/>
        <v>1.2631712259371835</v>
      </c>
      <c r="AF49" s="798">
        <f t="shared" si="99"/>
        <v>1.5131712259371835</v>
      </c>
      <c r="AG49" s="798">
        <f t="shared" si="99"/>
        <v>1.7631712259371835</v>
      </c>
      <c r="AH49" s="798">
        <f t="shared" si="99"/>
        <v>2.0131712259371835</v>
      </c>
      <c r="AT49" s="772" t="s">
        <v>2614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27" t="s">
        <v>2526</v>
      </c>
      <c r="C50" s="779">
        <f>C51-$G$439</f>
        <v>0.15000000000000002</v>
      </c>
      <c r="D50" s="620">
        <f>ROUND(Z50,$G$452)</f>
        <v>-2200</v>
      </c>
      <c r="E50" s="620">
        <f t="shared" ref="E50:E56" si="100">ROUND(AA50,$G$452)</f>
        <v>-1800</v>
      </c>
      <c r="F50" s="620">
        <f t="shared" ref="F50:F56" si="101">ROUND(AB50,$G$452)</f>
        <v>-1400</v>
      </c>
      <c r="G50" s="620">
        <f t="shared" ref="G50:G56" si="102">ROUND(AC50,$G$452)</f>
        <v>-900</v>
      </c>
      <c r="H50" s="620">
        <f t="shared" ref="H50:H56" si="103">ROUND(AD50,$G$452)</f>
        <v>-500</v>
      </c>
      <c r="I50" s="620">
        <f t="shared" ref="I50:I56" si="104">ROUND(AE50,$G$452)</f>
        <v>-100</v>
      </c>
      <c r="J50" s="620">
        <f t="shared" ref="J50:J56" si="105">ROUND(AF50,$G$452)</f>
        <v>300</v>
      </c>
      <c r="K50" s="620">
        <f t="shared" ref="K50:K56" si="106">ROUND(AG50,$G$452)</f>
        <v>800</v>
      </c>
      <c r="L50" s="620">
        <f t="shared" ref="L50:L56" si="107">ROUND(AH50,$G$452)</f>
        <v>1200</v>
      </c>
      <c r="M50" s="417"/>
      <c r="N50" s="417"/>
      <c r="O50" s="417"/>
      <c r="P50" s="417"/>
      <c r="Q50" s="417"/>
      <c r="Z50" s="367">
        <f>Z10+$G$430-$G$447</f>
        <v>-2232.6657984816193</v>
      </c>
      <c r="AA50" s="367">
        <f t="shared" ref="AA50:AH50" si="108">AA10+$G$430-$G$447</f>
        <v>-1803.5870412561853</v>
      </c>
      <c r="AB50" s="367">
        <f t="shared" si="108"/>
        <v>-1374.5082840307523</v>
      </c>
      <c r="AC50" s="367">
        <f t="shared" si="108"/>
        <v>-945.42952680531926</v>
      </c>
      <c r="AD50" s="367">
        <f t="shared" si="108"/>
        <v>-516.35076957988531</v>
      </c>
      <c r="AE50" s="367">
        <f t="shared" si="108"/>
        <v>-87.272012354451363</v>
      </c>
      <c r="AF50" s="367">
        <f t="shared" si="108"/>
        <v>341.80674487098076</v>
      </c>
      <c r="AG50" s="367">
        <f t="shared" si="108"/>
        <v>770.88550209641471</v>
      </c>
      <c r="AH50" s="367">
        <f t="shared" si="108"/>
        <v>1199.9642593218487</v>
      </c>
      <c r="AT50" s="804">
        <f>IF(Z50&lt;$G$449,0,MIN($G$446,1+IFERROR(INT((Z50-$G$449)/$G$451),0)))</f>
        <v>0</v>
      </c>
      <c r="AU50" s="804">
        <f t="shared" ref="AU50:AU56" si="109">IF(AA50&lt;$G$449,0,MIN($G$446,1+IFERROR(INT((AA50-$G$449)/$G$451),0)))</f>
        <v>0</v>
      </c>
      <c r="AV50" s="804">
        <f t="shared" ref="AV50:AV56" si="110">IF(AB50&lt;$G$449,0,MIN($G$446,1+IFERROR(INT((AB50-$G$449)/$G$451),0)))</f>
        <v>0</v>
      </c>
      <c r="AW50" s="804">
        <f t="shared" ref="AW50:AW56" si="111">IF(AC50&lt;$G$449,0,MIN($G$446,1+IFERROR(INT((AC50-$G$449)/$G$451),0)))</f>
        <v>0</v>
      </c>
      <c r="AX50" s="804">
        <f t="shared" ref="AX50:AX56" si="112">IF(AD50&lt;$G$449,0,MIN($G$446,1+IFERROR(INT((AD50-$G$449)/$G$451),0)))</f>
        <v>0</v>
      </c>
      <c r="AY50" s="804">
        <f t="shared" ref="AY50:AY56" si="113">IF(AE50&lt;$G$449,0,MIN($G$446,1+IFERROR(INT((AE50-$G$449)/$G$451),0)))</f>
        <v>0</v>
      </c>
      <c r="AZ50" s="804">
        <f t="shared" ref="AZ50:AZ56" si="114">IF(AF50&lt;$G$449,0,MIN($G$446,1+IFERROR(INT((AF50-$G$449)/$G$451),0)))</f>
        <v>0</v>
      </c>
      <c r="BA50" s="804">
        <f t="shared" ref="BA50:BA56" si="115">IF(AG50&lt;$G$449,0,MIN($G$446,1+IFERROR(INT((AG50-$G$449)/$G$451),0)))</f>
        <v>0</v>
      </c>
      <c r="BB50" s="804">
        <f t="shared" ref="BB50:BB56" si="116">IF(AH50&lt;$G$449,0,MIN($G$446,1+IFERROR(INT((AH50-$G$449)/$G$451),0)))</f>
        <v>1</v>
      </c>
    </row>
    <row r="51" spans="1:54" ht="15" customHeight="1">
      <c r="A51" s="417"/>
      <c r="B51" s="828"/>
      <c r="C51" s="779">
        <f>C52-$G$439</f>
        <v>0.2</v>
      </c>
      <c r="D51" s="470">
        <f t="shared" ref="D51:D56" si="117">ROUND(Z51,$G$452)</f>
        <v>-1600</v>
      </c>
      <c r="E51" s="470">
        <f t="shared" si="100"/>
        <v>-1200</v>
      </c>
      <c r="F51" s="470">
        <f t="shared" si="101"/>
        <v>-800</v>
      </c>
      <c r="G51" s="470">
        <f t="shared" si="102"/>
        <v>-400</v>
      </c>
      <c r="H51" s="470">
        <f t="shared" si="103"/>
        <v>0</v>
      </c>
      <c r="I51" s="470">
        <f t="shared" si="104"/>
        <v>400</v>
      </c>
      <c r="J51" s="470">
        <f t="shared" si="105"/>
        <v>700</v>
      </c>
      <c r="K51" s="470">
        <f t="shared" si="106"/>
        <v>1100</v>
      </c>
      <c r="L51" s="470">
        <f t="shared" si="107"/>
        <v>1500</v>
      </c>
      <c r="M51" s="417"/>
      <c r="N51" s="417"/>
      <c r="O51" s="417"/>
      <c r="P51" s="417"/>
      <c r="Q51" s="417"/>
      <c r="Z51" s="367">
        <f t="shared" ref="Z51:AH51" si="118">Z11+$G$430-$G$447</f>
        <v>-1628.1942983112913</v>
      </c>
      <c r="AA51" s="367">
        <f t="shared" si="118"/>
        <v>-1231.8446606301313</v>
      </c>
      <c r="AB51" s="367">
        <f t="shared" si="118"/>
        <v>-835.49502294897229</v>
      </c>
      <c r="AC51" s="367">
        <f t="shared" si="118"/>
        <v>-439.14538526781325</v>
      </c>
      <c r="AD51" s="367">
        <f t="shared" si="118"/>
        <v>-42.795747586653306</v>
      </c>
      <c r="AE51" s="367">
        <f t="shared" si="118"/>
        <v>353.55389009450573</v>
      </c>
      <c r="AF51" s="367">
        <f t="shared" si="118"/>
        <v>749.90352777566477</v>
      </c>
      <c r="AG51" s="367">
        <f t="shared" si="118"/>
        <v>1146.2531654568247</v>
      </c>
      <c r="AH51" s="367">
        <f t="shared" si="118"/>
        <v>1542.6028031379828</v>
      </c>
      <c r="AT51" s="804">
        <f t="shared" ref="AT51:AT56" si="119">IF(Z51&lt;$G$449,0,MIN($G$446,1+IFERROR(INT((Z51-$G$449)/$G$451),0)))</f>
        <v>0</v>
      </c>
      <c r="AU51" s="804">
        <f t="shared" si="109"/>
        <v>0</v>
      </c>
      <c r="AV51" s="804">
        <f t="shared" si="110"/>
        <v>0</v>
      </c>
      <c r="AW51" s="804">
        <f t="shared" si="111"/>
        <v>0</v>
      </c>
      <c r="AX51" s="804">
        <f t="shared" si="112"/>
        <v>0</v>
      </c>
      <c r="AY51" s="804">
        <f t="shared" si="113"/>
        <v>0</v>
      </c>
      <c r="AZ51" s="804">
        <f t="shared" si="114"/>
        <v>0</v>
      </c>
      <c r="BA51" s="804">
        <f t="shared" si="115"/>
        <v>1</v>
      </c>
      <c r="BB51" s="804">
        <f t="shared" si="116"/>
        <v>3</v>
      </c>
    </row>
    <row r="52" spans="1:54" ht="15" customHeight="1">
      <c r="A52" s="417"/>
      <c r="B52" s="828"/>
      <c r="C52" s="779">
        <f>C53-$G$439</f>
        <v>0.25</v>
      </c>
      <c r="D52" s="470">
        <f t="shared" si="117"/>
        <v>-1000</v>
      </c>
      <c r="E52" s="470">
        <f t="shared" si="100"/>
        <v>-700</v>
      </c>
      <c r="F52" s="470">
        <f t="shared" si="101"/>
        <v>-300</v>
      </c>
      <c r="G52" s="470">
        <f t="shared" si="102"/>
        <v>100</v>
      </c>
      <c r="H52" s="470">
        <f t="shared" si="103"/>
        <v>400</v>
      </c>
      <c r="I52" s="470">
        <f t="shared" si="104"/>
        <v>800</v>
      </c>
      <c r="J52" s="470">
        <f t="shared" si="105"/>
        <v>1200</v>
      </c>
      <c r="K52" s="470">
        <f t="shared" si="106"/>
        <v>1500</v>
      </c>
      <c r="L52" s="470">
        <f t="shared" si="107"/>
        <v>1900</v>
      </c>
      <c r="M52" s="417"/>
      <c r="N52" s="417"/>
      <c r="O52" s="417"/>
      <c r="P52" s="417"/>
      <c r="Q52" s="417"/>
      <c r="Z52" s="367">
        <f t="shared" ref="Z52:AH52" si="120">Z12+$G$430-$G$447</f>
        <v>-1020.4406377596897</v>
      </c>
      <c r="AA52" s="367">
        <f t="shared" si="120"/>
        <v>-657.01040520155038</v>
      </c>
      <c r="AB52" s="367">
        <f t="shared" si="120"/>
        <v>-293.58017264341106</v>
      </c>
      <c r="AC52" s="367">
        <f t="shared" si="120"/>
        <v>69.850059914728263</v>
      </c>
      <c r="AD52" s="367">
        <f t="shared" si="120"/>
        <v>433.28029247286759</v>
      </c>
      <c r="AE52" s="367">
        <f t="shared" si="120"/>
        <v>796.71052503100873</v>
      </c>
      <c r="AF52" s="367">
        <f t="shared" si="120"/>
        <v>1160.1407575891481</v>
      </c>
      <c r="AG52" s="367">
        <f t="shared" si="120"/>
        <v>1523.5709901472874</v>
      </c>
      <c r="AH52" s="367">
        <f t="shared" si="120"/>
        <v>1887.0012227054267</v>
      </c>
      <c r="AT52" s="804">
        <f t="shared" si="119"/>
        <v>0</v>
      </c>
      <c r="AU52" s="804">
        <f t="shared" si="109"/>
        <v>0</v>
      </c>
      <c r="AV52" s="804">
        <f t="shared" si="110"/>
        <v>0</v>
      </c>
      <c r="AW52" s="804">
        <f t="shared" si="111"/>
        <v>0</v>
      </c>
      <c r="AX52" s="804">
        <f t="shared" si="112"/>
        <v>0</v>
      </c>
      <c r="AY52" s="804">
        <f t="shared" si="113"/>
        <v>0</v>
      </c>
      <c r="AZ52" s="804">
        <f t="shared" si="114"/>
        <v>1</v>
      </c>
      <c r="BA52" s="804">
        <f t="shared" si="115"/>
        <v>3</v>
      </c>
      <c r="BB52" s="804">
        <f t="shared" si="116"/>
        <v>4</v>
      </c>
    </row>
    <row r="53" spans="1:54" ht="15" customHeight="1">
      <c r="A53" s="417"/>
      <c r="B53" s="828"/>
      <c r="C53" s="779">
        <f>$G$438</f>
        <v>0.3</v>
      </c>
      <c r="D53" s="470">
        <f t="shared" si="117"/>
        <v>-400</v>
      </c>
      <c r="E53" s="470">
        <f t="shared" si="100"/>
        <v>-100</v>
      </c>
      <c r="F53" s="470">
        <f t="shared" si="101"/>
        <v>300</v>
      </c>
      <c r="G53" s="470">
        <f t="shared" si="102"/>
        <v>600</v>
      </c>
      <c r="H53" s="781">
        <f t="shared" si="103"/>
        <v>900</v>
      </c>
      <c r="I53" s="470">
        <f t="shared" si="104"/>
        <v>1200</v>
      </c>
      <c r="J53" s="470">
        <f t="shared" si="105"/>
        <v>1600</v>
      </c>
      <c r="K53" s="470">
        <f t="shared" si="106"/>
        <v>1900</v>
      </c>
      <c r="L53" s="470">
        <f t="shared" si="107"/>
        <v>2200</v>
      </c>
      <c r="M53" s="417"/>
      <c r="N53" s="417"/>
      <c r="O53" s="417"/>
      <c r="P53" s="417"/>
      <c r="Q53" s="417"/>
      <c r="Z53" s="367">
        <f t="shared" ref="Z53:AH53" si="121">Z13+$G$430-$G$447</f>
        <v>-409.37610988470624</v>
      </c>
      <c r="AA53" s="367">
        <f t="shared" si="121"/>
        <v>-79.057232333686443</v>
      </c>
      <c r="AB53" s="367">
        <f t="shared" si="121"/>
        <v>251.26164521733426</v>
      </c>
      <c r="AC53" s="367">
        <f t="shared" si="121"/>
        <v>581.58052276835406</v>
      </c>
      <c r="AD53" s="367">
        <f t="shared" si="121"/>
        <v>911.89940031937476</v>
      </c>
      <c r="AE53" s="367">
        <f t="shared" si="121"/>
        <v>1242.2182778703955</v>
      </c>
      <c r="AF53" s="367">
        <f t="shared" si="121"/>
        <v>1572.5371554214162</v>
      </c>
      <c r="AG53" s="367">
        <f t="shared" si="121"/>
        <v>1902.8560329724369</v>
      </c>
      <c r="AH53" s="367">
        <f t="shared" si="121"/>
        <v>2233.1749105234558</v>
      </c>
      <c r="AT53" s="804">
        <f t="shared" si="119"/>
        <v>0</v>
      </c>
      <c r="AU53" s="804">
        <f t="shared" si="109"/>
        <v>0</v>
      </c>
      <c r="AV53" s="804">
        <f t="shared" si="110"/>
        <v>0</v>
      </c>
      <c r="AW53" s="804">
        <f t="shared" si="111"/>
        <v>0</v>
      </c>
      <c r="AX53" s="804">
        <f t="shared" si="112"/>
        <v>0</v>
      </c>
      <c r="AY53" s="804">
        <f t="shared" si="113"/>
        <v>2</v>
      </c>
      <c r="AZ53" s="804">
        <f t="shared" si="114"/>
        <v>3</v>
      </c>
      <c r="BA53" s="804">
        <f t="shared" si="115"/>
        <v>4</v>
      </c>
      <c r="BB53" s="804">
        <f t="shared" si="116"/>
        <v>6</v>
      </c>
    </row>
    <row r="54" spans="1:54" ht="15" customHeight="1">
      <c r="A54" s="417"/>
      <c r="B54" s="828"/>
      <c r="C54" s="779">
        <f>C53+$G$439</f>
        <v>0.35</v>
      </c>
      <c r="D54" s="470">
        <f t="shared" si="117"/>
        <v>200</v>
      </c>
      <c r="E54" s="470">
        <f t="shared" si="100"/>
        <v>500</v>
      </c>
      <c r="F54" s="470">
        <f t="shared" si="101"/>
        <v>800</v>
      </c>
      <c r="G54" s="470">
        <f t="shared" si="102"/>
        <v>1100</v>
      </c>
      <c r="H54" s="470">
        <f t="shared" si="103"/>
        <v>1400</v>
      </c>
      <c r="I54" s="470">
        <f t="shared" si="104"/>
        <v>1700</v>
      </c>
      <c r="J54" s="470">
        <f t="shared" si="105"/>
        <v>2000</v>
      </c>
      <c r="K54" s="470">
        <f t="shared" si="106"/>
        <v>2300</v>
      </c>
      <c r="L54" s="470">
        <f t="shared" si="107"/>
        <v>2600</v>
      </c>
      <c r="M54" s="417"/>
      <c r="N54" s="417"/>
      <c r="O54" s="417"/>
      <c r="P54" s="417"/>
      <c r="Q54" s="417"/>
      <c r="Z54" s="367">
        <f t="shared" ref="Z54:AH54" si="122">Z14+$G$430-$G$447</f>
        <v>205.02832800947726</v>
      </c>
      <c r="AA54" s="367">
        <f t="shared" si="122"/>
        <v>502.04221689836686</v>
      </c>
      <c r="AB54" s="367">
        <f t="shared" si="122"/>
        <v>799.05610578725464</v>
      </c>
      <c r="AC54" s="367">
        <f t="shared" si="122"/>
        <v>1096.0699946761451</v>
      </c>
      <c r="AD54" s="367">
        <f t="shared" si="122"/>
        <v>1393.0838835650338</v>
      </c>
      <c r="AE54" s="367">
        <f t="shared" si="122"/>
        <v>1690.0977724539225</v>
      </c>
      <c r="AF54" s="367">
        <f t="shared" si="122"/>
        <v>1987.1116613428112</v>
      </c>
      <c r="AG54" s="367">
        <f t="shared" si="122"/>
        <v>2284.1255502316999</v>
      </c>
      <c r="AH54" s="367">
        <f t="shared" si="122"/>
        <v>2581.1394391205886</v>
      </c>
      <c r="AT54" s="804">
        <f t="shared" si="119"/>
        <v>0</v>
      </c>
      <c r="AU54" s="804">
        <f t="shared" si="109"/>
        <v>0</v>
      </c>
      <c r="AV54" s="804">
        <f t="shared" si="110"/>
        <v>0</v>
      </c>
      <c r="AW54" s="804">
        <f t="shared" si="111"/>
        <v>1</v>
      </c>
      <c r="AX54" s="804">
        <f t="shared" si="112"/>
        <v>2</v>
      </c>
      <c r="AY54" s="804">
        <f t="shared" si="113"/>
        <v>4</v>
      </c>
      <c r="AZ54" s="804">
        <f t="shared" si="114"/>
        <v>5</v>
      </c>
      <c r="BA54" s="804">
        <f t="shared" si="115"/>
        <v>6</v>
      </c>
      <c r="BB54" s="804">
        <f t="shared" si="116"/>
        <v>7</v>
      </c>
    </row>
    <row r="55" spans="1:54" ht="15" customHeight="1">
      <c r="A55" s="417"/>
      <c r="B55" s="828"/>
      <c r="C55" s="779">
        <f>C54+$G$439</f>
        <v>0.39999999999999997</v>
      </c>
      <c r="D55" s="470">
        <f t="shared" si="117"/>
        <v>800</v>
      </c>
      <c r="E55" s="470">
        <f t="shared" si="100"/>
        <v>1100</v>
      </c>
      <c r="F55" s="470">
        <f t="shared" si="101"/>
        <v>1300</v>
      </c>
      <c r="G55" s="470">
        <f t="shared" si="102"/>
        <v>1600</v>
      </c>
      <c r="H55" s="470">
        <f t="shared" si="103"/>
        <v>1900</v>
      </c>
      <c r="I55" s="470">
        <f t="shared" si="104"/>
        <v>2100</v>
      </c>
      <c r="J55" s="470">
        <f t="shared" si="105"/>
        <v>2400</v>
      </c>
      <c r="K55" s="470">
        <f t="shared" si="106"/>
        <v>2700</v>
      </c>
      <c r="L55" s="470">
        <f t="shared" si="107"/>
        <v>2900</v>
      </c>
      <c r="M55" s="417"/>
      <c r="N55" s="417"/>
      <c r="O55" s="417"/>
      <c r="P55" s="417"/>
      <c r="Q55" s="417"/>
      <c r="Z55" s="367">
        <f t="shared" ref="Z55:AH55" si="123">Z15+$G$430-$G$447</f>
        <v>822.80205929546901</v>
      </c>
      <c r="AA55" s="367">
        <f t="shared" si="123"/>
        <v>1086.3156223453225</v>
      </c>
      <c r="AB55" s="367">
        <f t="shared" si="123"/>
        <v>1349.8291853951741</v>
      </c>
      <c r="AC55" s="367">
        <f t="shared" si="123"/>
        <v>1613.3427484450294</v>
      </c>
      <c r="AD55" s="367">
        <f t="shared" si="123"/>
        <v>1876.8563114948811</v>
      </c>
      <c r="AE55" s="367">
        <f t="shared" si="123"/>
        <v>2140.3698745447364</v>
      </c>
      <c r="AF55" s="367">
        <f t="shared" si="123"/>
        <v>2403.883437594588</v>
      </c>
      <c r="AG55" s="367">
        <f t="shared" si="123"/>
        <v>2667.3970006444415</v>
      </c>
      <c r="AH55" s="367">
        <f t="shared" si="123"/>
        <v>2930.910563694295</v>
      </c>
      <c r="AT55" s="804">
        <f t="shared" si="119"/>
        <v>0</v>
      </c>
      <c r="AU55" s="804">
        <f t="shared" si="109"/>
        <v>1</v>
      </c>
      <c r="AV55" s="804">
        <f t="shared" si="110"/>
        <v>2</v>
      </c>
      <c r="AW55" s="804">
        <f t="shared" si="111"/>
        <v>3</v>
      </c>
      <c r="AX55" s="804">
        <f t="shared" si="112"/>
        <v>4</v>
      </c>
      <c r="AY55" s="804">
        <f t="shared" si="113"/>
        <v>5</v>
      </c>
      <c r="AZ55" s="804">
        <f t="shared" si="114"/>
        <v>7</v>
      </c>
      <c r="BA55" s="804">
        <f t="shared" si="115"/>
        <v>8</v>
      </c>
      <c r="BB55" s="804">
        <f t="shared" si="116"/>
        <v>9</v>
      </c>
    </row>
    <row r="56" spans="1:54" ht="15" customHeight="1">
      <c r="A56" s="417"/>
      <c r="B56" s="829"/>
      <c r="C56" s="780">
        <f>C55+$G$439</f>
        <v>0.44999999999999996</v>
      </c>
      <c r="D56" s="771">
        <f t="shared" si="117"/>
        <v>1400</v>
      </c>
      <c r="E56" s="771">
        <f t="shared" si="100"/>
        <v>1700</v>
      </c>
      <c r="F56" s="771">
        <f t="shared" si="101"/>
        <v>1900</v>
      </c>
      <c r="G56" s="771">
        <f t="shared" si="102"/>
        <v>2100</v>
      </c>
      <c r="H56" s="771">
        <f t="shared" si="103"/>
        <v>2400</v>
      </c>
      <c r="I56" s="771">
        <f t="shared" si="104"/>
        <v>2600</v>
      </c>
      <c r="J56" s="771">
        <f t="shared" si="105"/>
        <v>2800</v>
      </c>
      <c r="K56" s="771">
        <f t="shared" si="106"/>
        <v>3100</v>
      </c>
      <c r="L56" s="771">
        <f t="shared" si="107"/>
        <v>3300</v>
      </c>
      <c r="M56" s="417"/>
      <c r="N56" s="417"/>
      <c r="O56" s="417"/>
      <c r="P56" s="417"/>
      <c r="Q56" s="417"/>
      <c r="Z56" s="367">
        <f t="shared" ref="Z56:AH56" si="124">Z16+$G$430-$G$447</f>
        <v>1443.9748130326007</v>
      </c>
      <c r="AA56" s="367">
        <f t="shared" si="124"/>
        <v>1673.7909895031898</v>
      </c>
      <c r="AB56" s="367">
        <f t="shared" si="124"/>
        <v>1903.6071659737772</v>
      </c>
      <c r="AC56" s="367">
        <f t="shared" si="124"/>
        <v>2133.4233424443664</v>
      </c>
      <c r="AD56" s="367">
        <f t="shared" si="124"/>
        <v>2363.2395189149538</v>
      </c>
      <c r="AE56" s="367">
        <f t="shared" si="124"/>
        <v>2593.055695385543</v>
      </c>
      <c r="AF56" s="367">
        <f t="shared" si="124"/>
        <v>2822.8718718561304</v>
      </c>
      <c r="AG56" s="367">
        <f t="shared" si="124"/>
        <v>3052.6880483267196</v>
      </c>
      <c r="AH56" s="367">
        <f t="shared" si="124"/>
        <v>3282.504224797307</v>
      </c>
      <c r="AT56" s="804">
        <f t="shared" si="119"/>
        <v>2</v>
      </c>
      <c r="AU56" s="804">
        <f t="shared" si="109"/>
        <v>3</v>
      </c>
      <c r="AV56" s="804">
        <f t="shared" si="110"/>
        <v>4</v>
      </c>
      <c r="AW56" s="804">
        <f t="shared" si="111"/>
        <v>5</v>
      </c>
      <c r="AX56" s="804">
        <f t="shared" si="112"/>
        <v>6</v>
      </c>
      <c r="AY56" s="804">
        <f t="shared" si="113"/>
        <v>7</v>
      </c>
      <c r="AZ56" s="804">
        <f t="shared" si="114"/>
        <v>8</v>
      </c>
      <c r="BA56" s="804">
        <f t="shared" si="115"/>
        <v>9</v>
      </c>
      <c r="BB56" s="804">
        <f t="shared" si="116"/>
        <v>10</v>
      </c>
    </row>
    <row r="57" spans="1:54" ht="15" hidden="1" customHeight="1" outlineLevel="1">
      <c r="A57" s="417"/>
      <c r="B57" s="423" t="s">
        <v>2775</v>
      </c>
      <c r="C57" s="784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2545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67" t="s">
        <v>2525</v>
      </c>
      <c r="E61" s="767"/>
      <c r="F61" s="767"/>
      <c r="G61" s="767"/>
      <c r="H61" s="767"/>
      <c r="I61" s="767"/>
      <c r="J61" s="767"/>
      <c r="K61" s="767"/>
      <c r="L61" s="767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68">
        <f>E62-$G$441</f>
        <v>1.3171225937183451E-2</v>
      </c>
      <c r="E62" s="768">
        <f>F62-$G$441</f>
        <v>0.26317122593718345</v>
      </c>
      <c r="F62" s="768">
        <f>G62-$G$441</f>
        <v>0.51317122593718345</v>
      </c>
      <c r="G62" s="768">
        <f>H62-$G$441</f>
        <v>0.76317122593718345</v>
      </c>
      <c r="H62" s="768">
        <f>$G$440</f>
        <v>1.0131712259371835</v>
      </c>
      <c r="I62" s="768">
        <f>H62+$G$441</f>
        <v>1.2631712259371835</v>
      </c>
      <c r="J62" s="768">
        <f>I62+$G$441</f>
        <v>1.5131712259371835</v>
      </c>
      <c r="K62" s="768">
        <f>J62+$G$441</f>
        <v>1.7631712259371835</v>
      </c>
      <c r="L62" s="768">
        <f>K62+$G$441</f>
        <v>2.0131712259371835</v>
      </c>
      <c r="M62" s="417"/>
      <c r="N62" s="417"/>
      <c r="O62" s="417"/>
      <c r="P62" s="417"/>
      <c r="Q62" s="417"/>
      <c r="AT62" s="772" t="s">
        <v>2614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27" t="s">
        <v>2526</v>
      </c>
      <c r="C63" s="779">
        <f>C64-$G$439</f>
        <v>0.15000000000000002</v>
      </c>
      <c r="D63" s="490">
        <f>IFERROR(Z50/$G$447,0)</f>
        <v>-0.2980759659124318</v>
      </c>
      <c r="E63" s="490">
        <f t="shared" ref="E63:L63" si="125">IFERROR(AA50/$G$447,0)</f>
        <v>-0.24079105336553053</v>
      </c>
      <c r="F63" s="490">
        <f t="shared" si="125"/>
        <v>-0.1835061408186294</v>
      </c>
      <c r="G63" s="490">
        <f t="shared" si="125"/>
        <v>-0.12622122827172824</v>
      </c>
      <c r="H63" s="490">
        <f t="shared" si="125"/>
        <v>-6.8936315724826974E-2</v>
      </c>
      <c r="I63" s="490">
        <f t="shared" si="125"/>
        <v>-1.1651403177925705E-2</v>
      </c>
      <c r="J63" s="490">
        <f t="shared" si="125"/>
        <v>4.5633509368975318E-2</v>
      </c>
      <c r="K63" s="490">
        <f t="shared" si="125"/>
        <v>0.10291842191587659</v>
      </c>
      <c r="L63" s="490">
        <f t="shared" si="125"/>
        <v>0.16020333446277785</v>
      </c>
      <c r="M63" s="417"/>
      <c r="N63" s="417"/>
      <c r="O63" s="417"/>
      <c r="P63" s="417"/>
      <c r="Q63" s="417"/>
      <c r="AT63" s="804">
        <f>IF(Z50&lt;$G$449,0,MIN($G$446,1+IFERROR(INT((Z50-$G$449)/$G$451),0)))</f>
        <v>0</v>
      </c>
      <c r="AU63" s="804">
        <f t="shared" ref="AU63:BB63" si="126">IF(AA50&lt;$G$449,0,MIN($G$446,1+IFERROR(INT((AA50-$G$449)/$G$451),0)))</f>
        <v>0</v>
      </c>
      <c r="AV63" s="804">
        <f t="shared" si="126"/>
        <v>0</v>
      </c>
      <c r="AW63" s="804">
        <f t="shared" si="126"/>
        <v>0</v>
      </c>
      <c r="AX63" s="804">
        <f t="shared" si="126"/>
        <v>0</v>
      </c>
      <c r="AY63" s="804">
        <f t="shared" si="126"/>
        <v>0</v>
      </c>
      <c r="AZ63" s="804">
        <f t="shared" si="126"/>
        <v>0</v>
      </c>
      <c r="BA63" s="804">
        <f t="shared" si="126"/>
        <v>0</v>
      </c>
      <c r="BB63" s="804">
        <f t="shared" si="126"/>
        <v>1</v>
      </c>
    </row>
    <row r="64" spans="1:54" ht="15" customHeight="1">
      <c r="A64" s="417"/>
      <c r="B64" s="828"/>
      <c r="C64" s="779">
        <f>C65-$G$439</f>
        <v>0.2</v>
      </c>
      <c r="D64" s="490">
        <f t="shared" ref="D64:L64" si="127">IFERROR(Z51/$G$447,0)</f>
        <v>-0.21737493739202265</v>
      </c>
      <c r="E64" s="490">
        <f t="shared" si="127"/>
        <v>-0.16445958339179576</v>
      </c>
      <c r="F64" s="490">
        <f t="shared" si="127"/>
        <v>-0.11154422939156899</v>
      </c>
      <c r="G64" s="490">
        <f t="shared" si="127"/>
        <v>-5.8628875391342219E-2</v>
      </c>
      <c r="H64" s="490">
        <f t="shared" si="127"/>
        <v>-5.7135213911153233E-3</v>
      </c>
      <c r="I64" s="490">
        <f t="shared" si="127"/>
        <v>4.7201832609111448E-2</v>
      </c>
      <c r="J64" s="490">
        <f t="shared" si="127"/>
        <v>0.10011718660933823</v>
      </c>
      <c r="K64" s="490">
        <f t="shared" si="127"/>
        <v>0.15303254060956512</v>
      </c>
      <c r="L64" s="490">
        <f t="shared" si="127"/>
        <v>0.20594789460979177</v>
      </c>
      <c r="M64" s="417"/>
      <c r="N64" s="417"/>
      <c r="O64" s="417"/>
      <c r="P64" s="417"/>
      <c r="Q64" s="417"/>
      <c r="AT64" s="804">
        <f t="shared" ref="AT64:BB64" si="128">IF(Z51&lt;$G$449,0,MIN($G$446,1+IFERROR(INT((Z51-$G$449)/$G$451),0)))</f>
        <v>0</v>
      </c>
      <c r="AU64" s="804">
        <f t="shared" si="128"/>
        <v>0</v>
      </c>
      <c r="AV64" s="804">
        <f t="shared" si="128"/>
        <v>0</v>
      </c>
      <c r="AW64" s="804">
        <f t="shared" si="128"/>
        <v>0</v>
      </c>
      <c r="AX64" s="804">
        <f t="shared" si="128"/>
        <v>0</v>
      </c>
      <c r="AY64" s="804">
        <f t="shared" si="128"/>
        <v>0</v>
      </c>
      <c r="AZ64" s="804">
        <f t="shared" si="128"/>
        <v>0</v>
      </c>
      <c r="BA64" s="804">
        <f t="shared" si="128"/>
        <v>1</v>
      </c>
      <c r="BB64" s="804">
        <f t="shared" si="128"/>
        <v>3</v>
      </c>
    </row>
    <row r="65" spans="1:54" ht="15" customHeight="1">
      <c r="A65" s="417"/>
      <c r="B65" s="828"/>
      <c r="C65" s="779">
        <f>C66-$G$439</f>
        <v>0.25</v>
      </c>
      <c r="D65" s="490">
        <f t="shared" ref="D65:L65" si="129">IFERROR(Z52/$G$447,0)</f>
        <v>-0.13623571828948836</v>
      </c>
      <c r="E65" s="490">
        <f t="shared" si="129"/>
        <v>-8.7715327246091018E-2</v>
      </c>
      <c r="F65" s="490">
        <f t="shared" si="129"/>
        <v>-3.9194936202693695E-2</v>
      </c>
      <c r="G65" s="490">
        <f t="shared" si="129"/>
        <v>9.3254548407036338E-3</v>
      </c>
      <c r="H65" s="490">
        <f t="shared" si="129"/>
        <v>5.7845845884100959E-2</v>
      </c>
      <c r="I65" s="490">
        <f t="shared" si="129"/>
        <v>0.10636623692749853</v>
      </c>
      <c r="J65" s="490">
        <f t="shared" si="129"/>
        <v>0.15488662797089586</v>
      </c>
      <c r="K65" s="490">
        <f t="shared" si="129"/>
        <v>0.20340701901429317</v>
      </c>
      <c r="L65" s="490">
        <f t="shared" si="129"/>
        <v>0.25192741005769048</v>
      </c>
      <c r="M65" s="417"/>
      <c r="N65" s="417"/>
      <c r="O65" s="417"/>
      <c r="P65" s="417"/>
      <c r="Q65" s="417"/>
      <c r="AT65" s="804">
        <f t="shared" ref="AT65:BB65" si="130">IF(Z52&lt;$G$449,0,MIN($G$446,1+IFERROR(INT((Z52-$G$449)/$G$451),0)))</f>
        <v>0</v>
      </c>
      <c r="AU65" s="804">
        <f t="shared" si="130"/>
        <v>0</v>
      </c>
      <c r="AV65" s="804">
        <f t="shared" si="130"/>
        <v>0</v>
      </c>
      <c r="AW65" s="804">
        <f t="shared" si="130"/>
        <v>0</v>
      </c>
      <c r="AX65" s="804">
        <f t="shared" si="130"/>
        <v>0</v>
      </c>
      <c r="AY65" s="804">
        <f t="shared" si="130"/>
        <v>0</v>
      </c>
      <c r="AZ65" s="804">
        <f t="shared" si="130"/>
        <v>1</v>
      </c>
      <c r="BA65" s="804">
        <f t="shared" si="130"/>
        <v>3</v>
      </c>
      <c r="BB65" s="804">
        <f t="shared" si="130"/>
        <v>4</v>
      </c>
    </row>
    <row r="66" spans="1:54" ht="15" customHeight="1">
      <c r="A66" s="417"/>
      <c r="B66" s="828"/>
      <c r="C66" s="779">
        <f>$G$438</f>
        <v>0.3</v>
      </c>
      <c r="D66" s="490">
        <f t="shared" ref="D66:L66" si="131">IFERROR(Z53/$G$447,0)</f>
        <v>-5.4654476034139969E-2</v>
      </c>
      <c r="E66" s="490">
        <f t="shared" si="131"/>
        <v>-1.0554674553734435E-2</v>
      </c>
      <c r="F66" s="490">
        <f t="shared" si="131"/>
        <v>3.354512692667122E-2</v>
      </c>
      <c r="G66" s="490">
        <f t="shared" si="131"/>
        <v>7.7644928407076749E-2</v>
      </c>
      <c r="H66" s="782">
        <f t="shared" si="131"/>
        <v>0.1217447298874824</v>
      </c>
      <c r="I66" s="490">
        <f t="shared" si="131"/>
        <v>0.16584453136788804</v>
      </c>
      <c r="J66" s="490">
        <f t="shared" si="131"/>
        <v>0.2099443328482937</v>
      </c>
      <c r="K66" s="490">
        <f t="shared" si="131"/>
        <v>0.25404413432869938</v>
      </c>
      <c r="L66" s="490">
        <f t="shared" si="131"/>
        <v>0.29814393580910475</v>
      </c>
      <c r="M66" s="417"/>
      <c r="N66" s="417"/>
      <c r="O66" s="417"/>
      <c r="P66" s="417"/>
      <c r="Q66" s="417"/>
      <c r="AT66" s="804">
        <f t="shared" ref="AT66:BB66" si="132">IF(Z53&lt;$G$449,0,MIN($G$446,1+IFERROR(INT((Z53-$G$449)/$G$451),0)))</f>
        <v>0</v>
      </c>
      <c r="AU66" s="804">
        <f t="shared" si="132"/>
        <v>0</v>
      </c>
      <c r="AV66" s="804">
        <f t="shared" si="132"/>
        <v>0</v>
      </c>
      <c r="AW66" s="804">
        <f t="shared" si="132"/>
        <v>0</v>
      </c>
      <c r="AX66" s="804">
        <f t="shared" si="132"/>
        <v>0</v>
      </c>
      <c r="AY66" s="804">
        <f t="shared" si="132"/>
        <v>2</v>
      </c>
      <c r="AZ66" s="804">
        <f t="shared" si="132"/>
        <v>3</v>
      </c>
      <c r="BA66" s="804">
        <f t="shared" si="132"/>
        <v>4</v>
      </c>
      <c r="BB66" s="804">
        <f t="shared" si="132"/>
        <v>6</v>
      </c>
    </row>
    <row r="67" spans="1:54" ht="15" customHeight="1">
      <c r="A67" s="417"/>
      <c r="B67" s="828"/>
      <c r="C67" s="779">
        <f>C66+$G$439</f>
        <v>0.35</v>
      </c>
      <c r="D67" s="490">
        <f t="shared" ref="D67:L67" si="133">IFERROR(Z54/$G$447,0)</f>
        <v>2.7372666770099655E-2</v>
      </c>
      <c r="E67" s="490">
        <f t="shared" si="133"/>
        <v>6.7026027286560458E-2</v>
      </c>
      <c r="F67" s="490">
        <f t="shared" si="133"/>
        <v>0.10667938780302101</v>
      </c>
      <c r="G67" s="490">
        <f t="shared" si="133"/>
        <v>0.14633274831948193</v>
      </c>
      <c r="H67" s="490">
        <f t="shared" si="133"/>
        <v>0.1859861088359426</v>
      </c>
      <c r="I67" s="490">
        <f t="shared" si="133"/>
        <v>0.22563946935240328</v>
      </c>
      <c r="J67" s="490">
        <f t="shared" si="133"/>
        <v>0.26529282986886393</v>
      </c>
      <c r="K67" s="490">
        <f t="shared" si="133"/>
        <v>0.30494619038532461</v>
      </c>
      <c r="L67" s="490">
        <f t="shared" si="133"/>
        <v>0.34459955090178529</v>
      </c>
      <c r="M67" s="417"/>
      <c r="N67" s="417"/>
      <c r="O67" s="417"/>
      <c r="P67" s="417"/>
      <c r="Q67" s="417"/>
      <c r="AT67" s="804">
        <f t="shared" ref="AT67:BB67" si="134">IF(Z54&lt;$G$449,0,MIN($G$446,1+IFERROR(INT((Z54-$G$449)/$G$451),0)))</f>
        <v>0</v>
      </c>
      <c r="AU67" s="804">
        <f t="shared" si="134"/>
        <v>0</v>
      </c>
      <c r="AV67" s="804">
        <f t="shared" si="134"/>
        <v>0</v>
      </c>
      <c r="AW67" s="804">
        <f t="shared" si="134"/>
        <v>1</v>
      </c>
      <c r="AX67" s="804">
        <f t="shared" si="134"/>
        <v>2</v>
      </c>
      <c r="AY67" s="804">
        <f t="shared" si="134"/>
        <v>4</v>
      </c>
      <c r="AZ67" s="804">
        <f t="shared" si="134"/>
        <v>5</v>
      </c>
      <c r="BA67" s="804">
        <f t="shared" si="134"/>
        <v>6</v>
      </c>
      <c r="BB67" s="804">
        <f t="shared" si="134"/>
        <v>7</v>
      </c>
    </row>
    <row r="68" spans="1:54" ht="15" customHeight="1">
      <c r="A68" s="417"/>
      <c r="B68" s="828"/>
      <c r="C68" s="779">
        <f>C67+$G$439</f>
        <v>0.39999999999999997</v>
      </c>
      <c r="D68" s="490">
        <f t="shared" ref="D68:L68" si="135">IFERROR(Z55/$G$447,0)</f>
        <v>0.10984963300196048</v>
      </c>
      <c r="E68" s="490">
        <f t="shared" si="135"/>
        <v>0.14503047372184316</v>
      </c>
      <c r="F68" s="490">
        <f t="shared" si="135"/>
        <v>0.18021131444172564</v>
      </c>
      <c r="G68" s="490">
        <f t="shared" si="135"/>
        <v>0.21539215516160856</v>
      </c>
      <c r="H68" s="490">
        <f t="shared" si="135"/>
        <v>0.25057299588149101</v>
      </c>
      <c r="I68" s="490">
        <f t="shared" si="135"/>
        <v>0.28575383660137399</v>
      </c>
      <c r="J68" s="490">
        <f t="shared" si="135"/>
        <v>0.32093467732125641</v>
      </c>
      <c r="K68" s="490">
        <f t="shared" si="135"/>
        <v>0.35611551804113911</v>
      </c>
      <c r="L68" s="490">
        <f t="shared" si="135"/>
        <v>0.39129635876102181</v>
      </c>
      <c r="M68" s="417"/>
      <c r="N68" s="417"/>
      <c r="O68" s="417"/>
      <c r="P68" s="417"/>
      <c r="Q68" s="417"/>
      <c r="AT68" s="804">
        <f t="shared" ref="AT68:BB68" si="136">IF(Z55&lt;$G$449,0,MIN($G$446,1+IFERROR(INT((Z55-$G$449)/$G$451),0)))</f>
        <v>0</v>
      </c>
      <c r="AU68" s="804">
        <f t="shared" si="136"/>
        <v>1</v>
      </c>
      <c r="AV68" s="804">
        <f t="shared" si="136"/>
        <v>2</v>
      </c>
      <c r="AW68" s="804">
        <f t="shared" si="136"/>
        <v>3</v>
      </c>
      <c r="AX68" s="804">
        <f t="shared" si="136"/>
        <v>4</v>
      </c>
      <c r="AY68" s="804">
        <f t="shared" si="136"/>
        <v>5</v>
      </c>
      <c r="AZ68" s="804">
        <f t="shared" si="136"/>
        <v>7</v>
      </c>
      <c r="BA68" s="804">
        <f t="shared" si="136"/>
        <v>8</v>
      </c>
      <c r="BB68" s="804">
        <f t="shared" si="136"/>
        <v>9</v>
      </c>
    </row>
    <row r="69" spans="1:54" ht="15" customHeight="1">
      <c r="A69" s="417"/>
      <c r="B69" s="829"/>
      <c r="C69" s="780">
        <f>C68+$G$439</f>
        <v>0.44999999999999996</v>
      </c>
      <c r="D69" s="783">
        <f t="shared" ref="D69:L69" si="137">IFERROR(Z56/$G$447,0)</f>
        <v>0.19278039169168515</v>
      </c>
      <c r="E69" s="783">
        <f t="shared" si="137"/>
        <v>0.22346240367501008</v>
      </c>
      <c r="F69" s="783">
        <f t="shared" si="137"/>
        <v>0.25414441565833479</v>
      </c>
      <c r="G69" s="783">
        <f t="shared" si="137"/>
        <v>0.28482642764165966</v>
      </c>
      <c r="H69" s="783">
        <f t="shared" si="137"/>
        <v>0.31550843962498437</v>
      </c>
      <c r="I69" s="783">
        <f t="shared" si="137"/>
        <v>0.3461904516083093</v>
      </c>
      <c r="J69" s="783">
        <f t="shared" si="137"/>
        <v>0.37687246359163401</v>
      </c>
      <c r="K69" s="783">
        <f t="shared" si="137"/>
        <v>0.40755447557495889</v>
      </c>
      <c r="L69" s="783">
        <f t="shared" si="137"/>
        <v>0.43823648755828359</v>
      </c>
      <c r="M69" s="417"/>
      <c r="N69" s="417"/>
      <c r="O69" s="417"/>
      <c r="P69" s="417"/>
      <c r="Q69" s="417"/>
      <c r="AT69" s="804">
        <f t="shared" ref="AT69:BB69" si="138">IF(Z56&lt;$G$449,0,MIN($G$446,1+IFERROR(INT((Z56-$G$449)/$G$451),0)))</f>
        <v>2</v>
      </c>
      <c r="AU69" s="804">
        <f t="shared" si="138"/>
        <v>3</v>
      </c>
      <c r="AV69" s="804">
        <f t="shared" si="138"/>
        <v>4</v>
      </c>
      <c r="AW69" s="804">
        <f t="shared" si="138"/>
        <v>5</v>
      </c>
      <c r="AX69" s="804">
        <f t="shared" si="138"/>
        <v>6</v>
      </c>
      <c r="AY69" s="804">
        <f t="shared" si="138"/>
        <v>7</v>
      </c>
      <c r="AZ69" s="804">
        <f t="shared" si="138"/>
        <v>8</v>
      </c>
      <c r="BA69" s="804">
        <f t="shared" si="138"/>
        <v>9</v>
      </c>
      <c r="BB69" s="804">
        <f t="shared" si="138"/>
        <v>10</v>
      </c>
    </row>
    <row r="70" spans="1:54" ht="15" hidden="1" customHeight="1" outlineLevel="1">
      <c r="A70" s="417"/>
      <c r="B70" s="423" t="s">
        <v>2776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2546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67" t="s">
        <v>2525</v>
      </c>
      <c r="E74" s="767"/>
      <c r="F74" s="767"/>
      <c r="G74" s="767"/>
      <c r="H74" s="767"/>
      <c r="I74" s="767"/>
      <c r="J74" s="767"/>
      <c r="K74" s="767"/>
      <c r="L74" s="767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68">
        <f>E75-$G$441</f>
        <v>1.3171225937183451E-2</v>
      </c>
      <c r="E75" s="768">
        <f>F75-$G$441</f>
        <v>0.26317122593718345</v>
      </c>
      <c r="F75" s="768">
        <f>G75-$G$441</f>
        <v>0.51317122593718345</v>
      </c>
      <c r="G75" s="768">
        <f>H75-$G$441</f>
        <v>0.76317122593718345</v>
      </c>
      <c r="H75" s="768">
        <f>$G$440</f>
        <v>1.0131712259371835</v>
      </c>
      <c r="I75" s="768">
        <f>H75+$G$441</f>
        <v>1.2631712259371835</v>
      </c>
      <c r="J75" s="768">
        <f>I75+$G$441</f>
        <v>1.5131712259371835</v>
      </c>
      <c r="K75" s="768">
        <f>J75+$G$441</f>
        <v>1.7631712259371835</v>
      </c>
      <c r="L75" s="768">
        <f>K75+$G$441</f>
        <v>2.0131712259371835</v>
      </c>
      <c r="M75" s="417"/>
      <c r="N75" s="417"/>
      <c r="O75" s="417"/>
      <c r="P75" s="417"/>
      <c r="Q75" s="417"/>
      <c r="AT75" s="772" t="s">
        <v>2614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27" t="s">
        <v>2526</v>
      </c>
      <c r="C76" s="779">
        <f>C77-$G$439</f>
        <v>0.15000000000000002</v>
      </c>
      <c r="D76" s="631">
        <f>D36-$G$448</f>
        <v>-5.6666799850900285E-2</v>
      </c>
      <c r="E76" s="631">
        <f t="shared" ref="E76:L76" si="139">E36-$G$448</f>
        <v>-3.6109375657978005E-2</v>
      </c>
      <c r="F76" s="631">
        <f t="shared" si="139"/>
        <v>-1.6908544795874558E-2</v>
      </c>
      <c r="G76" s="631">
        <f t="shared" si="139"/>
        <v>1.1218766178120454E-3</v>
      </c>
      <c r="H76" s="631">
        <f t="shared" si="139"/>
        <v>1.8131121481901546E-2</v>
      </c>
      <c r="I76" s="631">
        <f t="shared" si="139"/>
        <v>3.4240769632986279E-2</v>
      </c>
      <c r="J76" s="631">
        <f t="shared" si="139"/>
        <v>4.9551272877853769E-2</v>
      </c>
      <c r="K76" s="631">
        <f t="shared" si="139"/>
        <v>6.414664830582395E-2</v>
      </c>
      <c r="L76" s="631">
        <f t="shared" si="139"/>
        <v>7.809792703697549E-2</v>
      </c>
      <c r="M76" s="417"/>
      <c r="N76" s="417"/>
      <c r="O76" s="417"/>
      <c r="P76" s="417"/>
      <c r="Q76" s="417"/>
      <c r="AT76" s="804">
        <f>IF(Z50&lt;$G$449,0,MIN($G$446,1+IFERROR(INT((Z50-$G$449)/$G$451),0)))</f>
        <v>0</v>
      </c>
      <c r="AU76" s="804">
        <f t="shared" ref="AU76:BB76" si="140">IF(AA50&lt;$G$449,0,MIN($G$446,1+IFERROR(INT((AA50-$G$449)/$G$451),0)))</f>
        <v>0</v>
      </c>
      <c r="AV76" s="804">
        <f t="shared" si="140"/>
        <v>0</v>
      </c>
      <c r="AW76" s="804">
        <f t="shared" si="140"/>
        <v>0</v>
      </c>
      <c r="AX76" s="804">
        <f t="shared" si="140"/>
        <v>0</v>
      </c>
      <c r="AY76" s="804">
        <f t="shared" si="140"/>
        <v>0</v>
      </c>
      <c r="AZ76" s="804">
        <f t="shared" si="140"/>
        <v>0</v>
      </c>
      <c r="BA76" s="804">
        <f t="shared" si="140"/>
        <v>0</v>
      </c>
      <c r="BB76" s="804">
        <f t="shared" si="140"/>
        <v>1</v>
      </c>
    </row>
    <row r="77" spans="1:54" ht="15" customHeight="1">
      <c r="A77" s="417"/>
      <c r="B77" s="828"/>
      <c r="C77" s="779">
        <f>C78-$G$439</f>
        <v>0.2</v>
      </c>
      <c r="D77" s="631">
        <f t="shared" ref="D77:L77" si="141">D37-$G$448</f>
        <v>-2.8108336592078231E-2</v>
      </c>
      <c r="E77" s="631">
        <f t="shared" si="141"/>
        <v>-1.0791773290439455E-2</v>
      </c>
      <c r="F77" s="631">
        <f t="shared" si="141"/>
        <v>5.5718530788610998E-3</v>
      </c>
      <c r="G77" s="631">
        <f t="shared" si="141"/>
        <v>2.1092985307669121E-2</v>
      </c>
      <c r="H77" s="631">
        <f t="shared" si="141"/>
        <v>3.5863352686112071E-2</v>
      </c>
      <c r="I77" s="631">
        <f t="shared" si="141"/>
        <v>4.9960030036682479E-2</v>
      </c>
      <c r="J77" s="631">
        <f t="shared" si="141"/>
        <v>6.3448444383372049E-2</v>
      </c>
      <c r="K77" s="631">
        <f t="shared" si="141"/>
        <v>7.6384642126260616E-2</v>
      </c>
      <c r="L77" s="631">
        <f t="shared" si="141"/>
        <v>8.8817025829940555E-2</v>
      </c>
      <c r="M77" s="417"/>
      <c r="N77" s="417"/>
      <c r="O77" s="417"/>
      <c r="P77" s="417"/>
      <c r="Q77" s="417"/>
      <c r="AT77" s="804">
        <f t="shared" ref="AT77:BB77" si="142">IF(Z51&lt;$G$449,0,MIN($G$446,1+IFERROR(INT((Z51-$G$449)/$G$451),0)))</f>
        <v>0</v>
      </c>
      <c r="AU77" s="804">
        <f t="shared" si="142"/>
        <v>0</v>
      </c>
      <c r="AV77" s="804">
        <f t="shared" si="142"/>
        <v>0</v>
      </c>
      <c r="AW77" s="804">
        <f t="shared" si="142"/>
        <v>0</v>
      </c>
      <c r="AX77" s="804">
        <f t="shared" si="142"/>
        <v>0</v>
      </c>
      <c r="AY77" s="804">
        <f t="shared" si="142"/>
        <v>0</v>
      </c>
      <c r="AZ77" s="804">
        <f t="shared" si="142"/>
        <v>0</v>
      </c>
      <c r="BA77" s="804">
        <f t="shared" si="142"/>
        <v>1</v>
      </c>
      <c r="BB77" s="804">
        <f t="shared" si="142"/>
        <v>3</v>
      </c>
    </row>
    <row r="78" spans="1:54" ht="15" customHeight="1">
      <c r="A78" s="417"/>
      <c r="B78" s="828"/>
      <c r="C78" s="779">
        <f>C79-$G$439</f>
        <v>0.25</v>
      </c>
      <c r="D78" s="631">
        <f t="shared" ref="D78:L78" si="143">D38-$G$448</f>
        <v>-1.9527117393123294E-3</v>
      </c>
      <c r="E78" s="631">
        <f t="shared" si="143"/>
        <v>1.2659748928271375E-2</v>
      </c>
      <c r="F78" s="631">
        <f t="shared" si="143"/>
        <v>2.6600487520183957E-2</v>
      </c>
      <c r="G78" s="631">
        <f t="shared" si="143"/>
        <v>3.993522471882982E-2</v>
      </c>
      <c r="H78" s="631">
        <f t="shared" si="143"/>
        <v>5.2720192032216007E-2</v>
      </c>
      <c r="I78" s="631">
        <f t="shared" si="143"/>
        <v>6.5003900467814457E-2</v>
      </c>
      <c r="J78" s="631">
        <f t="shared" si="143"/>
        <v>7.6828512176337904E-2</v>
      </c>
      <c r="K78" s="631">
        <f t="shared" si="143"/>
        <v>8.823091796696958E-2</v>
      </c>
      <c r="L78" s="631">
        <f t="shared" si="143"/>
        <v>9.9243593659454898E-2</v>
      </c>
      <c r="M78" s="417"/>
      <c r="N78" s="417"/>
      <c r="O78" s="417"/>
      <c r="P78" s="417"/>
      <c r="Q78" s="417"/>
      <c r="AT78" s="804">
        <f t="shared" ref="AT78:BB78" si="144">IF(Z52&lt;$G$449,0,MIN($G$446,1+IFERROR(INT((Z52-$G$449)/$G$451),0)))</f>
        <v>0</v>
      </c>
      <c r="AU78" s="804">
        <f t="shared" si="144"/>
        <v>0</v>
      </c>
      <c r="AV78" s="804">
        <f t="shared" si="144"/>
        <v>0</v>
      </c>
      <c r="AW78" s="804">
        <f t="shared" si="144"/>
        <v>0</v>
      </c>
      <c r="AX78" s="804">
        <f t="shared" si="144"/>
        <v>0</v>
      </c>
      <c r="AY78" s="804">
        <f t="shared" si="144"/>
        <v>0</v>
      </c>
      <c r="AZ78" s="804">
        <f t="shared" si="144"/>
        <v>1</v>
      </c>
      <c r="BA78" s="804">
        <f t="shared" si="144"/>
        <v>3</v>
      </c>
      <c r="BB78" s="804">
        <f t="shared" si="144"/>
        <v>4</v>
      </c>
    </row>
    <row r="79" spans="1:54" ht="15" customHeight="1">
      <c r="A79" s="417"/>
      <c r="B79" s="828"/>
      <c r="C79" s="779">
        <f>$G$438</f>
        <v>0.3</v>
      </c>
      <c r="D79" s="631">
        <f t="shared" ref="D79:L79" si="145">D39-$G$448</f>
        <v>2.2227405448852045E-2</v>
      </c>
      <c r="E79" s="631">
        <f t="shared" si="145"/>
        <v>3.454110361822571E-2</v>
      </c>
      <c r="F79" s="631">
        <f t="shared" si="145"/>
        <v>4.6382558151778275E-2</v>
      </c>
      <c r="G79" s="631">
        <f t="shared" si="145"/>
        <v>5.7790662919647851E-2</v>
      </c>
      <c r="H79" s="789">
        <f t="shared" si="145"/>
        <v>6.8799546004345791E-2</v>
      </c>
      <c r="I79" s="631">
        <f t="shared" si="145"/>
        <v>7.9439329132062531E-2</v>
      </c>
      <c r="J79" s="631">
        <f t="shared" si="145"/>
        <v>8.9736740370169876E-2</v>
      </c>
      <c r="K79" s="631">
        <f t="shared" si="145"/>
        <v>9.97156130278396E-2</v>
      </c>
      <c r="L79" s="631">
        <f t="shared" si="145"/>
        <v>0.10939729537102094</v>
      </c>
      <c r="M79" s="417"/>
      <c r="N79" s="417"/>
      <c r="O79" s="417"/>
      <c r="P79" s="417"/>
      <c r="Q79" s="417"/>
      <c r="AT79" s="804">
        <f t="shared" ref="AT79:BB79" si="146">IF(Z53&lt;$G$449,0,MIN($G$446,1+IFERROR(INT((Z53-$G$449)/$G$451),0)))</f>
        <v>0</v>
      </c>
      <c r="AU79" s="804">
        <f t="shared" si="146"/>
        <v>0</v>
      </c>
      <c r="AV79" s="804">
        <f t="shared" si="146"/>
        <v>0</v>
      </c>
      <c r="AW79" s="804">
        <f t="shared" si="146"/>
        <v>0</v>
      </c>
      <c r="AX79" s="804">
        <f t="shared" si="146"/>
        <v>0</v>
      </c>
      <c r="AY79" s="804">
        <f t="shared" si="146"/>
        <v>2</v>
      </c>
      <c r="AZ79" s="804">
        <f t="shared" si="146"/>
        <v>3</v>
      </c>
      <c r="BA79" s="804">
        <f t="shared" si="146"/>
        <v>4</v>
      </c>
      <c r="BB79" s="804">
        <f t="shared" si="146"/>
        <v>6</v>
      </c>
    </row>
    <row r="80" spans="1:54" ht="15" customHeight="1">
      <c r="A80" s="417"/>
      <c r="B80" s="828"/>
      <c r="C80" s="779">
        <f>C79+$G$439</f>
        <v>0.35</v>
      </c>
      <c r="D80" s="631">
        <f t="shared" ref="D80:L80" si="147">D40-$G$448</f>
        <v>4.4752077812501234E-2</v>
      </c>
      <c r="E80" s="631">
        <f t="shared" si="147"/>
        <v>5.5081386598243132E-2</v>
      </c>
      <c r="F80" s="631">
        <f t="shared" si="147"/>
        <v>6.5081646221482936E-2</v>
      </c>
      <c r="G80" s="631">
        <f t="shared" si="147"/>
        <v>7.4775541662713385E-2</v>
      </c>
      <c r="H80" s="631">
        <f t="shared" si="147"/>
        <v>8.4183414550170976E-2</v>
      </c>
      <c r="I80" s="631">
        <f t="shared" si="147"/>
        <v>9.3323580031245523E-2</v>
      </c>
      <c r="J80" s="631">
        <f t="shared" si="147"/>
        <v>0.10221259138512795</v>
      </c>
      <c r="K80" s="631">
        <f t="shared" si="147"/>
        <v>0.11086546239412209</v>
      </c>
      <c r="L80" s="631">
        <f t="shared" si="147"/>
        <v>0.11929585546461197</v>
      </c>
      <c r="M80" s="417"/>
      <c r="N80" s="417"/>
      <c r="O80" s="417"/>
      <c r="P80" s="417"/>
      <c r="Q80" s="417"/>
      <c r="AT80" s="804">
        <f t="shared" ref="AT80:BB80" si="148">IF(Z54&lt;$G$449,0,MIN($G$446,1+IFERROR(INT((Z54-$G$449)/$G$451),0)))</f>
        <v>0</v>
      </c>
      <c r="AU80" s="804">
        <f t="shared" si="148"/>
        <v>0</v>
      </c>
      <c r="AV80" s="804">
        <f t="shared" si="148"/>
        <v>0</v>
      </c>
      <c r="AW80" s="804">
        <f t="shared" si="148"/>
        <v>1</v>
      </c>
      <c r="AX80" s="804">
        <f t="shared" si="148"/>
        <v>2</v>
      </c>
      <c r="AY80" s="804">
        <f t="shared" si="148"/>
        <v>4</v>
      </c>
      <c r="AZ80" s="804">
        <f t="shared" si="148"/>
        <v>5</v>
      </c>
      <c r="BA80" s="804">
        <f t="shared" si="148"/>
        <v>6</v>
      </c>
      <c r="BB80" s="804">
        <f t="shared" si="148"/>
        <v>7</v>
      </c>
    </row>
    <row r="81" spans="1:54" ht="15" customHeight="1">
      <c r="A81" s="417"/>
      <c r="B81" s="828"/>
      <c r="C81" s="779">
        <f>C80+$G$439</f>
        <v>0.39999999999999997</v>
      </c>
      <c r="D81" s="631">
        <f t="shared" ref="D81:L81" si="149">D41-$G$448</f>
        <v>6.5867647484783243E-2</v>
      </c>
      <c r="E81" s="631">
        <f t="shared" si="149"/>
        <v>7.446182780979238E-2</v>
      </c>
      <c r="F81" s="631">
        <f t="shared" si="149"/>
        <v>8.283039718688423E-2</v>
      </c>
      <c r="G81" s="631">
        <f t="shared" si="149"/>
        <v>9.0986259483312626E-2</v>
      </c>
      <c r="H81" s="631">
        <f t="shared" si="149"/>
        <v>9.8941205755259665E-2</v>
      </c>
      <c r="I81" s="631">
        <f t="shared" si="149"/>
        <v>0.10670604062500955</v>
      </c>
      <c r="J81" s="631">
        <f t="shared" si="149"/>
        <v>0.11429069098971278</v>
      </c>
      <c r="K81" s="631">
        <f t="shared" si="149"/>
        <v>0.12170430012754863</v>
      </c>
      <c r="L81" s="631">
        <f t="shared" si="149"/>
        <v>0.12895530931968979</v>
      </c>
      <c r="M81" s="417"/>
      <c r="N81" s="417"/>
      <c r="O81" s="417"/>
      <c r="P81" s="417"/>
      <c r="Q81" s="417"/>
      <c r="AT81" s="804">
        <f t="shared" ref="AT81:BB81" si="150">IF(Z55&lt;$G$449,0,MIN($G$446,1+IFERROR(INT((Z55-$G$449)/$G$451),0)))</f>
        <v>0</v>
      </c>
      <c r="AU81" s="804">
        <f t="shared" si="150"/>
        <v>1</v>
      </c>
      <c r="AV81" s="804">
        <f t="shared" si="150"/>
        <v>2</v>
      </c>
      <c r="AW81" s="804">
        <f t="shared" si="150"/>
        <v>3</v>
      </c>
      <c r="AX81" s="804">
        <f t="shared" si="150"/>
        <v>4</v>
      </c>
      <c r="AY81" s="804">
        <f t="shared" si="150"/>
        <v>5</v>
      </c>
      <c r="AZ81" s="804">
        <f t="shared" si="150"/>
        <v>7</v>
      </c>
      <c r="BA81" s="804">
        <f t="shared" si="150"/>
        <v>8</v>
      </c>
      <c r="BB81" s="804">
        <f t="shared" si="150"/>
        <v>9</v>
      </c>
    </row>
    <row r="82" spans="1:54" ht="15" customHeight="1">
      <c r="A82" s="417"/>
      <c r="B82" s="829"/>
      <c r="C82" s="780">
        <f>C81+$G$439</f>
        <v>0.44999999999999996</v>
      </c>
      <c r="D82" s="790">
        <f t="shared" ref="D82:L82" si="151">D42-$G$448</f>
        <v>8.5768033265949395E-2</v>
      </c>
      <c r="E82" s="790">
        <f t="shared" si="151"/>
        <v>9.282842254830137E-2</v>
      </c>
      <c r="F82" s="790">
        <f t="shared" si="151"/>
        <v>9.9737958289271234E-2</v>
      </c>
      <c r="G82" s="790">
        <f t="shared" si="151"/>
        <v>0.10650370445103929</v>
      </c>
      <c r="H82" s="790">
        <f t="shared" si="151"/>
        <v>0.11313222342555873</v>
      </c>
      <c r="I82" s="790">
        <f t="shared" si="151"/>
        <v>0.11962962323709636</v>
      </c>
      <c r="J82" s="790">
        <f t="shared" si="151"/>
        <v>0.12600159917429776</v>
      </c>
      <c r="K82" s="790">
        <f t="shared" si="151"/>
        <v>0.13225347075815796</v>
      </c>
      <c r="L82" s="790">
        <f t="shared" si="151"/>
        <v>0.13839021461633294</v>
      </c>
      <c r="M82" s="417"/>
      <c r="N82" s="417"/>
      <c r="O82" s="417"/>
      <c r="P82" s="417"/>
      <c r="Q82" s="417"/>
      <c r="AT82" s="804">
        <f t="shared" ref="AT82:BB82" si="152">IF(Z56&lt;$G$449,0,MIN($G$446,1+IFERROR(INT((Z56-$G$449)/$G$451),0)))</f>
        <v>2</v>
      </c>
      <c r="AU82" s="804">
        <f t="shared" si="152"/>
        <v>3</v>
      </c>
      <c r="AV82" s="804">
        <f t="shared" si="152"/>
        <v>4</v>
      </c>
      <c r="AW82" s="804">
        <f t="shared" si="152"/>
        <v>5</v>
      </c>
      <c r="AX82" s="804">
        <f t="shared" si="152"/>
        <v>6</v>
      </c>
      <c r="AY82" s="804">
        <f t="shared" si="152"/>
        <v>7</v>
      </c>
      <c r="AZ82" s="804">
        <f t="shared" si="152"/>
        <v>8</v>
      </c>
      <c r="BA82" s="804">
        <f t="shared" si="152"/>
        <v>9</v>
      </c>
      <c r="BB82" s="804">
        <f t="shared" si="152"/>
        <v>10</v>
      </c>
    </row>
    <row r="83" spans="1:54" ht="15" hidden="1" customHeight="1" outlineLevel="1">
      <c r="A83" s="417"/>
      <c r="B83" s="423" t="s">
        <v>2777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795" t="s">
        <v>2572</v>
      </c>
      <c r="C85" s="796"/>
      <c r="D85" s="796"/>
      <c r="E85" s="796"/>
      <c r="F85" s="796"/>
      <c r="G85" s="796"/>
      <c r="H85" s="796"/>
      <c r="I85" s="796"/>
      <c r="J85" s="796"/>
      <c r="K85" s="796"/>
      <c r="L85" s="796"/>
      <c r="M85" s="417"/>
      <c r="N85" s="417"/>
      <c r="O85" s="417"/>
      <c r="P85" s="417"/>
      <c r="Q85" s="417"/>
    </row>
    <row r="86" spans="1:54" ht="15" customHeight="1">
      <c r="A86" s="417"/>
      <c r="B86" s="148" t="s">
        <v>2566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67" t="s">
        <v>2565</v>
      </c>
      <c r="E88" s="767"/>
      <c r="F88" s="767"/>
      <c r="G88" s="767"/>
      <c r="H88" s="767"/>
      <c r="I88" s="767"/>
      <c r="J88" s="767"/>
      <c r="K88" s="767"/>
      <c r="L88" s="767"/>
      <c r="M88" s="417"/>
      <c r="N88" s="417"/>
      <c r="O88" s="417"/>
      <c r="P88" s="417"/>
      <c r="Q88" s="417"/>
      <c r="Z88" s="786" t="s">
        <v>2574</v>
      </c>
      <c r="AA88" s="746"/>
      <c r="AB88" s="746"/>
      <c r="AC88" s="746"/>
      <c r="AD88" s="746"/>
      <c r="AE88" s="746"/>
      <c r="AF88" s="746"/>
      <c r="AG88" s="746"/>
      <c r="AH88" s="746"/>
      <c r="AJ88" s="786" t="s">
        <v>2573</v>
      </c>
      <c r="AK88" s="746"/>
      <c r="AL88" s="746"/>
      <c r="AM88" s="746"/>
      <c r="AN88" s="746"/>
      <c r="AO88" s="746"/>
      <c r="AP88" s="746"/>
      <c r="AQ88" s="746"/>
      <c r="AR88" s="746"/>
    </row>
    <row r="89" spans="1:54" ht="12.75" customHeight="1">
      <c r="A89" s="417"/>
      <c r="B89" s="454"/>
      <c r="C89" s="454"/>
      <c r="D89" s="799">
        <f>E89+$G$458</f>
        <v>76</v>
      </c>
      <c r="E89" s="799">
        <f>F89+$G$458</f>
        <v>72</v>
      </c>
      <c r="F89" s="799">
        <f>G89+$G$458</f>
        <v>68</v>
      </c>
      <c r="G89" s="799">
        <f>H89+$G$458</f>
        <v>64</v>
      </c>
      <c r="H89" s="799">
        <f>$G$457</f>
        <v>60</v>
      </c>
      <c r="I89" s="799">
        <f>H89-$G$458</f>
        <v>56</v>
      </c>
      <c r="J89" s="799">
        <f>I89-$G$458</f>
        <v>52</v>
      </c>
      <c r="K89" s="799">
        <f>J89-$G$458</f>
        <v>48</v>
      </c>
      <c r="L89" s="799">
        <f>K89-$G$458</f>
        <v>44</v>
      </c>
      <c r="M89" s="417"/>
      <c r="N89" s="772" t="s">
        <v>2496</v>
      </c>
      <c r="O89" s="772" t="s">
        <v>2497</v>
      </c>
      <c r="P89" s="772" t="s">
        <v>2498</v>
      </c>
      <c r="Q89" s="772" t="s">
        <v>2499</v>
      </c>
      <c r="R89" s="772" t="s">
        <v>2500</v>
      </c>
      <c r="Z89" s="367">
        <f>D$89</f>
        <v>76</v>
      </c>
      <c r="AA89" s="367">
        <f t="shared" ref="AA89:AH89" si="153">E$89</f>
        <v>72</v>
      </c>
      <c r="AB89" s="367">
        <f t="shared" si="153"/>
        <v>68</v>
      </c>
      <c r="AC89" s="367">
        <f t="shared" si="153"/>
        <v>64</v>
      </c>
      <c r="AD89" s="367">
        <f t="shared" si="153"/>
        <v>60</v>
      </c>
      <c r="AE89" s="367">
        <f t="shared" si="153"/>
        <v>56</v>
      </c>
      <c r="AF89" s="367">
        <f t="shared" si="153"/>
        <v>52</v>
      </c>
      <c r="AG89" s="367">
        <f t="shared" si="153"/>
        <v>48</v>
      </c>
      <c r="AH89" s="367">
        <f t="shared" si="153"/>
        <v>44</v>
      </c>
      <c r="AI89" s="685"/>
      <c r="AJ89" s="367">
        <f>D$89</f>
        <v>76</v>
      </c>
      <c r="AK89" s="367">
        <f t="shared" ref="AK89:AR89" si="154">E$89</f>
        <v>72</v>
      </c>
      <c r="AL89" s="367">
        <f t="shared" si="154"/>
        <v>68</v>
      </c>
      <c r="AM89" s="367">
        <f t="shared" si="154"/>
        <v>64</v>
      </c>
      <c r="AN89" s="367">
        <f t="shared" si="154"/>
        <v>60</v>
      </c>
      <c r="AO89" s="367">
        <f t="shared" si="154"/>
        <v>56</v>
      </c>
      <c r="AP89" s="367">
        <f t="shared" si="154"/>
        <v>52</v>
      </c>
      <c r="AQ89" s="367">
        <f t="shared" si="154"/>
        <v>48</v>
      </c>
      <c r="AR89" s="367">
        <f t="shared" si="154"/>
        <v>44</v>
      </c>
      <c r="AT89" s="772" t="s">
        <v>2614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27" t="s">
        <v>2526</v>
      </c>
      <c r="C90" s="779">
        <f>C91-$G$439</f>
        <v>0.15000000000000002</v>
      </c>
      <c r="D90" s="620">
        <f>ROUND(Z90,$G$452)</f>
        <v>4500</v>
      </c>
      <c r="E90" s="620">
        <f t="shared" ref="E90:E96" si="155">ROUND(AA90,$G$452)</f>
        <v>4300</v>
      </c>
      <c r="F90" s="620">
        <f t="shared" ref="F90:F96" si="156">ROUND(AB90,$G$452)</f>
        <v>4200</v>
      </c>
      <c r="G90" s="620">
        <f t="shared" ref="G90:G96" si="157">ROUND(AC90,$G$452)</f>
        <v>4100</v>
      </c>
      <c r="H90" s="620">
        <f t="shared" ref="H90:H96" si="158">ROUND(AD90,$G$452)</f>
        <v>4000</v>
      </c>
      <c r="I90" s="620">
        <f t="shared" ref="I90:I96" si="159">ROUND(AE90,$G$452)</f>
        <v>3900</v>
      </c>
      <c r="J90" s="620">
        <f t="shared" ref="J90:J96" si="160">ROUND(AF90,$G$452)</f>
        <v>3700</v>
      </c>
      <c r="K90" s="620">
        <f t="shared" ref="K90:K96" si="161">ROUND(AG90,$G$452)</f>
        <v>3600</v>
      </c>
      <c r="L90" s="620">
        <f t="shared" ref="L90:L96" si="162">ROUND(AH90,$G$452)</f>
        <v>3500</v>
      </c>
      <c r="M90" s="417"/>
      <c r="N90" s="769">
        <f t="shared" ref="N90:N96" si="163">$C90</f>
        <v>0.15000000000000002</v>
      </c>
      <c r="O90" s="428">
        <f t="shared" ref="O90:O96" si="164">$G$433</f>
        <v>650</v>
      </c>
      <c r="P90" s="428">
        <f t="shared" ref="P90:P96" si="165">$G$430*(1-N90)-O90</f>
        <v>1900</v>
      </c>
      <c r="Q90" s="428">
        <f t="shared" ref="Q90:Q96" si="166">$G$432-O90</f>
        <v>49350</v>
      </c>
      <c r="R90" s="770">
        <f t="shared" ref="R90:R96" si="167">IFERROR(P90/(Q90+$G$430*(1-N90)),0)*(1-$G$434)</f>
        <v>3.4778420038535644E-2</v>
      </c>
      <c r="Z90" s="367">
        <f t="shared" ref="Z90:AH96" si="168">$O90+$G$435+$N90*AJ$90+$R90*($Q90*(1+$G$437)+AJ$90*(1-$N90))-$G$430</f>
        <v>4451.726905110696</v>
      </c>
      <c r="AA90" s="367">
        <f t="shared" si="168"/>
        <v>4332.2719111202532</v>
      </c>
      <c r="AB90" s="367">
        <f t="shared" si="168"/>
        <v>4212.8169171298114</v>
      </c>
      <c r="AC90" s="367">
        <f t="shared" si="168"/>
        <v>4093.3619231393695</v>
      </c>
      <c r="AD90" s="367">
        <f t="shared" si="168"/>
        <v>3973.9069291489268</v>
      </c>
      <c r="AE90" s="367">
        <f t="shared" si="168"/>
        <v>3854.451935158484</v>
      </c>
      <c r="AF90" s="367">
        <f t="shared" si="168"/>
        <v>3734.9969411680422</v>
      </c>
      <c r="AG90" s="367">
        <f t="shared" si="168"/>
        <v>3615.5419471776004</v>
      </c>
      <c r="AH90" s="367">
        <f t="shared" si="168"/>
        <v>3496.0869531871576</v>
      </c>
      <c r="AJ90" s="367">
        <f>($G$453+AJ$89*$G$445*$G$454)*$G$455</f>
        <v>18637.001515706208</v>
      </c>
      <c r="AK90" s="367">
        <f t="shared" ref="AK90:AR90" si="169">($G$453+AK$89*$G$445*$G$454)*$G$455</f>
        <v>17971.742595932199</v>
      </c>
      <c r="AL90" s="367">
        <f t="shared" si="169"/>
        <v>17306.483676158186</v>
      </c>
      <c r="AM90" s="367">
        <f t="shared" si="169"/>
        <v>16641.224756384177</v>
      </c>
      <c r="AN90" s="367">
        <f t="shared" si="169"/>
        <v>15975.965836610165</v>
      </c>
      <c r="AO90" s="367">
        <f t="shared" si="169"/>
        <v>15310.706916836156</v>
      </c>
      <c r="AP90" s="367">
        <f t="shared" si="169"/>
        <v>14645.447997062143</v>
      </c>
      <c r="AQ90" s="367">
        <f t="shared" si="169"/>
        <v>13980.189077288132</v>
      </c>
      <c r="AR90" s="367">
        <f t="shared" si="169"/>
        <v>13314.930157514122</v>
      </c>
      <c r="AT90" s="804">
        <f>IF(Z130&lt;$G$449,0,MIN($G$446,1+IFERROR(INT((Z130-$G$449)/$G$463),0)))</f>
        <v>0</v>
      </c>
      <c r="AU90" s="804">
        <f t="shared" ref="AU90:BB90" si="170">IF(AA130&lt;$G$449,0,MIN($G$446,1+IFERROR(INT((AA130-$G$449)/$G$463),0)))</f>
        <v>0</v>
      </c>
      <c r="AV90" s="804">
        <f t="shared" si="170"/>
        <v>0</v>
      </c>
      <c r="AW90" s="804">
        <f t="shared" si="170"/>
        <v>0</v>
      </c>
      <c r="AX90" s="804">
        <f t="shared" si="170"/>
        <v>0</v>
      </c>
      <c r="AY90" s="804">
        <f t="shared" si="170"/>
        <v>0</v>
      </c>
      <c r="AZ90" s="804">
        <f t="shared" si="170"/>
        <v>0</v>
      </c>
      <c r="BA90" s="804">
        <f t="shared" si="170"/>
        <v>0</v>
      </c>
      <c r="BB90" s="804">
        <f t="shared" si="170"/>
        <v>0</v>
      </c>
    </row>
    <row r="91" spans="1:54" ht="15" customHeight="1">
      <c r="A91" s="417"/>
      <c r="B91" s="828"/>
      <c r="C91" s="779">
        <f>C92-$G$439</f>
        <v>0.2</v>
      </c>
      <c r="D91" s="470">
        <f t="shared" ref="D91:D96" si="171">ROUND(Z91,$G$452)</f>
        <v>5000</v>
      </c>
      <c r="E91" s="470">
        <f t="shared" si="155"/>
        <v>4900</v>
      </c>
      <c r="F91" s="470">
        <f t="shared" si="156"/>
        <v>4700</v>
      </c>
      <c r="G91" s="470">
        <f t="shared" si="157"/>
        <v>4600</v>
      </c>
      <c r="H91" s="470">
        <f t="shared" si="158"/>
        <v>4400</v>
      </c>
      <c r="I91" s="470">
        <f t="shared" si="159"/>
        <v>4300</v>
      </c>
      <c r="J91" s="470">
        <f t="shared" si="160"/>
        <v>4100</v>
      </c>
      <c r="K91" s="470">
        <f t="shared" si="161"/>
        <v>4000</v>
      </c>
      <c r="L91" s="470">
        <f t="shared" si="162"/>
        <v>3800</v>
      </c>
      <c r="M91" s="417"/>
      <c r="N91" s="769">
        <f t="shared" si="163"/>
        <v>0.2</v>
      </c>
      <c r="O91" s="428">
        <f t="shared" si="164"/>
        <v>650</v>
      </c>
      <c r="P91" s="428">
        <f t="shared" si="165"/>
        <v>1750</v>
      </c>
      <c r="Q91" s="428">
        <f t="shared" si="166"/>
        <v>49350</v>
      </c>
      <c r="R91" s="770">
        <f t="shared" si="167"/>
        <v>3.2125603864734294E-2</v>
      </c>
      <c r="Z91" s="367">
        <f t="shared" si="168"/>
        <v>5048.0589894386176</v>
      </c>
      <c r="AA91" s="367">
        <f t="shared" si="168"/>
        <v>4897.9097298645038</v>
      </c>
      <c r="AB91" s="367">
        <f t="shared" si="168"/>
        <v>4747.7604702903882</v>
      </c>
      <c r="AC91" s="367">
        <f t="shared" si="168"/>
        <v>4597.6112107162735</v>
      </c>
      <c r="AD91" s="367">
        <f t="shared" si="168"/>
        <v>4447.4619511421588</v>
      </c>
      <c r="AE91" s="367">
        <f t="shared" si="168"/>
        <v>4297.3126915680441</v>
      </c>
      <c r="AF91" s="367">
        <f t="shared" si="168"/>
        <v>4147.1634319939294</v>
      </c>
      <c r="AG91" s="367">
        <f t="shared" si="168"/>
        <v>3997.0141724198129</v>
      </c>
      <c r="AH91" s="367">
        <f t="shared" si="168"/>
        <v>3846.8649128456982</v>
      </c>
      <c r="AT91" s="804">
        <f t="shared" ref="AT91:BB91" si="172">IF(Z131&lt;$G$449,0,MIN($G$446,1+IFERROR(INT((Z131-$G$449)/$G$463),0)))</f>
        <v>0</v>
      </c>
      <c r="AU91" s="804">
        <f t="shared" si="172"/>
        <v>0</v>
      </c>
      <c r="AV91" s="804">
        <f t="shared" si="172"/>
        <v>0</v>
      </c>
      <c r="AW91" s="804">
        <f t="shared" si="172"/>
        <v>0</v>
      </c>
      <c r="AX91" s="804">
        <f t="shared" si="172"/>
        <v>0</v>
      </c>
      <c r="AY91" s="804">
        <f t="shared" si="172"/>
        <v>0</v>
      </c>
      <c r="AZ91" s="804">
        <f t="shared" si="172"/>
        <v>0</v>
      </c>
      <c r="BA91" s="804">
        <f t="shared" si="172"/>
        <v>0</v>
      </c>
      <c r="BB91" s="804">
        <f t="shared" si="172"/>
        <v>1</v>
      </c>
    </row>
    <row r="92" spans="1:54" ht="15" customHeight="1">
      <c r="A92" s="417"/>
      <c r="B92" s="828"/>
      <c r="C92" s="779">
        <f>C93-$G$439</f>
        <v>0.25</v>
      </c>
      <c r="D92" s="470">
        <f t="shared" si="171"/>
        <v>5600</v>
      </c>
      <c r="E92" s="470">
        <f t="shared" si="155"/>
        <v>5500</v>
      </c>
      <c r="F92" s="470">
        <f t="shared" si="156"/>
        <v>5300</v>
      </c>
      <c r="G92" s="470">
        <f t="shared" si="157"/>
        <v>5100</v>
      </c>
      <c r="H92" s="470">
        <f t="shared" si="158"/>
        <v>4900</v>
      </c>
      <c r="I92" s="470">
        <f t="shared" si="159"/>
        <v>4700</v>
      </c>
      <c r="J92" s="470">
        <f t="shared" si="160"/>
        <v>4600</v>
      </c>
      <c r="K92" s="470">
        <f t="shared" si="161"/>
        <v>4400</v>
      </c>
      <c r="L92" s="470">
        <f t="shared" si="162"/>
        <v>4200</v>
      </c>
      <c r="M92" s="417"/>
      <c r="N92" s="769">
        <f t="shared" si="163"/>
        <v>0.25</v>
      </c>
      <c r="O92" s="428">
        <f t="shared" si="164"/>
        <v>650</v>
      </c>
      <c r="P92" s="428">
        <f t="shared" si="165"/>
        <v>1600</v>
      </c>
      <c r="Q92" s="428">
        <f t="shared" si="166"/>
        <v>49350</v>
      </c>
      <c r="R92" s="770">
        <f t="shared" si="167"/>
        <v>2.9457364341085271E-2</v>
      </c>
      <c r="Z92" s="367">
        <f t="shared" si="168"/>
        <v>5647.5872341185113</v>
      </c>
      <c r="AA92" s="367">
        <f t="shared" si="168"/>
        <v>5466.5749233893039</v>
      </c>
      <c r="AB92" s="367">
        <f t="shared" si="168"/>
        <v>5285.5626126600946</v>
      </c>
      <c r="AC92" s="367">
        <f t="shared" si="168"/>
        <v>5104.550301930889</v>
      </c>
      <c r="AD92" s="367">
        <f t="shared" si="168"/>
        <v>4923.5379912016797</v>
      </c>
      <c r="AE92" s="367">
        <f t="shared" si="168"/>
        <v>4742.5256804724731</v>
      </c>
      <c r="AF92" s="367">
        <f t="shared" si="168"/>
        <v>4561.5133697432648</v>
      </c>
      <c r="AG92" s="367">
        <f t="shared" si="168"/>
        <v>4380.5010590140573</v>
      </c>
      <c r="AH92" s="367">
        <f t="shared" si="168"/>
        <v>4199.4887482848499</v>
      </c>
      <c r="AJ92" s="786" t="s">
        <v>2587</v>
      </c>
      <c r="AK92" s="746"/>
      <c r="AL92" s="746"/>
      <c r="AM92" s="746"/>
      <c r="AN92" s="746"/>
      <c r="AO92" s="746"/>
      <c r="AP92" s="746"/>
      <c r="AQ92" s="746"/>
      <c r="AR92" s="746"/>
      <c r="AT92" s="804">
        <f t="shared" ref="AT92:BB92" si="173">IF(Z132&lt;$G$449,0,MIN($G$446,1+IFERROR(INT((Z132-$G$449)/$G$463),0)))</f>
        <v>0</v>
      </c>
      <c r="AU92" s="804">
        <f t="shared" si="173"/>
        <v>0</v>
      </c>
      <c r="AV92" s="804">
        <f t="shared" si="173"/>
        <v>0</v>
      </c>
      <c r="AW92" s="804">
        <f t="shared" si="173"/>
        <v>0</v>
      </c>
      <c r="AX92" s="804">
        <f t="shared" si="173"/>
        <v>0</v>
      </c>
      <c r="AY92" s="804">
        <f t="shared" si="173"/>
        <v>0</v>
      </c>
      <c r="AZ92" s="804">
        <f t="shared" si="173"/>
        <v>0</v>
      </c>
      <c r="BA92" s="804">
        <f t="shared" si="173"/>
        <v>1</v>
      </c>
      <c r="BB92" s="804">
        <f t="shared" si="173"/>
        <v>3</v>
      </c>
    </row>
    <row r="93" spans="1:54" ht="15" customHeight="1">
      <c r="A93" s="417"/>
      <c r="B93" s="828"/>
      <c r="C93" s="779">
        <f>$G$438</f>
        <v>0.3</v>
      </c>
      <c r="D93" s="470">
        <f t="shared" si="171"/>
        <v>6300</v>
      </c>
      <c r="E93" s="470">
        <f t="shared" si="155"/>
        <v>6000</v>
      </c>
      <c r="F93" s="470">
        <f t="shared" si="156"/>
        <v>5800</v>
      </c>
      <c r="G93" s="470">
        <f t="shared" si="157"/>
        <v>5600</v>
      </c>
      <c r="H93" s="781">
        <f t="shared" si="158"/>
        <v>5400</v>
      </c>
      <c r="I93" s="470">
        <f t="shared" si="159"/>
        <v>5200</v>
      </c>
      <c r="J93" s="470">
        <f t="shared" si="160"/>
        <v>5000</v>
      </c>
      <c r="K93" s="470">
        <f t="shared" si="161"/>
        <v>4800</v>
      </c>
      <c r="L93" s="470">
        <f t="shared" si="162"/>
        <v>4600</v>
      </c>
      <c r="M93" s="417"/>
      <c r="N93" s="769">
        <f t="shared" si="163"/>
        <v>0.3</v>
      </c>
      <c r="O93" s="428">
        <f t="shared" si="164"/>
        <v>650</v>
      </c>
      <c r="P93" s="428">
        <f t="shared" si="165"/>
        <v>1450</v>
      </c>
      <c r="Q93" s="428">
        <f t="shared" si="166"/>
        <v>49350</v>
      </c>
      <c r="R93" s="770">
        <f t="shared" si="167"/>
        <v>2.6773566569484937E-2</v>
      </c>
      <c r="Z93" s="367">
        <f t="shared" si="168"/>
        <v>6250.3395939056372</v>
      </c>
      <c r="AA93" s="367">
        <f t="shared" si="168"/>
        <v>6038.2939701912746</v>
      </c>
      <c r="AB93" s="367">
        <f t="shared" si="168"/>
        <v>5826.248346476912</v>
      </c>
      <c r="AC93" s="367">
        <f t="shared" si="168"/>
        <v>5614.2027227625513</v>
      </c>
      <c r="AD93" s="367">
        <f t="shared" si="168"/>
        <v>5402.1570990481869</v>
      </c>
      <c r="AE93" s="367">
        <f t="shared" si="168"/>
        <v>5190.1114753338261</v>
      </c>
      <c r="AF93" s="367">
        <f t="shared" si="168"/>
        <v>4978.0658516194635</v>
      </c>
      <c r="AG93" s="367">
        <f t="shared" si="168"/>
        <v>4766.0202279051</v>
      </c>
      <c r="AH93" s="367">
        <f t="shared" si="168"/>
        <v>4553.9746041907383</v>
      </c>
      <c r="AJ93" s="367">
        <f>($G$453+(AJ$89-$G$459)*$G$445*$G$460)*$G$461*$G$462</f>
        <v>9153.40499816384</v>
      </c>
      <c r="AK93" s="367">
        <f t="shared" ref="AK93:AR93" si="174">($G$453+(AK$89-$G$459)*$G$445*$G$460)*$G$461*$G$462</f>
        <v>8737.6181733050835</v>
      </c>
      <c r="AL93" s="367">
        <f t="shared" si="174"/>
        <v>8321.8313484463251</v>
      </c>
      <c r="AM93" s="367">
        <f t="shared" si="174"/>
        <v>7906.0445235875686</v>
      </c>
      <c r="AN93" s="367">
        <f t="shared" si="174"/>
        <v>7490.2576987288121</v>
      </c>
      <c r="AO93" s="367">
        <f t="shared" si="174"/>
        <v>7074.4708738700547</v>
      </c>
      <c r="AP93" s="367">
        <f t="shared" si="174"/>
        <v>6658.6840490112991</v>
      </c>
      <c r="AQ93" s="367">
        <f t="shared" si="174"/>
        <v>6242.8972241525407</v>
      </c>
      <c r="AR93" s="367">
        <f t="shared" si="174"/>
        <v>5827.1103992937842</v>
      </c>
      <c r="AT93" s="804">
        <f t="shared" ref="AT93:BB93" si="175">IF(Z133&lt;$G$449,0,MIN($G$446,1+IFERROR(INT((Z133-$G$449)/$G$463),0)))</f>
        <v>0</v>
      </c>
      <c r="AU93" s="804">
        <f t="shared" si="175"/>
        <v>0</v>
      </c>
      <c r="AV93" s="804">
        <f t="shared" si="175"/>
        <v>0</v>
      </c>
      <c r="AW93" s="804">
        <f t="shared" si="175"/>
        <v>0</v>
      </c>
      <c r="AX93" s="804">
        <f t="shared" si="175"/>
        <v>0</v>
      </c>
      <c r="AY93" s="804">
        <f t="shared" si="175"/>
        <v>1</v>
      </c>
      <c r="AZ93" s="804">
        <f t="shared" si="175"/>
        <v>2</v>
      </c>
      <c r="BA93" s="804">
        <f t="shared" si="175"/>
        <v>3</v>
      </c>
      <c r="BB93" s="804">
        <f t="shared" si="175"/>
        <v>5</v>
      </c>
    </row>
    <row r="94" spans="1:54" ht="15" customHeight="1">
      <c r="A94" s="417"/>
      <c r="B94" s="828"/>
      <c r="C94" s="779">
        <f>C93+$G$439</f>
        <v>0.35</v>
      </c>
      <c r="D94" s="470">
        <f t="shared" si="171"/>
        <v>6900</v>
      </c>
      <c r="E94" s="470">
        <f t="shared" si="155"/>
        <v>6600</v>
      </c>
      <c r="F94" s="470">
        <f t="shared" si="156"/>
        <v>6400</v>
      </c>
      <c r="G94" s="470">
        <f t="shared" si="157"/>
        <v>6100</v>
      </c>
      <c r="H94" s="470">
        <f t="shared" si="158"/>
        <v>5900</v>
      </c>
      <c r="I94" s="470">
        <f t="shared" si="159"/>
        <v>5600</v>
      </c>
      <c r="J94" s="470">
        <f t="shared" si="160"/>
        <v>5400</v>
      </c>
      <c r="K94" s="470">
        <f t="shared" si="161"/>
        <v>5200</v>
      </c>
      <c r="L94" s="470">
        <f t="shared" si="162"/>
        <v>4900</v>
      </c>
      <c r="M94" s="417"/>
      <c r="N94" s="769">
        <f t="shared" si="163"/>
        <v>0.35</v>
      </c>
      <c r="O94" s="428">
        <f t="shared" si="164"/>
        <v>650</v>
      </c>
      <c r="P94" s="428">
        <f t="shared" si="165"/>
        <v>1300</v>
      </c>
      <c r="Q94" s="428">
        <f t="shared" si="166"/>
        <v>49350</v>
      </c>
      <c r="R94" s="770">
        <f t="shared" si="167"/>
        <v>2.4074074074074071E-2</v>
      </c>
      <c r="Z94" s="367">
        <f t="shared" si="168"/>
        <v>6856.3443505114628</v>
      </c>
      <c r="AA94" s="367">
        <f t="shared" si="168"/>
        <v>6613.0936584570591</v>
      </c>
      <c r="AB94" s="367">
        <f t="shared" si="168"/>
        <v>6369.8429664026553</v>
      </c>
      <c r="AC94" s="367">
        <f t="shared" si="168"/>
        <v>6126.5922743482515</v>
      </c>
      <c r="AD94" s="367">
        <f t="shared" si="168"/>
        <v>5883.3415822938459</v>
      </c>
      <c r="AE94" s="367">
        <f t="shared" si="168"/>
        <v>5640.0908902394422</v>
      </c>
      <c r="AF94" s="367">
        <f t="shared" si="168"/>
        <v>5396.8401981850366</v>
      </c>
      <c r="AG94" s="367">
        <f t="shared" si="168"/>
        <v>5153.5895061306319</v>
      </c>
      <c r="AH94" s="367">
        <f t="shared" si="168"/>
        <v>4910.3388140762272</v>
      </c>
      <c r="AJ94" s="786" t="s">
        <v>2588</v>
      </c>
      <c r="AK94" s="746"/>
      <c r="AL94" s="746"/>
      <c r="AM94" s="746"/>
      <c r="AN94" s="746"/>
      <c r="AO94" s="746"/>
      <c r="AP94" s="746"/>
      <c r="AQ94" s="746"/>
      <c r="AR94" s="746"/>
      <c r="AT94" s="804">
        <f t="shared" ref="AT94:BB94" si="176">IF(Z134&lt;$G$449,0,MIN($G$446,1+IFERROR(INT((Z134-$G$449)/$G$463),0)))</f>
        <v>0</v>
      </c>
      <c r="AU94" s="804">
        <f t="shared" si="176"/>
        <v>0</v>
      </c>
      <c r="AV94" s="804">
        <f t="shared" si="176"/>
        <v>1</v>
      </c>
      <c r="AW94" s="804">
        <f t="shared" si="176"/>
        <v>2</v>
      </c>
      <c r="AX94" s="804">
        <f t="shared" si="176"/>
        <v>3</v>
      </c>
      <c r="AY94" s="804">
        <f t="shared" si="176"/>
        <v>4</v>
      </c>
      <c r="AZ94" s="804">
        <f t="shared" si="176"/>
        <v>5</v>
      </c>
      <c r="BA94" s="804">
        <f t="shared" si="176"/>
        <v>6</v>
      </c>
      <c r="BB94" s="804">
        <f t="shared" si="176"/>
        <v>7</v>
      </c>
    </row>
    <row r="95" spans="1:54" ht="15" customHeight="1">
      <c r="A95" s="417"/>
      <c r="B95" s="828"/>
      <c r="C95" s="779">
        <f>C94+$G$439</f>
        <v>0.39999999999999997</v>
      </c>
      <c r="D95" s="470">
        <f t="shared" si="171"/>
        <v>7500</v>
      </c>
      <c r="E95" s="470">
        <f t="shared" si="155"/>
        <v>7200</v>
      </c>
      <c r="F95" s="470">
        <f t="shared" si="156"/>
        <v>6900</v>
      </c>
      <c r="G95" s="470">
        <f t="shared" si="157"/>
        <v>6600</v>
      </c>
      <c r="H95" s="470">
        <f t="shared" si="158"/>
        <v>6400</v>
      </c>
      <c r="I95" s="470">
        <f t="shared" si="159"/>
        <v>6100</v>
      </c>
      <c r="J95" s="470">
        <f t="shared" si="160"/>
        <v>5800</v>
      </c>
      <c r="K95" s="470">
        <f t="shared" si="161"/>
        <v>5500</v>
      </c>
      <c r="L95" s="470">
        <f t="shared" si="162"/>
        <v>5300</v>
      </c>
      <c r="M95" s="417"/>
      <c r="N95" s="769">
        <f t="shared" si="163"/>
        <v>0.39999999999999997</v>
      </c>
      <c r="O95" s="428">
        <f t="shared" si="164"/>
        <v>650</v>
      </c>
      <c r="P95" s="428">
        <f t="shared" si="165"/>
        <v>1150.0000000000002</v>
      </c>
      <c r="Q95" s="428">
        <f t="shared" si="166"/>
        <v>49350</v>
      </c>
      <c r="R95" s="770">
        <f t="shared" si="167"/>
        <v>2.135874877810362E-2</v>
      </c>
      <c r="Z95" s="367">
        <f t="shared" si="168"/>
        <v>7465.6301173977408</v>
      </c>
      <c r="AA95" s="367">
        <f t="shared" si="168"/>
        <v>7191.0010906042298</v>
      </c>
      <c r="AB95" s="367">
        <f t="shared" si="168"/>
        <v>6916.372063810717</v>
      </c>
      <c r="AC95" s="367">
        <f t="shared" si="168"/>
        <v>6641.743037017206</v>
      </c>
      <c r="AD95" s="367">
        <f t="shared" si="168"/>
        <v>6367.1140102236932</v>
      </c>
      <c r="AE95" s="367">
        <f t="shared" si="168"/>
        <v>6092.4849834301822</v>
      </c>
      <c r="AF95" s="367">
        <f t="shared" si="168"/>
        <v>5817.8559566366712</v>
      </c>
      <c r="AG95" s="367">
        <f t="shared" si="168"/>
        <v>5543.2269298431584</v>
      </c>
      <c r="AH95" s="367">
        <f t="shared" si="168"/>
        <v>5268.5979030496474</v>
      </c>
      <c r="AJ95" s="800">
        <f>IFERROR((AJ$93/$G$430)^(1/$G$445)-1,0)</f>
        <v>0.24994897498434709</v>
      </c>
      <c r="AK95" s="800">
        <f t="shared" ref="AK95:AR95" si="177">IFERROR((AK$93/$G$430)^(1/$G$445)-1,0)</f>
        <v>0.23838123203554318</v>
      </c>
      <c r="AL95" s="800">
        <f t="shared" si="177"/>
        <v>0.22636438906489675</v>
      </c>
      <c r="AM95" s="800">
        <f t="shared" si="177"/>
        <v>0.21385720427347321</v>
      </c>
      <c r="AN95" s="800">
        <f t="shared" si="177"/>
        <v>0.20081222595661186</v>
      </c>
      <c r="AO95" s="800">
        <f t="shared" si="177"/>
        <v>0.18717445096254881</v>
      </c>
      <c r="AP95" s="800">
        <f t="shared" si="177"/>
        <v>0.17287959485981652</v>
      </c>
      <c r="AQ95" s="800">
        <f t="shared" si="177"/>
        <v>0.15785182924075603</v>
      </c>
      <c r="AR95" s="800">
        <f t="shared" si="177"/>
        <v>0.14200077411811796</v>
      </c>
      <c r="AT95" s="804">
        <f t="shared" ref="AT95:BB95" si="178">IF(Z135&lt;$G$449,0,MIN($G$446,1+IFERROR(INT((Z135-$G$449)/$G$463),0)))</f>
        <v>2</v>
      </c>
      <c r="AU95" s="804">
        <f t="shared" si="178"/>
        <v>3</v>
      </c>
      <c r="AV95" s="804">
        <f t="shared" si="178"/>
        <v>4</v>
      </c>
      <c r="AW95" s="804">
        <f t="shared" si="178"/>
        <v>5</v>
      </c>
      <c r="AX95" s="804">
        <f t="shared" si="178"/>
        <v>5</v>
      </c>
      <c r="AY95" s="804">
        <f t="shared" si="178"/>
        <v>6</v>
      </c>
      <c r="AZ95" s="804">
        <f t="shared" si="178"/>
        <v>7</v>
      </c>
      <c r="BA95" s="804">
        <f t="shared" si="178"/>
        <v>8</v>
      </c>
      <c r="BB95" s="804">
        <f t="shared" si="178"/>
        <v>9</v>
      </c>
    </row>
    <row r="96" spans="1:54" ht="15" customHeight="1">
      <c r="A96" s="417"/>
      <c r="B96" s="829"/>
      <c r="C96" s="780">
        <f>C95+$G$439</f>
        <v>0.44999999999999996</v>
      </c>
      <c r="D96" s="771">
        <f t="shared" si="171"/>
        <v>8100</v>
      </c>
      <c r="E96" s="771">
        <f t="shared" si="155"/>
        <v>7800</v>
      </c>
      <c r="F96" s="771">
        <f t="shared" si="156"/>
        <v>7500</v>
      </c>
      <c r="G96" s="771">
        <f t="shared" si="157"/>
        <v>7200</v>
      </c>
      <c r="H96" s="771">
        <f t="shared" si="158"/>
        <v>6900</v>
      </c>
      <c r="I96" s="771">
        <f t="shared" si="159"/>
        <v>6500</v>
      </c>
      <c r="J96" s="771">
        <f t="shared" si="160"/>
        <v>6200</v>
      </c>
      <c r="K96" s="771">
        <f t="shared" si="161"/>
        <v>5900</v>
      </c>
      <c r="L96" s="771">
        <f t="shared" si="162"/>
        <v>5600</v>
      </c>
      <c r="M96" s="417"/>
      <c r="N96" s="769">
        <f t="shared" si="163"/>
        <v>0.44999999999999996</v>
      </c>
      <c r="O96" s="428">
        <f t="shared" si="164"/>
        <v>650</v>
      </c>
      <c r="P96" s="428">
        <f t="shared" si="165"/>
        <v>1000.0000000000002</v>
      </c>
      <c r="Q96" s="428">
        <f t="shared" si="166"/>
        <v>49350</v>
      </c>
      <c r="R96" s="770">
        <f t="shared" si="167"/>
        <v>1.862745098039216E-2</v>
      </c>
      <c r="Z96" s="367">
        <f t="shared" si="168"/>
        <v>8078.225844655175</v>
      </c>
      <c r="AA96" s="367">
        <f t="shared" si="168"/>
        <v>7772.0436879023237</v>
      </c>
      <c r="AB96" s="367">
        <f t="shared" si="168"/>
        <v>7465.8615311494705</v>
      </c>
      <c r="AC96" s="367">
        <f t="shared" si="168"/>
        <v>7159.6793743966191</v>
      </c>
      <c r="AD96" s="367">
        <f t="shared" si="168"/>
        <v>6853.4972176437659</v>
      </c>
      <c r="AE96" s="367">
        <f t="shared" si="168"/>
        <v>6547.3150608909145</v>
      </c>
      <c r="AF96" s="367">
        <f t="shared" si="168"/>
        <v>6241.1329041380613</v>
      </c>
      <c r="AG96" s="367">
        <f t="shared" si="168"/>
        <v>5934.95074738521</v>
      </c>
      <c r="AH96" s="367">
        <f t="shared" si="168"/>
        <v>5628.7685906323568</v>
      </c>
      <c r="AT96" s="804">
        <f t="shared" ref="AT96:BB96" si="179">IF(Z136&lt;$G$449,0,MIN($G$446,1+IFERROR(INT((Z136-$G$449)/$G$463),0)))</f>
        <v>6</v>
      </c>
      <c r="AU96" s="804">
        <f t="shared" si="179"/>
        <v>6</v>
      </c>
      <c r="AV96" s="804">
        <f t="shared" si="179"/>
        <v>7</v>
      </c>
      <c r="AW96" s="804">
        <f t="shared" si="179"/>
        <v>7</v>
      </c>
      <c r="AX96" s="804">
        <f t="shared" si="179"/>
        <v>8</v>
      </c>
      <c r="AY96" s="804">
        <f t="shared" si="179"/>
        <v>9</v>
      </c>
      <c r="AZ96" s="804">
        <f t="shared" si="179"/>
        <v>9</v>
      </c>
      <c r="BA96" s="804">
        <f t="shared" si="179"/>
        <v>10</v>
      </c>
      <c r="BB96" s="804">
        <f t="shared" si="179"/>
        <v>10</v>
      </c>
    </row>
    <row r="97" spans="1:54" ht="15" hidden="1" customHeight="1" outlineLevel="1">
      <c r="A97" s="417"/>
      <c r="B97" s="423" t="s">
        <v>2778</v>
      </c>
      <c r="C97" s="784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2567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67" t="s">
        <v>2565</v>
      </c>
      <c r="E101" s="767"/>
      <c r="F101" s="767"/>
      <c r="G101" s="767"/>
      <c r="H101" s="767"/>
      <c r="I101" s="767"/>
      <c r="J101" s="767"/>
      <c r="K101" s="767"/>
      <c r="L101" s="767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799">
        <f>E102+$G$458</f>
        <v>76</v>
      </c>
      <c r="E102" s="799">
        <f>F102+$G$458</f>
        <v>72</v>
      </c>
      <c r="F102" s="799">
        <f>G102+$G$458</f>
        <v>68</v>
      </c>
      <c r="G102" s="799">
        <f>H102+$G$458</f>
        <v>64</v>
      </c>
      <c r="H102" s="799">
        <f>$G$457</f>
        <v>60</v>
      </c>
      <c r="I102" s="799">
        <f>H102-$G$458</f>
        <v>56</v>
      </c>
      <c r="J102" s="799">
        <f>I102-$G$458</f>
        <v>52</v>
      </c>
      <c r="K102" s="799">
        <f>J102-$G$458</f>
        <v>48</v>
      </c>
      <c r="L102" s="799">
        <f>K102-$G$458</f>
        <v>44</v>
      </c>
      <c r="M102" s="417"/>
      <c r="N102" s="417"/>
      <c r="O102" s="417"/>
      <c r="P102" s="417"/>
      <c r="Q102" s="417"/>
      <c r="AT102" s="772" t="s">
        <v>2614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27" t="s">
        <v>2526</v>
      </c>
      <c r="C103" s="779">
        <f>C104-$G$439</f>
        <v>0.15000000000000002</v>
      </c>
      <c r="D103" s="490">
        <f>IFERROR(Z90/$G$430,0)</f>
        <v>1.483908968370232</v>
      </c>
      <c r="E103" s="490">
        <f t="shared" ref="E103:E109" si="180">IFERROR(AA90/$G$430,0)</f>
        <v>1.4440906370400843</v>
      </c>
      <c r="F103" s="490">
        <f t="shared" ref="F103:F109" si="181">IFERROR(AB90/$G$430,0)</f>
        <v>1.4042723057099371</v>
      </c>
      <c r="G103" s="490">
        <f t="shared" ref="G103:G109" si="182">IFERROR(AC90/$G$430,0)</f>
        <v>1.3644539743797899</v>
      </c>
      <c r="H103" s="490">
        <f t="shared" ref="H103:H109" si="183">IFERROR(AD90/$G$430,0)</f>
        <v>1.3246356430496422</v>
      </c>
      <c r="I103" s="490">
        <f t="shared" ref="I103:I109" si="184">IFERROR(AE90/$G$430,0)</f>
        <v>1.2848173117194948</v>
      </c>
      <c r="J103" s="490">
        <f t="shared" ref="J103:J109" si="185">IFERROR(AF90/$G$430,0)</f>
        <v>1.2449989803893473</v>
      </c>
      <c r="K103" s="490">
        <f t="shared" ref="K103:K109" si="186">IFERROR(AG90/$G$430,0)</f>
        <v>1.2051806490592001</v>
      </c>
      <c r="L103" s="490">
        <f t="shared" ref="L103:L109" si="187">IFERROR(AH90/$G$430,0)</f>
        <v>1.1653623177290526</v>
      </c>
      <c r="M103" s="417"/>
      <c r="N103" s="417"/>
      <c r="O103" s="417"/>
      <c r="P103" s="417"/>
      <c r="Q103" s="417"/>
      <c r="AT103" s="804">
        <f>IF(Z130&lt;$G$449,0,MIN($G$446,1+IFERROR(INT((Z130-$G$449)/$G$463),0)))</f>
        <v>0</v>
      </c>
      <c r="AU103" s="804">
        <f t="shared" ref="AU103:BB103" si="188">IF(AA130&lt;$G$449,0,MIN($G$446,1+IFERROR(INT((AA130-$G$449)/$G$463),0)))</f>
        <v>0</v>
      </c>
      <c r="AV103" s="804">
        <f t="shared" si="188"/>
        <v>0</v>
      </c>
      <c r="AW103" s="804">
        <f t="shared" si="188"/>
        <v>0</v>
      </c>
      <c r="AX103" s="804">
        <f t="shared" si="188"/>
        <v>0</v>
      </c>
      <c r="AY103" s="804">
        <f t="shared" si="188"/>
        <v>0</v>
      </c>
      <c r="AZ103" s="804">
        <f t="shared" si="188"/>
        <v>0</v>
      </c>
      <c r="BA103" s="804">
        <f t="shared" si="188"/>
        <v>0</v>
      </c>
      <c r="BB103" s="804">
        <f t="shared" si="188"/>
        <v>0</v>
      </c>
    </row>
    <row r="104" spans="1:54" ht="15" customHeight="1">
      <c r="A104" s="417"/>
      <c r="B104" s="828"/>
      <c r="C104" s="779">
        <f>C105-$G$439</f>
        <v>0.2</v>
      </c>
      <c r="D104" s="490">
        <f t="shared" ref="D104:D109" si="189">IFERROR(Z91/$G$430,0)</f>
        <v>1.6826863298128725</v>
      </c>
      <c r="E104" s="490">
        <f t="shared" si="180"/>
        <v>1.6326365766215012</v>
      </c>
      <c r="F104" s="490">
        <f t="shared" si="181"/>
        <v>1.5825868234301295</v>
      </c>
      <c r="G104" s="490">
        <f t="shared" si="182"/>
        <v>1.5325370702387577</v>
      </c>
      <c r="H104" s="490">
        <f t="shared" si="183"/>
        <v>1.4824873170473862</v>
      </c>
      <c r="I104" s="490">
        <f t="shared" si="184"/>
        <v>1.4324375638560147</v>
      </c>
      <c r="J104" s="490">
        <f t="shared" si="185"/>
        <v>1.3823878106646432</v>
      </c>
      <c r="K104" s="490">
        <f t="shared" si="186"/>
        <v>1.3323380574732711</v>
      </c>
      <c r="L104" s="490">
        <f t="shared" si="187"/>
        <v>1.2822883042818993</v>
      </c>
      <c r="M104" s="417"/>
      <c r="N104" s="417"/>
      <c r="O104" s="417"/>
      <c r="P104" s="417"/>
      <c r="Q104" s="417"/>
      <c r="AT104" s="804">
        <f t="shared" ref="AT104:BB104" si="190">IF(Z131&lt;$G$449,0,MIN($G$446,1+IFERROR(INT((Z131-$G$449)/$G$463),0)))</f>
        <v>0</v>
      </c>
      <c r="AU104" s="804">
        <f t="shared" si="190"/>
        <v>0</v>
      </c>
      <c r="AV104" s="804">
        <f t="shared" si="190"/>
        <v>0</v>
      </c>
      <c r="AW104" s="804">
        <f t="shared" si="190"/>
        <v>0</v>
      </c>
      <c r="AX104" s="804">
        <f t="shared" si="190"/>
        <v>0</v>
      </c>
      <c r="AY104" s="804">
        <f t="shared" si="190"/>
        <v>0</v>
      </c>
      <c r="AZ104" s="804">
        <f t="shared" si="190"/>
        <v>0</v>
      </c>
      <c r="BA104" s="804">
        <f t="shared" si="190"/>
        <v>0</v>
      </c>
      <c r="BB104" s="804">
        <f t="shared" si="190"/>
        <v>1</v>
      </c>
    </row>
    <row r="105" spans="1:54" ht="15" customHeight="1">
      <c r="A105" s="417"/>
      <c r="B105" s="828"/>
      <c r="C105" s="779">
        <f>C106-$G$439</f>
        <v>0.25</v>
      </c>
      <c r="D105" s="490">
        <f t="shared" si="189"/>
        <v>1.8825290780395039</v>
      </c>
      <c r="E105" s="490">
        <f t="shared" si="180"/>
        <v>1.8221916411297681</v>
      </c>
      <c r="F105" s="490">
        <f t="shared" si="181"/>
        <v>1.7618542042200316</v>
      </c>
      <c r="G105" s="490">
        <f t="shared" si="182"/>
        <v>1.7015167673102962</v>
      </c>
      <c r="H105" s="490">
        <f t="shared" si="183"/>
        <v>1.64117933040056</v>
      </c>
      <c r="I105" s="490">
        <f t="shared" si="184"/>
        <v>1.5808418934908244</v>
      </c>
      <c r="J105" s="490">
        <f t="shared" si="185"/>
        <v>1.5205044565810883</v>
      </c>
      <c r="K105" s="490">
        <f t="shared" si="186"/>
        <v>1.4601670196713525</v>
      </c>
      <c r="L105" s="490">
        <f t="shared" si="187"/>
        <v>1.3998295827616167</v>
      </c>
      <c r="M105" s="417"/>
      <c r="N105" s="417"/>
      <c r="O105" s="417"/>
      <c r="P105" s="417"/>
      <c r="Q105" s="417"/>
      <c r="AT105" s="804">
        <f t="shared" ref="AT105:BB105" si="191">IF(Z132&lt;$G$449,0,MIN($G$446,1+IFERROR(INT((Z132-$G$449)/$G$463),0)))</f>
        <v>0</v>
      </c>
      <c r="AU105" s="804">
        <f t="shared" si="191"/>
        <v>0</v>
      </c>
      <c r="AV105" s="804">
        <f t="shared" si="191"/>
        <v>0</v>
      </c>
      <c r="AW105" s="804">
        <f t="shared" si="191"/>
        <v>0</v>
      </c>
      <c r="AX105" s="804">
        <f t="shared" si="191"/>
        <v>0</v>
      </c>
      <c r="AY105" s="804">
        <f t="shared" si="191"/>
        <v>0</v>
      </c>
      <c r="AZ105" s="804">
        <f t="shared" si="191"/>
        <v>0</v>
      </c>
      <c r="BA105" s="804">
        <f t="shared" si="191"/>
        <v>1</v>
      </c>
      <c r="BB105" s="804">
        <f t="shared" si="191"/>
        <v>3</v>
      </c>
    </row>
    <row r="106" spans="1:54" ht="15" customHeight="1">
      <c r="A106" s="417"/>
      <c r="B106" s="828"/>
      <c r="C106" s="779">
        <f>$G$438</f>
        <v>0.3</v>
      </c>
      <c r="D106" s="490">
        <f t="shared" si="189"/>
        <v>2.0834465313018793</v>
      </c>
      <c r="E106" s="490">
        <f t="shared" si="180"/>
        <v>2.0127646567304249</v>
      </c>
      <c r="F106" s="490">
        <f t="shared" si="181"/>
        <v>1.9420827821589708</v>
      </c>
      <c r="G106" s="490">
        <f t="shared" si="182"/>
        <v>1.8714009075875171</v>
      </c>
      <c r="H106" s="782">
        <f t="shared" si="183"/>
        <v>1.8007190330160623</v>
      </c>
      <c r="I106" s="490">
        <f t="shared" si="184"/>
        <v>1.7300371584446086</v>
      </c>
      <c r="J106" s="490">
        <f t="shared" si="185"/>
        <v>1.6593552838731545</v>
      </c>
      <c r="K106" s="490">
        <f t="shared" si="186"/>
        <v>1.5886734093017001</v>
      </c>
      <c r="L106" s="490">
        <f t="shared" si="187"/>
        <v>1.5179915347302462</v>
      </c>
      <c r="M106" s="417"/>
      <c r="N106" s="417"/>
      <c r="O106" s="417"/>
      <c r="P106" s="417"/>
      <c r="Q106" s="417"/>
      <c r="AT106" s="804">
        <f t="shared" ref="AT106:BB106" si="192">IF(Z133&lt;$G$449,0,MIN($G$446,1+IFERROR(INT((Z133-$G$449)/$G$463),0)))</f>
        <v>0</v>
      </c>
      <c r="AU106" s="804">
        <f t="shared" si="192"/>
        <v>0</v>
      </c>
      <c r="AV106" s="804">
        <f t="shared" si="192"/>
        <v>0</v>
      </c>
      <c r="AW106" s="804">
        <f t="shared" si="192"/>
        <v>0</v>
      </c>
      <c r="AX106" s="804">
        <f t="shared" si="192"/>
        <v>0</v>
      </c>
      <c r="AY106" s="804">
        <f t="shared" si="192"/>
        <v>1</v>
      </c>
      <c r="AZ106" s="804">
        <f t="shared" si="192"/>
        <v>2</v>
      </c>
      <c r="BA106" s="804">
        <f t="shared" si="192"/>
        <v>3</v>
      </c>
      <c r="BB106" s="804">
        <f t="shared" si="192"/>
        <v>5</v>
      </c>
    </row>
    <row r="107" spans="1:54" ht="15" customHeight="1">
      <c r="A107" s="417"/>
      <c r="B107" s="828"/>
      <c r="C107" s="779">
        <f>C106+$G$439</f>
        <v>0.35</v>
      </c>
      <c r="D107" s="490">
        <f t="shared" si="189"/>
        <v>2.2854481168371543</v>
      </c>
      <c r="E107" s="490">
        <f t="shared" si="180"/>
        <v>2.2043645528190199</v>
      </c>
      <c r="F107" s="490">
        <f t="shared" si="181"/>
        <v>2.123280988800885</v>
      </c>
      <c r="G107" s="490">
        <f t="shared" si="182"/>
        <v>2.0421974247827506</v>
      </c>
      <c r="H107" s="490">
        <f t="shared" si="183"/>
        <v>1.9611138607646152</v>
      </c>
      <c r="I107" s="490">
        <f t="shared" si="184"/>
        <v>1.8800302967464808</v>
      </c>
      <c r="J107" s="490">
        <f t="shared" si="185"/>
        <v>1.7989467327283455</v>
      </c>
      <c r="K107" s="490">
        <f t="shared" si="186"/>
        <v>1.7178631687102106</v>
      </c>
      <c r="L107" s="490">
        <f t="shared" si="187"/>
        <v>1.6367796046920757</v>
      </c>
      <c r="M107" s="417"/>
      <c r="N107" s="417"/>
      <c r="O107" s="417"/>
      <c r="P107" s="417"/>
      <c r="Q107" s="417"/>
      <c r="AT107" s="804">
        <f t="shared" ref="AT107:BB107" si="193">IF(Z134&lt;$G$449,0,MIN($G$446,1+IFERROR(INT((Z134-$G$449)/$G$463),0)))</f>
        <v>0</v>
      </c>
      <c r="AU107" s="804">
        <f t="shared" si="193"/>
        <v>0</v>
      </c>
      <c r="AV107" s="804">
        <f t="shared" si="193"/>
        <v>1</v>
      </c>
      <c r="AW107" s="804">
        <f t="shared" si="193"/>
        <v>2</v>
      </c>
      <c r="AX107" s="804">
        <f t="shared" si="193"/>
        <v>3</v>
      </c>
      <c r="AY107" s="804">
        <f t="shared" si="193"/>
        <v>4</v>
      </c>
      <c r="AZ107" s="804">
        <f t="shared" si="193"/>
        <v>5</v>
      </c>
      <c r="BA107" s="804">
        <f t="shared" si="193"/>
        <v>6</v>
      </c>
      <c r="BB107" s="804">
        <f t="shared" si="193"/>
        <v>7</v>
      </c>
    </row>
    <row r="108" spans="1:54" ht="15" customHeight="1">
      <c r="A108" s="417"/>
      <c r="B108" s="828"/>
      <c r="C108" s="779">
        <f>C107+$G$439</f>
        <v>0.39999999999999997</v>
      </c>
      <c r="D108" s="490">
        <f t="shared" si="189"/>
        <v>2.4885433724659136</v>
      </c>
      <c r="E108" s="490">
        <f t="shared" si="180"/>
        <v>2.3970003635347434</v>
      </c>
      <c r="F108" s="490">
        <f t="shared" si="181"/>
        <v>2.3054573546035724</v>
      </c>
      <c r="G108" s="490">
        <f t="shared" si="182"/>
        <v>2.2139143456724022</v>
      </c>
      <c r="H108" s="490">
        <f t="shared" si="183"/>
        <v>2.1223713367412311</v>
      </c>
      <c r="I108" s="490">
        <f t="shared" si="184"/>
        <v>2.0308283278100605</v>
      </c>
      <c r="J108" s="490">
        <f t="shared" si="185"/>
        <v>1.9392853188788903</v>
      </c>
      <c r="K108" s="490">
        <f t="shared" si="186"/>
        <v>1.8477423099477195</v>
      </c>
      <c r="L108" s="490">
        <f t="shared" si="187"/>
        <v>1.7561993010165491</v>
      </c>
      <c r="M108" s="417"/>
      <c r="N108" s="417"/>
      <c r="O108" s="417"/>
      <c r="P108" s="417"/>
      <c r="Q108" s="417"/>
      <c r="AT108" s="804">
        <f t="shared" ref="AT108:BB108" si="194">IF(Z135&lt;$G$449,0,MIN($G$446,1+IFERROR(INT((Z135-$G$449)/$G$463),0)))</f>
        <v>2</v>
      </c>
      <c r="AU108" s="804">
        <f t="shared" si="194"/>
        <v>3</v>
      </c>
      <c r="AV108" s="804">
        <f t="shared" si="194"/>
        <v>4</v>
      </c>
      <c r="AW108" s="804">
        <f t="shared" si="194"/>
        <v>5</v>
      </c>
      <c r="AX108" s="804">
        <f t="shared" si="194"/>
        <v>5</v>
      </c>
      <c r="AY108" s="804">
        <f t="shared" si="194"/>
        <v>6</v>
      </c>
      <c r="AZ108" s="804">
        <f t="shared" si="194"/>
        <v>7</v>
      </c>
      <c r="BA108" s="804">
        <f t="shared" si="194"/>
        <v>8</v>
      </c>
      <c r="BB108" s="804">
        <f t="shared" si="194"/>
        <v>9</v>
      </c>
    </row>
    <row r="109" spans="1:54" ht="15" customHeight="1">
      <c r="A109" s="417"/>
      <c r="B109" s="829"/>
      <c r="C109" s="780">
        <f>C108+$G$439</f>
        <v>0.44999999999999996</v>
      </c>
      <c r="D109" s="783">
        <f t="shared" si="189"/>
        <v>2.6927419482183916</v>
      </c>
      <c r="E109" s="783">
        <f t="shared" si="180"/>
        <v>2.5906812293007744</v>
      </c>
      <c r="F109" s="783">
        <f t="shared" si="181"/>
        <v>2.4886205103831567</v>
      </c>
      <c r="G109" s="783">
        <f t="shared" si="182"/>
        <v>2.3865597914655399</v>
      </c>
      <c r="H109" s="783">
        <f t="shared" si="183"/>
        <v>2.2844990725479222</v>
      </c>
      <c r="I109" s="783">
        <f t="shared" si="184"/>
        <v>2.1824383536303049</v>
      </c>
      <c r="J109" s="783">
        <f t="shared" si="185"/>
        <v>2.0803776347126872</v>
      </c>
      <c r="K109" s="783">
        <f t="shared" si="186"/>
        <v>1.97831691579507</v>
      </c>
      <c r="L109" s="783">
        <f t="shared" si="187"/>
        <v>1.8762561968774523</v>
      </c>
      <c r="M109" s="417"/>
      <c r="N109" s="417"/>
      <c r="O109" s="417"/>
      <c r="P109" s="417"/>
      <c r="Q109" s="417"/>
      <c r="AT109" s="804">
        <f t="shared" ref="AT109:BB109" si="195">IF(Z136&lt;$G$449,0,MIN($G$446,1+IFERROR(INT((Z136-$G$449)/$G$463),0)))</f>
        <v>6</v>
      </c>
      <c r="AU109" s="804">
        <f t="shared" si="195"/>
        <v>6</v>
      </c>
      <c r="AV109" s="804">
        <f t="shared" si="195"/>
        <v>7</v>
      </c>
      <c r="AW109" s="804">
        <f t="shared" si="195"/>
        <v>7</v>
      </c>
      <c r="AX109" s="804">
        <f t="shared" si="195"/>
        <v>8</v>
      </c>
      <c r="AY109" s="804">
        <f t="shared" si="195"/>
        <v>9</v>
      </c>
      <c r="AZ109" s="804">
        <f t="shared" si="195"/>
        <v>9</v>
      </c>
      <c r="BA109" s="804">
        <f t="shared" si="195"/>
        <v>10</v>
      </c>
      <c r="BB109" s="804">
        <f t="shared" si="195"/>
        <v>10</v>
      </c>
    </row>
    <row r="110" spans="1:54" ht="15" hidden="1" customHeight="1" outlineLevel="1">
      <c r="A110" s="417"/>
      <c r="B110" s="423" t="s">
        <v>2774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2568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109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109" ht="12.75" customHeight="1">
      <c r="A114" s="417"/>
      <c r="B114" s="454"/>
      <c r="C114" s="454"/>
      <c r="D114" s="767" t="s">
        <v>2565</v>
      </c>
      <c r="E114" s="767"/>
      <c r="F114" s="767"/>
      <c r="G114" s="767"/>
      <c r="H114" s="767"/>
      <c r="I114" s="767"/>
      <c r="J114" s="767"/>
      <c r="K114" s="767"/>
      <c r="L114" s="767"/>
      <c r="M114" s="417"/>
      <c r="N114" s="417"/>
      <c r="O114" s="417"/>
      <c r="P114" s="417"/>
      <c r="Q114" s="417"/>
      <c r="BD114" s="772" t="s">
        <v>2803</v>
      </c>
      <c r="BE114" s="772"/>
      <c r="BF114" s="772"/>
      <c r="BG114" s="772"/>
      <c r="BH114" s="772"/>
      <c r="BI114" s="772"/>
      <c r="BJ114" s="772" t="s">
        <v>2804</v>
      </c>
      <c r="BK114" s="772"/>
      <c r="BL114" s="772"/>
      <c r="BM114" s="772"/>
      <c r="BN114" s="772"/>
      <c r="BO114" s="772"/>
      <c r="BP114" s="772" t="s">
        <v>2805</v>
      </c>
      <c r="BQ114" s="772"/>
      <c r="BR114" s="772"/>
      <c r="BS114" s="772"/>
      <c r="BT114" s="772"/>
      <c r="BU114" s="772"/>
      <c r="BV114" s="772" t="s">
        <v>2806</v>
      </c>
      <c r="BW114" s="772"/>
      <c r="BX114" s="772"/>
      <c r="BY114" s="772"/>
      <c r="BZ114" s="772"/>
      <c r="CA114" s="772"/>
      <c r="CB114" s="772" t="s">
        <v>2807</v>
      </c>
      <c r="CC114" s="772"/>
      <c r="CD114" s="772"/>
      <c r="CE114" s="772"/>
      <c r="CF114" s="772"/>
      <c r="CG114" s="772"/>
      <c r="CH114" s="772" t="s">
        <v>2808</v>
      </c>
      <c r="CI114" s="772"/>
      <c r="CJ114" s="772"/>
      <c r="CK114" s="772"/>
      <c r="CL114" s="772"/>
      <c r="CM114" s="772"/>
      <c r="CN114" s="772" t="s">
        <v>2809</v>
      </c>
      <c r="CO114" s="772"/>
      <c r="CP114" s="772"/>
      <c r="CQ114" s="772"/>
      <c r="CR114" s="772"/>
      <c r="CS114" s="772"/>
      <c r="CT114" s="772" t="s">
        <v>2810</v>
      </c>
      <c r="CU114" s="772"/>
      <c r="CV114" s="772"/>
      <c r="CW114" s="772"/>
      <c r="CX114" s="772"/>
      <c r="CY114" s="772"/>
      <c r="CZ114" s="772" t="s">
        <v>2811</v>
      </c>
      <c r="DA114" s="772"/>
      <c r="DB114" s="772"/>
      <c r="DC114" s="772"/>
      <c r="DD114" s="772"/>
      <c r="DE114" s="772"/>
    </row>
    <row r="115" spans="1:109" ht="12.75" customHeight="1">
      <c r="A115" s="417"/>
      <c r="B115" s="454"/>
      <c r="C115" s="454"/>
      <c r="D115" s="799">
        <f>E115+$G$458</f>
        <v>76</v>
      </c>
      <c r="E115" s="799">
        <f>F115+$G$458</f>
        <v>72</v>
      </c>
      <c r="F115" s="799">
        <f>G115+$G$458</f>
        <v>68</v>
      </c>
      <c r="G115" s="799">
        <f>H115+$G$458</f>
        <v>64</v>
      </c>
      <c r="H115" s="799">
        <f>$G$457</f>
        <v>60</v>
      </c>
      <c r="I115" s="799">
        <f>H115-$G$458</f>
        <v>56</v>
      </c>
      <c r="J115" s="799">
        <f>I115-$G$458</f>
        <v>52</v>
      </c>
      <c r="K115" s="799">
        <f>J115-$G$458</f>
        <v>48</v>
      </c>
      <c r="L115" s="799">
        <f>K115-$G$458</f>
        <v>44</v>
      </c>
      <c r="M115" s="417"/>
      <c r="N115" s="417"/>
      <c r="O115" s="417"/>
      <c r="P115" s="417"/>
      <c r="Q115" s="417"/>
      <c r="AT115" s="772" t="s">
        <v>2614</v>
      </c>
      <c r="AU115" s="427"/>
      <c r="AV115" s="427"/>
      <c r="AW115" s="427"/>
      <c r="AX115" s="427"/>
      <c r="AY115" s="427"/>
      <c r="AZ115" s="427"/>
      <c r="BA115" s="427"/>
      <c r="BB115" s="427"/>
      <c r="BD115" s="818">
        <f>$S$9</f>
        <v>0</v>
      </c>
      <c r="BE115" s="818">
        <f>$T$9</f>
        <v>1</v>
      </c>
      <c r="BF115" s="818">
        <f>$U$9</f>
        <v>2</v>
      </c>
      <c r="BG115" s="818">
        <f>$V$9</f>
        <v>3</v>
      </c>
      <c r="BH115" s="818">
        <f>$W$9</f>
        <v>4</v>
      </c>
      <c r="BI115" s="818">
        <f>$X$9</f>
        <v>5</v>
      </c>
      <c r="BJ115" s="818">
        <f>$S$9</f>
        <v>0</v>
      </c>
      <c r="BK115" s="818">
        <f>$T$9</f>
        <v>1</v>
      </c>
      <c r="BL115" s="818">
        <f>$U$9</f>
        <v>2</v>
      </c>
      <c r="BM115" s="818">
        <f>$V$9</f>
        <v>3</v>
      </c>
      <c r="BN115" s="818">
        <f>$W$9</f>
        <v>4</v>
      </c>
      <c r="BO115" s="818">
        <f>$X$9</f>
        <v>5</v>
      </c>
      <c r="BP115" s="818">
        <f>$S$9</f>
        <v>0</v>
      </c>
      <c r="BQ115" s="818">
        <f>$T$9</f>
        <v>1</v>
      </c>
      <c r="BR115" s="818">
        <f>$U$9</f>
        <v>2</v>
      </c>
      <c r="BS115" s="818">
        <f>$V$9</f>
        <v>3</v>
      </c>
      <c r="BT115" s="818">
        <f>$W$9</f>
        <v>4</v>
      </c>
      <c r="BU115" s="818">
        <f>$X$9</f>
        <v>5</v>
      </c>
      <c r="BV115" s="818">
        <f>$S$9</f>
        <v>0</v>
      </c>
      <c r="BW115" s="818">
        <f>$T$9</f>
        <v>1</v>
      </c>
      <c r="BX115" s="818">
        <f>$U$9</f>
        <v>2</v>
      </c>
      <c r="BY115" s="818">
        <f>$V$9</f>
        <v>3</v>
      </c>
      <c r="BZ115" s="818">
        <f>$W$9</f>
        <v>4</v>
      </c>
      <c r="CA115" s="818">
        <f>$X$9</f>
        <v>5</v>
      </c>
      <c r="CB115" s="818">
        <f>$S$9</f>
        <v>0</v>
      </c>
      <c r="CC115" s="818">
        <f>$T$9</f>
        <v>1</v>
      </c>
      <c r="CD115" s="818">
        <f>$U$9</f>
        <v>2</v>
      </c>
      <c r="CE115" s="818">
        <f>$V$9</f>
        <v>3</v>
      </c>
      <c r="CF115" s="818">
        <f>$W$9</f>
        <v>4</v>
      </c>
      <c r="CG115" s="818">
        <f>$X$9</f>
        <v>5</v>
      </c>
      <c r="CH115" s="818">
        <f>$S$9</f>
        <v>0</v>
      </c>
      <c r="CI115" s="818">
        <f>$T$9</f>
        <v>1</v>
      </c>
      <c r="CJ115" s="818">
        <f>$U$9</f>
        <v>2</v>
      </c>
      <c r="CK115" s="818">
        <f>$V$9</f>
        <v>3</v>
      </c>
      <c r="CL115" s="818">
        <f>$W$9</f>
        <v>4</v>
      </c>
      <c r="CM115" s="818">
        <f>$X$9</f>
        <v>5</v>
      </c>
      <c r="CN115" s="818">
        <f>$S$9</f>
        <v>0</v>
      </c>
      <c r="CO115" s="818">
        <f>$T$9</f>
        <v>1</v>
      </c>
      <c r="CP115" s="818">
        <f>$U$9</f>
        <v>2</v>
      </c>
      <c r="CQ115" s="818">
        <f>$V$9</f>
        <v>3</v>
      </c>
      <c r="CR115" s="818">
        <f>$W$9</f>
        <v>4</v>
      </c>
      <c r="CS115" s="818">
        <f>$X$9</f>
        <v>5</v>
      </c>
      <c r="CT115" s="818">
        <f>$S$9</f>
        <v>0</v>
      </c>
      <c r="CU115" s="818">
        <f>$T$9</f>
        <v>1</v>
      </c>
      <c r="CV115" s="818">
        <f>$U$9</f>
        <v>2</v>
      </c>
      <c r="CW115" s="818">
        <f>$V$9</f>
        <v>3</v>
      </c>
      <c r="CX115" s="818">
        <f>$W$9</f>
        <v>4</v>
      </c>
      <c r="CY115" s="818">
        <f>$X$9</f>
        <v>5</v>
      </c>
      <c r="CZ115" s="818">
        <f>$S$9</f>
        <v>0</v>
      </c>
      <c r="DA115" s="818">
        <f>$T$9</f>
        <v>1</v>
      </c>
      <c r="DB115" s="818">
        <f>$U$9</f>
        <v>2</v>
      </c>
      <c r="DC115" s="818">
        <f>$V$9</f>
        <v>3</v>
      </c>
      <c r="DD115" s="818">
        <f>$W$9</f>
        <v>4</v>
      </c>
      <c r="DE115" s="818">
        <f>$X$9</f>
        <v>5</v>
      </c>
    </row>
    <row r="116" spans="1:109" ht="15" customHeight="1">
      <c r="A116" s="417"/>
      <c r="B116" s="827" t="s">
        <v>2526</v>
      </c>
      <c r="C116" s="779">
        <f>C117-$G$439</f>
        <v>0.15000000000000002</v>
      </c>
      <c r="D116" s="631">
        <f t="shared" ref="D116:D122" si="196">IFERROR(IRR(BD116:BI116),0)</f>
        <v>0.2368307259970801</v>
      </c>
      <c r="E116" s="631">
        <f t="shared" ref="E116:E122" si="197">IFERROR(IRR(BJ116:BO116),0)</f>
        <v>0.23245552563345284</v>
      </c>
      <c r="F116" s="631">
        <f t="shared" ref="F116:F122" si="198">IFERROR(IRR(BP116:BU116),0)</f>
        <v>0.22801730070284476</v>
      </c>
      <c r="G116" s="631">
        <f t="shared" ref="G116:G122" si="199">IFERROR(IRR(BV116:CA116),0)</f>
        <v>0.22351397098095327</v>
      </c>
      <c r="H116" s="631">
        <f t="shared" ref="H116:H122" si="200">IFERROR(IRR(CB116:CG116),0)</f>
        <v>0.2189433474385134</v>
      </c>
      <c r="I116" s="631">
        <f t="shared" ref="I116:I122" si="201">IFERROR(IRR(CH116:CM116),0)</f>
        <v>0.21430312437051136</v>
      </c>
      <c r="J116" s="631">
        <f t="shared" ref="J116:J122" si="202">IFERROR(IRR(CN116:CS116),0)</f>
        <v>0.20959087079222782</v>
      </c>
      <c r="K116" s="631">
        <f t="shared" ref="K116:K122" si="203">IFERROR(IRR(CT116:CY116),0)</f>
        <v>0.20480402101793826</v>
      </c>
      <c r="L116" s="631">
        <f t="shared" ref="L116:L122" si="204">IFERROR(IRR(CZ116:DE116),0)</f>
        <v>0.19993986432656286</v>
      </c>
      <c r="M116" s="417"/>
      <c r="N116" s="417"/>
      <c r="O116" s="417"/>
      <c r="P116" s="417"/>
      <c r="Q116" s="417"/>
      <c r="AT116" s="804">
        <f>IF(Z130&lt;$G$449,0,MIN($G$446,1+IFERROR(INT((Z130-$G$449)/$G$463),0)))</f>
        <v>0</v>
      </c>
      <c r="AU116" s="804">
        <f t="shared" ref="AU116:BB116" si="205">IF(AA130&lt;$G$449,0,MIN($G$446,1+IFERROR(INT((AA130-$G$449)/$G$463),0)))</f>
        <v>0</v>
      </c>
      <c r="AV116" s="804">
        <f t="shared" si="205"/>
        <v>0</v>
      </c>
      <c r="AW116" s="804">
        <f t="shared" si="205"/>
        <v>0</v>
      </c>
      <c r="AX116" s="804">
        <f t="shared" si="205"/>
        <v>0</v>
      </c>
      <c r="AY116" s="804">
        <f t="shared" si="205"/>
        <v>0</v>
      </c>
      <c r="AZ116" s="804">
        <f t="shared" si="205"/>
        <v>0</v>
      </c>
      <c r="BA116" s="804">
        <f t="shared" si="205"/>
        <v>0</v>
      </c>
      <c r="BB116" s="804">
        <f t="shared" si="205"/>
        <v>0</v>
      </c>
      <c r="BD116" s="428">
        <f t="shared" ref="BD116:BD122" si="206">(BD$115=0)*($O90-$G$430)+(BD$115=$G$444)*$G$435+(BD$115=$G$445)*(Z90+$G$430-$O90-$G$435)</f>
        <v>-2350</v>
      </c>
      <c r="BE116" s="428">
        <f t="shared" ref="BE116:BE122" si="207">(BE$115=0)*($O90-$G$430)+(BE$115=$G$444)*$G$435+(BE$115=$G$445)*(Z90+$G$430-$O90-$G$435)</f>
        <v>0</v>
      </c>
      <c r="BF116" s="428">
        <f t="shared" ref="BF116:BF122" si="208">(BF$115=0)*($O90-$G$430)+(BF$115=$G$444)*$G$435+(BF$115=$G$445)*(Z90+$G$430-$O90-$G$435)</f>
        <v>0</v>
      </c>
      <c r="BG116" s="428">
        <f t="shared" ref="BG116:BG122" si="209">(BG$115=0)*($O90-$G$430)+(BG$115=$G$444)*$G$435+(BG$115=$G$445)*(Z90+$G$430-$O90-$G$435)</f>
        <v>0</v>
      </c>
      <c r="BH116" s="428">
        <f t="shared" ref="BH116:BH122" si="210">(BH$115=0)*($O90-$G$430)+(BH$115=$G$444)*$G$435+(BH$115=$G$445)*(Z90+$G$430-$O90-$G$435)</f>
        <v>0</v>
      </c>
      <c r="BI116" s="428">
        <f t="shared" ref="BI116:BJ122" si="211">(BI$115=0)*($O90-$G$430)+(BI$115=$G$444)*$G$435+(BI$115=$G$445)*(Z90+$G$430-$O90-$G$435)</f>
        <v>6801.726905110696</v>
      </c>
      <c r="BJ116" s="428">
        <f t="shared" si="211"/>
        <v>-2350</v>
      </c>
      <c r="BK116" s="428">
        <f t="shared" ref="BK116:BK122" si="212">(BK$115=0)*($O90-$G$430)+(BK$115=$G$444)*$G$435+(BK$115=$G$445)*(AA90+$G$430-$O90-$G$435)</f>
        <v>0</v>
      </c>
      <c r="BL116" s="428">
        <f t="shared" ref="BL116:BL122" si="213">(BL$115=0)*($O90-$G$430)+(BL$115=$G$444)*$G$435+(BL$115=$G$445)*(AA90+$G$430-$O90-$G$435)</f>
        <v>0</v>
      </c>
      <c r="BM116" s="428">
        <f t="shared" ref="BM116:BM122" si="214">(BM$115=0)*($O90-$G$430)+(BM$115=$G$444)*$G$435+(BM$115=$G$445)*(AA90+$G$430-$O90-$G$435)</f>
        <v>0</v>
      </c>
      <c r="BN116" s="428">
        <f t="shared" ref="BN116:BN122" si="215">(BN$115=0)*($O90-$G$430)+(BN$115=$G$444)*$G$435+(BN$115=$G$445)*(AA90+$G$430-$O90-$G$435)</f>
        <v>0</v>
      </c>
      <c r="BO116" s="428">
        <f t="shared" ref="BO116:BP122" si="216">(BO$115=0)*($O90-$G$430)+(BO$115=$G$444)*$G$435+(BO$115=$G$445)*(AA90+$G$430-$O90-$G$435)</f>
        <v>6682.2719111202532</v>
      </c>
      <c r="BP116" s="428">
        <f t="shared" si="216"/>
        <v>-2350</v>
      </c>
      <c r="BQ116" s="428">
        <f t="shared" ref="BQ116:BQ122" si="217">(BQ$115=0)*($O90-$G$430)+(BQ$115=$G$444)*$G$435+(BQ$115=$G$445)*(AB90+$G$430-$O90-$G$435)</f>
        <v>0</v>
      </c>
      <c r="BR116" s="428">
        <f t="shared" ref="BR116:BR122" si="218">(BR$115=0)*($O90-$G$430)+(BR$115=$G$444)*$G$435+(BR$115=$G$445)*(AB90+$G$430-$O90-$G$435)</f>
        <v>0</v>
      </c>
      <c r="BS116" s="428">
        <f t="shared" ref="BS116:BS122" si="219">(BS$115=0)*($O90-$G$430)+(BS$115=$G$444)*$G$435+(BS$115=$G$445)*(AB90+$G$430-$O90-$G$435)</f>
        <v>0</v>
      </c>
      <c r="BT116" s="428">
        <f t="shared" ref="BT116:BT122" si="220">(BT$115=0)*($O90-$G$430)+(BT$115=$G$444)*$G$435+(BT$115=$G$445)*(AB90+$G$430-$O90-$G$435)</f>
        <v>0</v>
      </c>
      <c r="BU116" s="428">
        <f t="shared" ref="BU116:BV122" si="221">(BU$115=0)*($O90-$G$430)+(BU$115=$G$444)*$G$435+(BU$115=$G$445)*(AB90+$G$430-$O90-$G$435)</f>
        <v>6562.8169171298114</v>
      </c>
      <c r="BV116" s="428">
        <f t="shared" si="221"/>
        <v>-2350</v>
      </c>
      <c r="BW116" s="428">
        <f t="shared" ref="BW116:BW122" si="222">(BW$115=0)*($O90-$G$430)+(BW$115=$G$444)*$G$435+(BW$115=$G$445)*(AC90+$G$430-$O90-$G$435)</f>
        <v>0</v>
      </c>
      <c r="BX116" s="428">
        <f t="shared" ref="BX116:BX122" si="223">(BX$115=0)*($O90-$G$430)+(BX$115=$G$444)*$G$435+(BX$115=$G$445)*(AC90+$G$430-$O90-$G$435)</f>
        <v>0</v>
      </c>
      <c r="BY116" s="428">
        <f t="shared" ref="BY116:BY122" si="224">(BY$115=0)*($O90-$G$430)+(BY$115=$G$444)*$G$435+(BY$115=$G$445)*(AC90+$G$430-$O90-$G$435)</f>
        <v>0</v>
      </c>
      <c r="BZ116" s="428">
        <f t="shared" ref="BZ116:BZ122" si="225">(BZ$115=0)*($O90-$G$430)+(BZ$115=$G$444)*$G$435+(BZ$115=$G$445)*(AC90+$G$430-$O90-$G$435)</f>
        <v>0</v>
      </c>
      <c r="CA116" s="428">
        <f t="shared" ref="CA116:CB122" si="226">(CA$115=0)*($O90-$G$430)+(CA$115=$G$444)*$G$435+(CA$115=$G$445)*(AC90+$G$430-$O90-$G$435)</f>
        <v>6443.3619231393695</v>
      </c>
      <c r="CB116" s="428">
        <f t="shared" si="226"/>
        <v>-2350</v>
      </c>
      <c r="CC116" s="428">
        <f t="shared" ref="CC116:CC122" si="227">(CC$115=0)*($O90-$G$430)+(CC$115=$G$444)*$G$435+(CC$115=$G$445)*(AD90+$G$430-$O90-$G$435)</f>
        <v>0</v>
      </c>
      <c r="CD116" s="428">
        <f t="shared" ref="CD116:CD122" si="228">(CD$115=0)*($O90-$G$430)+(CD$115=$G$444)*$G$435+(CD$115=$G$445)*(AD90+$G$430-$O90-$G$435)</f>
        <v>0</v>
      </c>
      <c r="CE116" s="428">
        <f t="shared" ref="CE116:CE122" si="229">(CE$115=0)*($O90-$G$430)+(CE$115=$G$444)*$G$435+(CE$115=$G$445)*(AD90+$G$430-$O90-$G$435)</f>
        <v>0</v>
      </c>
      <c r="CF116" s="428">
        <f t="shared" ref="CF116:CF122" si="230">(CF$115=0)*($O90-$G$430)+(CF$115=$G$444)*$G$435+(CF$115=$G$445)*(AD90+$G$430-$O90-$G$435)</f>
        <v>0</v>
      </c>
      <c r="CG116" s="428">
        <f t="shared" ref="CG116:CH122" si="231">(CG$115=0)*($O90-$G$430)+(CG$115=$G$444)*$G$435+(CG$115=$G$445)*(AD90+$G$430-$O90-$G$435)</f>
        <v>6323.9069291489268</v>
      </c>
      <c r="CH116" s="428">
        <f t="shared" si="231"/>
        <v>-2350</v>
      </c>
      <c r="CI116" s="428">
        <f t="shared" ref="CI116:CI122" si="232">(CI$115=0)*($O90-$G$430)+(CI$115=$G$444)*$G$435+(CI$115=$G$445)*(AE90+$G$430-$O90-$G$435)</f>
        <v>0</v>
      </c>
      <c r="CJ116" s="428">
        <f t="shared" ref="CJ116:CJ122" si="233">(CJ$115=0)*($O90-$G$430)+(CJ$115=$G$444)*$G$435+(CJ$115=$G$445)*(AE90+$G$430-$O90-$G$435)</f>
        <v>0</v>
      </c>
      <c r="CK116" s="428">
        <f t="shared" ref="CK116:CK122" si="234">(CK$115=0)*($O90-$G$430)+(CK$115=$G$444)*$G$435+(CK$115=$G$445)*(AE90+$G$430-$O90-$G$435)</f>
        <v>0</v>
      </c>
      <c r="CL116" s="428">
        <f t="shared" ref="CL116:CL122" si="235">(CL$115=0)*($O90-$G$430)+(CL$115=$G$444)*$G$435+(CL$115=$G$445)*(AE90+$G$430-$O90-$G$435)</f>
        <v>0</v>
      </c>
      <c r="CM116" s="428">
        <f t="shared" ref="CM116:CN122" si="236">(CM$115=0)*($O90-$G$430)+(CM$115=$G$444)*$G$435+(CM$115=$G$445)*(AE90+$G$430-$O90-$G$435)</f>
        <v>6204.451935158484</v>
      </c>
      <c r="CN116" s="428">
        <f t="shared" si="236"/>
        <v>-2350</v>
      </c>
      <c r="CO116" s="428">
        <f t="shared" ref="CO116:CO122" si="237">(CO$115=0)*($O90-$G$430)+(CO$115=$G$444)*$G$435+(CO$115=$G$445)*(AF90+$G$430-$O90-$G$435)</f>
        <v>0</v>
      </c>
      <c r="CP116" s="428">
        <f t="shared" ref="CP116:CP122" si="238">(CP$115=0)*($O90-$G$430)+(CP$115=$G$444)*$G$435+(CP$115=$G$445)*(AF90+$G$430-$O90-$G$435)</f>
        <v>0</v>
      </c>
      <c r="CQ116" s="428">
        <f t="shared" ref="CQ116:CQ122" si="239">(CQ$115=0)*($O90-$G$430)+(CQ$115=$G$444)*$G$435+(CQ$115=$G$445)*(AF90+$G$430-$O90-$G$435)</f>
        <v>0</v>
      </c>
      <c r="CR116" s="428">
        <f t="shared" ref="CR116:CR122" si="240">(CR$115=0)*($O90-$G$430)+(CR$115=$G$444)*$G$435+(CR$115=$G$445)*(AF90+$G$430-$O90-$G$435)</f>
        <v>0</v>
      </c>
      <c r="CS116" s="428">
        <f t="shared" ref="CS116:CT122" si="241">(CS$115=0)*($O90-$G$430)+(CS$115=$G$444)*$G$435+(CS$115=$G$445)*(AF90+$G$430-$O90-$G$435)</f>
        <v>6084.9969411680422</v>
      </c>
      <c r="CT116" s="428">
        <f t="shared" si="241"/>
        <v>-2350</v>
      </c>
      <c r="CU116" s="428">
        <f t="shared" ref="CU116:CU122" si="242">(CU$115=0)*($O90-$G$430)+(CU$115=$G$444)*$G$435+(CU$115=$G$445)*(AG90+$G$430-$O90-$G$435)</f>
        <v>0</v>
      </c>
      <c r="CV116" s="428">
        <f t="shared" ref="CV116:CV122" si="243">(CV$115=0)*($O90-$G$430)+(CV$115=$G$444)*$G$435+(CV$115=$G$445)*(AG90+$G$430-$O90-$G$435)</f>
        <v>0</v>
      </c>
      <c r="CW116" s="428">
        <f t="shared" ref="CW116:CW122" si="244">(CW$115=0)*($O90-$G$430)+(CW$115=$G$444)*$G$435+(CW$115=$G$445)*(AG90+$G$430-$O90-$G$435)</f>
        <v>0</v>
      </c>
      <c r="CX116" s="428">
        <f t="shared" ref="CX116:CX122" si="245">(CX$115=0)*($O90-$G$430)+(CX$115=$G$444)*$G$435+(CX$115=$G$445)*(AG90+$G$430-$O90-$G$435)</f>
        <v>0</v>
      </c>
      <c r="CY116" s="428">
        <f t="shared" ref="CY116:CZ122" si="246">(CY$115=0)*($O90-$G$430)+(CY$115=$G$444)*$G$435+(CY$115=$G$445)*(AG90+$G$430-$O90-$G$435)</f>
        <v>5965.5419471776004</v>
      </c>
      <c r="CZ116" s="428">
        <f t="shared" si="246"/>
        <v>-2350</v>
      </c>
      <c r="DA116" s="428">
        <f t="shared" ref="DA116:DA122" si="247">(DA$115=0)*($O90-$G$430)+(DA$115=$G$444)*$G$435+(DA$115=$G$445)*(AH90+$G$430-$O90-$G$435)</f>
        <v>0</v>
      </c>
      <c r="DB116" s="428">
        <f t="shared" ref="DB116:DB122" si="248">(DB$115=0)*($O90-$G$430)+(DB$115=$G$444)*$G$435+(DB$115=$G$445)*(AH90+$G$430-$O90-$G$435)</f>
        <v>0</v>
      </c>
      <c r="DC116" s="428">
        <f t="shared" ref="DC116:DC122" si="249">(DC$115=0)*($O90-$G$430)+(DC$115=$G$444)*$G$435+(DC$115=$G$445)*(AH90+$G$430-$O90-$G$435)</f>
        <v>0</v>
      </c>
      <c r="DD116" s="428">
        <f t="shared" ref="DD116:DD122" si="250">(DD$115=0)*($O90-$G$430)+(DD$115=$G$444)*$G$435+(DD$115=$G$445)*(AH90+$G$430-$O90-$G$435)</f>
        <v>0</v>
      </c>
      <c r="DE116" s="428">
        <f t="shared" ref="DE116:DE122" si="251">(DE$115=0)*($O90-$G$430)+(DE$115=$G$444)*$G$435+(DE$115=$G$445)*(AH90+$G$430-$O90-$G$435)</f>
        <v>5846.0869531871576</v>
      </c>
    </row>
    <row r="117" spans="1:109" ht="15" customHeight="1">
      <c r="A117" s="417"/>
      <c r="B117" s="828"/>
      <c r="C117" s="779">
        <f>C118-$G$439</f>
        <v>0.2</v>
      </c>
      <c r="D117" s="631">
        <f t="shared" si="196"/>
        <v>0.25779535200650328</v>
      </c>
      <c r="E117" s="631">
        <f t="shared" si="197"/>
        <v>0.25264780776215412</v>
      </c>
      <c r="F117" s="631">
        <f t="shared" si="198"/>
        <v>0.24741423387932104</v>
      </c>
      <c r="G117" s="631">
        <f t="shared" si="199"/>
        <v>0.24209132615039941</v>
      </c>
      <c r="H117" s="631">
        <f t="shared" si="200"/>
        <v>0.23667557864272393</v>
      </c>
      <c r="I117" s="631">
        <f t="shared" si="201"/>
        <v>0.23116326661126396</v>
      </c>
      <c r="J117" s="631">
        <f t="shared" si="202"/>
        <v>0.22555042754124921</v>
      </c>
      <c r="K117" s="631">
        <f t="shared" si="203"/>
        <v>0.21983284006763681</v>
      </c>
      <c r="L117" s="631">
        <f t="shared" si="204"/>
        <v>0.21400600047721818</v>
      </c>
      <c r="M117" s="417"/>
      <c r="N117" s="417"/>
      <c r="O117" s="417"/>
      <c r="P117" s="417"/>
      <c r="Q117" s="417"/>
      <c r="AT117" s="804">
        <f t="shared" ref="AT117:BB117" si="252">IF(Z131&lt;$G$449,0,MIN($G$446,1+IFERROR(INT((Z131-$G$449)/$G$463),0)))</f>
        <v>0</v>
      </c>
      <c r="AU117" s="804">
        <f t="shared" si="252"/>
        <v>0</v>
      </c>
      <c r="AV117" s="804">
        <f t="shared" si="252"/>
        <v>0</v>
      </c>
      <c r="AW117" s="804">
        <f t="shared" si="252"/>
        <v>0</v>
      </c>
      <c r="AX117" s="804">
        <f t="shared" si="252"/>
        <v>0</v>
      </c>
      <c r="AY117" s="804">
        <f t="shared" si="252"/>
        <v>0</v>
      </c>
      <c r="AZ117" s="804">
        <f t="shared" si="252"/>
        <v>0</v>
      </c>
      <c r="BA117" s="804">
        <f t="shared" si="252"/>
        <v>0</v>
      </c>
      <c r="BB117" s="804">
        <f t="shared" si="252"/>
        <v>1</v>
      </c>
      <c r="BD117" s="428">
        <f t="shared" si="206"/>
        <v>-2350</v>
      </c>
      <c r="BE117" s="428">
        <f t="shared" si="207"/>
        <v>0</v>
      </c>
      <c r="BF117" s="428">
        <f t="shared" si="208"/>
        <v>0</v>
      </c>
      <c r="BG117" s="428">
        <f t="shared" si="209"/>
        <v>0</v>
      </c>
      <c r="BH117" s="428">
        <f t="shared" si="210"/>
        <v>0</v>
      </c>
      <c r="BI117" s="428">
        <f t="shared" si="211"/>
        <v>7398.0589894386176</v>
      </c>
      <c r="BJ117" s="428">
        <f t="shared" si="211"/>
        <v>-2350</v>
      </c>
      <c r="BK117" s="428">
        <f t="shared" si="212"/>
        <v>0</v>
      </c>
      <c r="BL117" s="428">
        <f t="shared" si="213"/>
        <v>0</v>
      </c>
      <c r="BM117" s="428">
        <f t="shared" si="214"/>
        <v>0</v>
      </c>
      <c r="BN117" s="428">
        <f t="shared" si="215"/>
        <v>0</v>
      </c>
      <c r="BO117" s="428">
        <f t="shared" si="216"/>
        <v>7247.9097298645038</v>
      </c>
      <c r="BP117" s="428">
        <f t="shared" si="216"/>
        <v>-2350</v>
      </c>
      <c r="BQ117" s="428">
        <f t="shared" si="217"/>
        <v>0</v>
      </c>
      <c r="BR117" s="428">
        <f t="shared" si="218"/>
        <v>0</v>
      </c>
      <c r="BS117" s="428">
        <f t="shared" si="219"/>
        <v>0</v>
      </c>
      <c r="BT117" s="428">
        <f t="shared" si="220"/>
        <v>0</v>
      </c>
      <c r="BU117" s="428">
        <f t="shared" si="221"/>
        <v>7097.7604702903882</v>
      </c>
      <c r="BV117" s="428">
        <f t="shared" si="221"/>
        <v>-2350</v>
      </c>
      <c r="BW117" s="428">
        <f t="shared" si="222"/>
        <v>0</v>
      </c>
      <c r="BX117" s="428">
        <f t="shared" si="223"/>
        <v>0</v>
      </c>
      <c r="BY117" s="428">
        <f t="shared" si="224"/>
        <v>0</v>
      </c>
      <c r="BZ117" s="428">
        <f t="shared" si="225"/>
        <v>0</v>
      </c>
      <c r="CA117" s="428">
        <f t="shared" si="226"/>
        <v>6947.6112107162735</v>
      </c>
      <c r="CB117" s="428">
        <f t="shared" si="226"/>
        <v>-2350</v>
      </c>
      <c r="CC117" s="428">
        <f t="shared" si="227"/>
        <v>0</v>
      </c>
      <c r="CD117" s="428">
        <f t="shared" si="228"/>
        <v>0</v>
      </c>
      <c r="CE117" s="428">
        <f t="shared" si="229"/>
        <v>0</v>
      </c>
      <c r="CF117" s="428">
        <f t="shared" si="230"/>
        <v>0</v>
      </c>
      <c r="CG117" s="428">
        <f t="shared" si="231"/>
        <v>6797.4619511421588</v>
      </c>
      <c r="CH117" s="428">
        <f t="shared" si="231"/>
        <v>-2350</v>
      </c>
      <c r="CI117" s="428">
        <f t="shared" si="232"/>
        <v>0</v>
      </c>
      <c r="CJ117" s="428">
        <f t="shared" si="233"/>
        <v>0</v>
      </c>
      <c r="CK117" s="428">
        <f t="shared" si="234"/>
        <v>0</v>
      </c>
      <c r="CL117" s="428">
        <f t="shared" si="235"/>
        <v>0</v>
      </c>
      <c r="CM117" s="428">
        <f t="shared" si="236"/>
        <v>6647.3126915680441</v>
      </c>
      <c r="CN117" s="428">
        <f t="shared" si="236"/>
        <v>-2350</v>
      </c>
      <c r="CO117" s="428">
        <f t="shared" si="237"/>
        <v>0</v>
      </c>
      <c r="CP117" s="428">
        <f t="shared" si="238"/>
        <v>0</v>
      </c>
      <c r="CQ117" s="428">
        <f t="shared" si="239"/>
        <v>0</v>
      </c>
      <c r="CR117" s="428">
        <f t="shared" si="240"/>
        <v>0</v>
      </c>
      <c r="CS117" s="428">
        <f t="shared" si="241"/>
        <v>6497.1634319939294</v>
      </c>
      <c r="CT117" s="428">
        <f t="shared" si="241"/>
        <v>-2350</v>
      </c>
      <c r="CU117" s="428">
        <f t="shared" si="242"/>
        <v>0</v>
      </c>
      <c r="CV117" s="428">
        <f t="shared" si="243"/>
        <v>0</v>
      </c>
      <c r="CW117" s="428">
        <f t="shared" si="244"/>
        <v>0</v>
      </c>
      <c r="CX117" s="428">
        <f t="shared" si="245"/>
        <v>0</v>
      </c>
      <c r="CY117" s="428">
        <f t="shared" si="246"/>
        <v>6347.0141724198129</v>
      </c>
      <c r="CZ117" s="428">
        <f t="shared" si="246"/>
        <v>-2350</v>
      </c>
      <c r="DA117" s="428">
        <f t="shared" si="247"/>
        <v>0</v>
      </c>
      <c r="DB117" s="428">
        <f t="shared" si="248"/>
        <v>0</v>
      </c>
      <c r="DC117" s="428">
        <f t="shared" si="249"/>
        <v>0</v>
      </c>
      <c r="DD117" s="428">
        <f t="shared" si="250"/>
        <v>0</v>
      </c>
      <c r="DE117" s="428">
        <f t="shared" si="251"/>
        <v>6196.8649128456982</v>
      </c>
    </row>
    <row r="118" spans="1:109" ht="15" customHeight="1">
      <c r="A118" s="417"/>
      <c r="B118" s="828"/>
      <c r="C118" s="779">
        <f>C119-$G$439</f>
        <v>0.25</v>
      </c>
      <c r="D118" s="631">
        <f t="shared" si="196"/>
        <v>0.27755093668207609</v>
      </c>
      <c r="E118" s="631">
        <f t="shared" si="197"/>
        <v>0.27171480290158279</v>
      </c>
      <c r="F118" s="631">
        <f t="shared" si="198"/>
        <v>0.26576952740370663</v>
      </c>
      <c r="G118" s="631">
        <f t="shared" si="199"/>
        <v>0.25971040760562736</v>
      </c>
      <c r="H118" s="631">
        <f t="shared" si="200"/>
        <v>0.25353241798882786</v>
      </c>
      <c r="I118" s="631">
        <f t="shared" si="201"/>
        <v>0.24723017924359314</v>
      </c>
      <c r="J118" s="631">
        <f t="shared" si="202"/>
        <v>0.24079792359322272</v>
      </c>
      <c r="K118" s="631">
        <f t="shared" si="203"/>
        <v>0.23422945571124809</v>
      </c>
      <c r="L118" s="631">
        <f t="shared" si="204"/>
        <v>0.22751810853642063</v>
      </c>
      <c r="M118" s="417"/>
      <c r="N118" s="417"/>
      <c r="O118" s="417"/>
      <c r="P118" s="417"/>
      <c r="Q118" s="417"/>
      <c r="AT118" s="804">
        <f t="shared" ref="AT118:BB118" si="253">IF(Z132&lt;$G$449,0,MIN($G$446,1+IFERROR(INT((Z132-$G$449)/$G$463),0)))</f>
        <v>0</v>
      </c>
      <c r="AU118" s="804">
        <f t="shared" si="253"/>
        <v>0</v>
      </c>
      <c r="AV118" s="804">
        <f t="shared" si="253"/>
        <v>0</v>
      </c>
      <c r="AW118" s="804">
        <f t="shared" si="253"/>
        <v>0</v>
      </c>
      <c r="AX118" s="804">
        <f t="shared" si="253"/>
        <v>0</v>
      </c>
      <c r="AY118" s="804">
        <f t="shared" si="253"/>
        <v>0</v>
      </c>
      <c r="AZ118" s="804">
        <f t="shared" si="253"/>
        <v>0</v>
      </c>
      <c r="BA118" s="804">
        <f t="shared" si="253"/>
        <v>1</v>
      </c>
      <c r="BB118" s="804">
        <f t="shared" si="253"/>
        <v>3</v>
      </c>
      <c r="BD118" s="428">
        <f t="shared" si="206"/>
        <v>-2350</v>
      </c>
      <c r="BE118" s="428">
        <f t="shared" si="207"/>
        <v>0</v>
      </c>
      <c r="BF118" s="428">
        <f t="shared" si="208"/>
        <v>0</v>
      </c>
      <c r="BG118" s="428">
        <f t="shared" si="209"/>
        <v>0</v>
      </c>
      <c r="BH118" s="428">
        <f t="shared" si="210"/>
        <v>0</v>
      </c>
      <c r="BI118" s="428">
        <f t="shared" si="211"/>
        <v>7997.5872341185113</v>
      </c>
      <c r="BJ118" s="428">
        <f t="shared" si="211"/>
        <v>-2350</v>
      </c>
      <c r="BK118" s="428">
        <f t="shared" si="212"/>
        <v>0</v>
      </c>
      <c r="BL118" s="428">
        <f t="shared" si="213"/>
        <v>0</v>
      </c>
      <c r="BM118" s="428">
        <f t="shared" si="214"/>
        <v>0</v>
      </c>
      <c r="BN118" s="428">
        <f t="shared" si="215"/>
        <v>0</v>
      </c>
      <c r="BO118" s="428">
        <f t="shared" si="216"/>
        <v>7816.5749233893039</v>
      </c>
      <c r="BP118" s="428">
        <f t="shared" si="216"/>
        <v>-2350</v>
      </c>
      <c r="BQ118" s="428">
        <f t="shared" si="217"/>
        <v>0</v>
      </c>
      <c r="BR118" s="428">
        <f t="shared" si="218"/>
        <v>0</v>
      </c>
      <c r="BS118" s="428">
        <f t="shared" si="219"/>
        <v>0</v>
      </c>
      <c r="BT118" s="428">
        <f t="shared" si="220"/>
        <v>0</v>
      </c>
      <c r="BU118" s="428">
        <f t="shared" si="221"/>
        <v>7635.5626126600946</v>
      </c>
      <c r="BV118" s="428">
        <f t="shared" si="221"/>
        <v>-2350</v>
      </c>
      <c r="BW118" s="428">
        <f t="shared" si="222"/>
        <v>0</v>
      </c>
      <c r="BX118" s="428">
        <f t="shared" si="223"/>
        <v>0</v>
      </c>
      <c r="BY118" s="428">
        <f t="shared" si="224"/>
        <v>0</v>
      </c>
      <c r="BZ118" s="428">
        <f t="shared" si="225"/>
        <v>0</v>
      </c>
      <c r="CA118" s="428">
        <f t="shared" si="226"/>
        <v>7454.550301930889</v>
      </c>
      <c r="CB118" s="428">
        <f t="shared" si="226"/>
        <v>-2350</v>
      </c>
      <c r="CC118" s="428">
        <f t="shared" si="227"/>
        <v>0</v>
      </c>
      <c r="CD118" s="428">
        <f t="shared" si="228"/>
        <v>0</v>
      </c>
      <c r="CE118" s="428">
        <f t="shared" si="229"/>
        <v>0</v>
      </c>
      <c r="CF118" s="428">
        <f t="shared" si="230"/>
        <v>0</v>
      </c>
      <c r="CG118" s="428">
        <f t="shared" si="231"/>
        <v>7273.5379912016797</v>
      </c>
      <c r="CH118" s="428">
        <f t="shared" si="231"/>
        <v>-2350</v>
      </c>
      <c r="CI118" s="428">
        <f t="shared" si="232"/>
        <v>0</v>
      </c>
      <c r="CJ118" s="428">
        <f t="shared" si="233"/>
        <v>0</v>
      </c>
      <c r="CK118" s="428">
        <f t="shared" si="234"/>
        <v>0</v>
      </c>
      <c r="CL118" s="428">
        <f t="shared" si="235"/>
        <v>0</v>
      </c>
      <c r="CM118" s="428">
        <f t="shared" si="236"/>
        <v>7092.5256804724731</v>
      </c>
      <c r="CN118" s="428">
        <f t="shared" si="236"/>
        <v>-2350</v>
      </c>
      <c r="CO118" s="428">
        <f t="shared" si="237"/>
        <v>0</v>
      </c>
      <c r="CP118" s="428">
        <f t="shared" si="238"/>
        <v>0</v>
      </c>
      <c r="CQ118" s="428">
        <f t="shared" si="239"/>
        <v>0</v>
      </c>
      <c r="CR118" s="428">
        <f t="shared" si="240"/>
        <v>0</v>
      </c>
      <c r="CS118" s="428">
        <f t="shared" si="241"/>
        <v>6911.5133697432648</v>
      </c>
      <c r="CT118" s="428">
        <f t="shared" si="241"/>
        <v>-2350</v>
      </c>
      <c r="CU118" s="428">
        <f t="shared" si="242"/>
        <v>0</v>
      </c>
      <c r="CV118" s="428">
        <f t="shared" si="243"/>
        <v>0</v>
      </c>
      <c r="CW118" s="428">
        <f t="shared" si="244"/>
        <v>0</v>
      </c>
      <c r="CX118" s="428">
        <f t="shared" si="245"/>
        <v>0</v>
      </c>
      <c r="CY118" s="428">
        <f t="shared" si="246"/>
        <v>6730.5010590140573</v>
      </c>
      <c r="CZ118" s="428">
        <f t="shared" si="246"/>
        <v>-2350</v>
      </c>
      <c r="DA118" s="428">
        <f t="shared" si="247"/>
        <v>0</v>
      </c>
      <c r="DB118" s="428">
        <f t="shared" si="248"/>
        <v>0</v>
      </c>
      <c r="DC118" s="428">
        <f t="shared" si="249"/>
        <v>0</v>
      </c>
      <c r="DD118" s="428">
        <f t="shared" si="250"/>
        <v>0</v>
      </c>
      <c r="DE118" s="428">
        <f t="shared" si="251"/>
        <v>6549.4887482848499</v>
      </c>
    </row>
    <row r="119" spans="1:109" ht="15" customHeight="1">
      <c r="A119" s="417"/>
      <c r="B119" s="828"/>
      <c r="C119" s="779">
        <f>$G$438</f>
        <v>0.3</v>
      </c>
      <c r="D119" s="631">
        <f t="shared" si="196"/>
        <v>0.29625232266299295</v>
      </c>
      <c r="E119" s="631">
        <f t="shared" si="197"/>
        <v>0.28979638670850116</v>
      </c>
      <c r="F119" s="631">
        <f t="shared" si="198"/>
        <v>0.28320854338010237</v>
      </c>
      <c r="G119" s="631">
        <f t="shared" si="199"/>
        <v>0.27648256928515536</v>
      </c>
      <c r="H119" s="789">
        <f t="shared" si="200"/>
        <v>0.26961177196095765</v>
      </c>
      <c r="I119" s="631">
        <f t="shared" si="201"/>
        <v>0.26258894056223836</v>
      </c>
      <c r="J119" s="631">
        <f t="shared" si="202"/>
        <v>0.25540628981337687</v>
      </c>
      <c r="K119" s="631">
        <f t="shared" si="203"/>
        <v>0.24805539608112093</v>
      </c>
      <c r="L119" s="631">
        <f t="shared" si="204"/>
        <v>0.24052712418877942</v>
      </c>
      <c r="M119" s="417"/>
      <c r="N119" s="417"/>
      <c r="O119" s="417"/>
      <c r="P119" s="417"/>
      <c r="Q119" s="417"/>
      <c r="AT119" s="804">
        <f t="shared" ref="AT119:BB119" si="254">IF(Z133&lt;$G$449,0,MIN($G$446,1+IFERROR(INT((Z133-$G$449)/$G$463),0)))</f>
        <v>0</v>
      </c>
      <c r="AU119" s="804">
        <f t="shared" si="254"/>
        <v>0</v>
      </c>
      <c r="AV119" s="804">
        <f t="shared" si="254"/>
        <v>0</v>
      </c>
      <c r="AW119" s="804">
        <f t="shared" si="254"/>
        <v>0</v>
      </c>
      <c r="AX119" s="804">
        <f t="shared" si="254"/>
        <v>0</v>
      </c>
      <c r="AY119" s="804">
        <f t="shared" si="254"/>
        <v>1</v>
      </c>
      <c r="AZ119" s="804">
        <f t="shared" si="254"/>
        <v>2</v>
      </c>
      <c r="BA119" s="804">
        <f t="shared" si="254"/>
        <v>3</v>
      </c>
      <c r="BB119" s="804">
        <f t="shared" si="254"/>
        <v>5</v>
      </c>
      <c r="BD119" s="428">
        <f t="shared" si="206"/>
        <v>-2350</v>
      </c>
      <c r="BE119" s="428">
        <f t="shared" si="207"/>
        <v>0</v>
      </c>
      <c r="BF119" s="428">
        <f t="shared" si="208"/>
        <v>0</v>
      </c>
      <c r="BG119" s="428">
        <f t="shared" si="209"/>
        <v>0</v>
      </c>
      <c r="BH119" s="428">
        <f t="shared" si="210"/>
        <v>0</v>
      </c>
      <c r="BI119" s="428">
        <f t="shared" si="211"/>
        <v>8600.3395939056372</v>
      </c>
      <c r="BJ119" s="428">
        <f t="shared" si="211"/>
        <v>-2350</v>
      </c>
      <c r="BK119" s="428">
        <f t="shared" si="212"/>
        <v>0</v>
      </c>
      <c r="BL119" s="428">
        <f t="shared" si="213"/>
        <v>0</v>
      </c>
      <c r="BM119" s="428">
        <f t="shared" si="214"/>
        <v>0</v>
      </c>
      <c r="BN119" s="428">
        <f t="shared" si="215"/>
        <v>0</v>
      </c>
      <c r="BO119" s="428">
        <f t="shared" si="216"/>
        <v>8388.2939701912746</v>
      </c>
      <c r="BP119" s="428">
        <f t="shared" si="216"/>
        <v>-2350</v>
      </c>
      <c r="BQ119" s="428">
        <f t="shared" si="217"/>
        <v>0</v>
      </c>
      <c r="BR119" s="428">
        <f t="shared" si="218"/>
        <v>0</v>
      </c>
      <c r="BS119" s="428">
        <f t="shared" si="219"/>
        <v>0</v>
      </c>
      <c r="BT119" s="428">
        <f t="shared" si="220"/>
        <v>0</v>
      </c>
      <c r="BU119" s="428">
        <f t="shared" si="221"/>
        <v>8176.248346476912</v>
      </c>
      <c r="BV119" s="428">
        <f t="shared" si="221"/>
        <v>-2350</v>
      </c>
      <c r="BW119" s="428">
        <f t="shared" si="222"/>
        <v>0</v>
      </c>
      <c r="BX119" s="428">
        <f t="shared" si="223"/>
        <v>0</v>
      </c>
      <c r="BY119" s="428">
        <f t="shared" si="224"/>
        <v>0</v>
      </c>
      <c r="BZ119" s="428">
        <f t="shared" si="225"/>
        <v>0</v>
      </c>
      <c r="CA119" s="428">
        <f t="shared" si="226"/>
        <v>7964.2027227625513</v>
      </c>
      <c r="CB119" s="428">
        <f t="shared" si="226"/>
        <v>-2350</v>
      </c>
      <c r="CC119" s="428">
        <f t="shared" si="227"/>
        <v>0</v>
      </c>
      <c r="CD119" s="428">
        <f t="shared" si="228"/>
        <v>0</v>
      </c>
      <c r="CE119" s="428">
        <f t="shared" si="229"/>
        <v>0</v>
      </c>
      <c r="CF119" s="428">
        <f t="shared" si="230"/>
        <v>0</v>
      </c>
      <c r="CG119" s="428">
        <f t="shared" si="231"/>
        <v>7752.1570990481869</v>
      </c>
      <c r="CH119" s="428">
        <f t="shared" si="231"/>
        <v>-2350</v>
      </c>
      <c r="CI119" s="428">
        <f t="shared" si="232"/>
        <v>0</v>
      </c>
      <c r="CJ119" s="428">
        <f t="shared" si="233"/>
        <v>0</v>
      </c>
      <c r="CK119" s="428">
        <f t="shared" si="234"/>
        <v>0</v>
      </c>
      <c r="CL119" s="428">
        <f t="shared" si="235"/>
        <v>0</v>
      </c>
      <c r="CM119" s="428">
        <f t="shared" si="236"/>
        <v>7540.1114753338261</v>
      </c>
      <c r="CN119" s="428">
        <f t="shared" si="236"/>
        <v>-2350</v>
      </c>
      <c r="CO119" s="428">
        <f t="shared" si="237"/>
        <v>0</v>
      </c>
      <c r="CP119" s="428">
        <f t="shared" si="238"/>
        <v>0</v>
      </c>
      <c r="CQ119" s="428">
        <f t="shared" si="239"/>
        <v>0</v>
      </c>
      <c r="CR119" s="428">
        <f t="shared" si="240"/>
        <v>0</v>
      </c>
      <c r="CS119" s="428">
        <f t="shared" si="241"/>
        <v>7328.0658516194635</v>
      </c>
      <c r="CT119" s="428">
        <f t="shared" si="241"/>
        <v>-2350</v>
      </c>
      <c r="CU119" s="428">
        <f t="shared" si="242"/>
        <v>0</v>
      </c>
      <c r="CV119" s="428">
        <f t="shared" si="243"/>
        <v>0</v>
      </c>
      <c r="CW119" s="428">
        <f t="shared" si="244"/>
        <v>0</v>
      </c>
      <c r="CX119" s="428">
        <f t="shared" si="245"/>
        <v>0</v>
      </c>
      <c r="CY119" s="428">
        <f t="shared" si="246"/>
        <v>7116.0202279051</v>
      </c>
      <c r="CZ119" s="428">
        <f t="shared" si="246"/>
        <v>-2350</v>
      </c>
      <c r="DA119" s="428">
        <f t="shared" si="247"/>
        <v>0</v>
      </c>
      <c r="DB119" s="428">
        <f t="shared" si="248"/>
        <v>0</v>
      </c>
      <c r="DC119" s="428">
        <f t="shared" si="249"/>
        <v>0</v>
      </c>
      <c r="DD119" s="428">
        <f t="shared" si="250"/>
        <v>0</v>
      </c>
      <c r="DE119" s="428">
        <f t="shared" si="251"/>
        <v>6903.9746041907383</v>
      </c>
    </row>
    <row r="120" spans="1:109" ht="15" customHeight="1">
      <c r="A120" s="417"/>
      <c r="B120" s="828"/>
      <c r="C120" s="779">
        <f>C119+$G$439</f>
        <v>0.35</v>
      </c>
      <c r="D120" s="631">
        <f t="shared" si="196"/>
        <v>0.31402573395285915</v>
      </c>
      <c r="E120" s="631">
        <f t="shared" si="197"/>
        <v>0.30700730364311868</v>
      </c>
      <c r="F120" s="631">
        <f t="shared" si="198"/>
        <v>0.29983480098324478</v>
      </c>
      <c r="G120" s="631">
        <f t="shared" si="199"/>
        <v>0.29250040052587201</v>
      </c>
      <c r="H120" s="631">
        <f t="shared" si="200"/>
        <v>0.28499564050678283</v>
      </c>
      <c r="I120" s="631">
        <f t="shared" si="201"/>
        <v>0.27731135057751044</v>
      </c>
      <c r="J120" s="631">
        <f t="shared" si="202"/>
        <v>0.26943756876729141</v>
      </c>
      <c r="K120" s="631">
        <f t="shared" si="203"/>
        <v>0.26136344578152948</v>
      </c>
      <c r="L120" s="631">
        <f t="shared" si="204"/>
        <v>0.25307713420407163</v>
      </c>
      <c r="M120" s="417"/>
      <c r="N120" s="417"/>
      <c r="O120" s="417"/>
      <c r="P120" s="417"/>
      <c r="Q120" s="417"/>
      <c r="AT120" s="804">
        <f t="shared" ref="AT120:BB120" si="255">IF(Z134&lt;$G$449,0,MIN($G$446,1+IFERROR(INT((Z134-$G$449)/$G$463),0)))</f>
        <v>0</v>
      </c>
      <c r="AU120" s="804">
        <f t="shared" si="255"/>
        <v>0</v>
      </c>
      <c r="AV120" s="804">
        <f t="shared" si="255"/>
        <v>1</v>
      </c>
      <c r="AW120" s="804">
        <f t="shared" si="255"/>
        <v>2</v>
      </c>
      <c r="AX120" s="804">
        <f t="shared" si="255"/>
        <v>3</v>
      </c>
      <c r="AY120" s="804">
        <f t="shared" si="255"/>
        <v>4</v>
      </c>
      <c r="AZ120" s="804">
        <f t="shared" si="255"/>
        <v>5</v>
      </c>
      <c r="BA120" s="804">
        <f t="shared" si="255"/>
        <v>6</v>
      </c>
      <c r="BB120" s="804">
        <f t="shared" si="255"/>
        <v>7</v>
      </c>
      <c r="BD120" s="428">
        <f t="shared" si="206"/>
        <v>-2350</v>
      </c>
      <c r="BE120" s="428">
        <f t="shared" si="207"/>
        <v>0</v>
      </c>
      <c r="BF120" s="428">
        <f t="shared" si="208"/>
        <v>0</v>
      </c>
      <c r="BG120" s="428">
        <f t="shared" si="209"/>
        <v>0</v>
      </c>
      <c r="BH120" s="428">
        <f t="shared" si="210"/>
        <v>0</v>
      </c>
      <c r="BI120" s="428">
        <f t="shared" si="211"/>
        <v>9206.3443505114628</v>
      </c>
      <c r="BJ120" s="428">
        <f t="shared" si="211"/>
        <v>-2350</v>
      </c>
      <c r="BK120" s="428">
        <f t="shared" si="212"/>
        <v>0</v>
      </c>
      <c r="BL120" s="428">
        <f t="shared" si="213"/>
        <v>0</v>
      </c>
      <c r="BM120" s="428">
        <f t="shared" si="214"/>
        <v>0</v>
      </c>
      <c r="BN120" s="428">
        <f t="shared" si="215"/>
        <v>0</v>
      </c>
      <c r="BO120" s="428">
        <f t="shared" si="216"/>
        <v>8963.0936584570591</v>
      </c>
      <c r="BP120" s="428">
        <f t="shared" si="216"/>
        <v>-2350</v>
      </c>
      <c r="BQ120" s="428">
        <f t="shared" si="217"/>
        <v>0</v>
      </c>
      <c r="BR120" s="428">
        <f t="shared" si="218"/>
        <v>0</v>
      </c>
      <c r="BS120" s="428">
        <f t="shared" si="219"/>
        <v>0</v>
      </c>
      <c r="BT120" s="428">
        <f t="shared" si="220"/>
        <v>0</v>
      </c>
      <c r="BU120" s="428">
        <f t="shared" si="221"/>
        <v>8719.8429664026553</v>
      </c>
      <c r="BV120" s="428">
        <f t="shared" si="221"/>
        <v>-2350</v>
      </c>
      <c r="BW120" s="428">
        <f t="shared" si="222"/>
        <v>0</v>
      </c>
      <c r="BX120" s="428">
        <f t="shared" si="223"/>
        <v>0</v>
      </c>
      <c r="BY120" s="428">
        <f t="shared" si="224"/>
        <v>0</v>
      </c>
      <c r="BZ120" s="428">
        <f t="shared" si="225"/>
        <v>0</v>
      </c>
      <c r="CA120" s="428">
        <f t="shared" si="226"/>
        <v>8476.5922743482515</v>
      </c>
      <c r="CB120" s="428">
        <f t="shared" si="226"/>
        <v>-2350</v>
      </c>
      <c r="CC120" s="428">
        <f t="shared" si="227"/>
        <v>0</v>
      </c>
      <c r="CD120" s="428">
        <f t="shared" si="228"/>
        <v>0</v>
      </c>
      <c r="CE120" s="428">
        <f t="shared" si="229"/>
        <v>0</v>
      </c>
      <c r="CF120" s="428">
        <f t="shared" si="230"/>
        <v>0</v>
      </c>
      <c r="CG120" s="428">
        <f t="shared" si="231"/>
        <v>8233.3415822938459</v>
      </c>
      <c r="CH120" s="428">
        <f t="shared" si="231"/>
        <v>-2350</v>
      </c>
      <c r="CI120" s="428">
        <f t="shared" si="232"/>
        <v>0</v>
      </c>
      <c r="CJ120" s="428">
        <f t="shared" si="233"/>
        <v>0</v>
      </c>
      <c r="CK120" s="428">
        <f t="shared" si="234"/>
        <v>0</v>
      </c>
      <c r="CL120" s="428">
        <f t="shared" si="235"/>
        <v>0</v>
      </c>
      <c r="CM120" s="428">
        <f t="shared" si="236"/>
        <v>7990.0908902394422</v>
      </c>
      <c r="CN120" s="428">
        <f t="shared" si="236"/>
        <v>-2350</v>
      </c>
      <c r="CO120" s="428">
        <f t="shared" si="237"/>
        <v>0</v>
      </c>
      <c r="CP120" s="428">
        <f t="shared" si="238"/>
        <v>0</v>
      </c>
      <c r="CQ120" s="428">
        <f t="shared" si="239"/>
        <v>0</v>
      </c>
      <c r="CR120" s="428">
        <f t="shared" si="240"/>
        <v>0</v>
      </c>
      <c r="CS120" s="428">
        <f t="shared" si="241"/>
        <v>7746.8401981850366</v>
      </c>
      <c r="CT120" s="428">
        <f t="shared" si="241"/>
        <v>-2350</v>
      </c>
      <c r="CU120" s="428">
        <f t="shared" si="242"/>
        <v>0</v>
      </c>
      <c r="CV120" s="428">
        <f t="shared" si="243"/>
        <v>0</v>
      </c>
      <c r="CW120" s="428">
        <f t="shared" si="244"/>
        <v>0</v>
      </c>
      <c r="CX120" s="428">
        <f t="shared" si="245"/>
        <v>0</v>
      </c>
      <c r="CY120" s="428">
        <f t="shared" si="246"/>
        <v>7503.5895061306319</v>
      </c>
      <c r="CZ120" s="428">
        <f t="shared" si="246"/>
        <v>-2350</v>
      </c>
      <c r="DA120" s="428">
        <f t="shared" si="247"/>
        <v>0</v>
      </c>
      <c r="DB120" s="428">
        <f t="shared" si="248"/>
        <v>0</v>
      </c>
      <c r="DC120" s="428">
        <f t="shared" si="249"/>
        <v>0</v>
      </c>
      <c r="DD120" s="428">
        <f t="shared" si="250"/>
        <v>0</v>
      </c>
      <c r="DE120" s="428">
        <f t="shared" si="251"/>
        <v>7260.3388140762272</v>
      </c>
    </row>
    <row r="121" spans="1:109" ht="15" customHeight="1">
      <c r="A121" s="417"/>
      <c r="B121" s="828"/>
      <c r="C121" s="779">
        <f>C120+$G$439</f>
        <v>0.39999999999999997</v>
      </c>
      <c r="D121" s="631">
        <f t="shared" si="196"/>
        <v>0.33097550979230284</v>
      </c>
      <c r="E121" s="631">
        <f t="shared" si="197"/>
        <v>0.32344292515968909</v>
      </c>
      <c r="F121" s="631">
        <f t="shared" si="198"/>
        <v>0.31573483881409459</v>
      </c>
      <c r="G121" s="631">
        <f t="shared" si="199"/>
        <v>0.30784177363466836</v>
      </c>
      <c r="H121" s="631">
        <f t="shared" si="200"/>
        <v>0.29975343171187152</v>
      </c>
      <c r="I121" s="631">
        <f t="shared" si="201"/>
        <v>0.29145859482443059</v>
      </c>
      <c r="J121" s="631">
        <f t="shared" si="202"/>
        <v>0.28294500905095532</v>
      </c>
      <c r="K121" s="631">
        <f t="shared" si="203"/>
        <v>0.27419925062397121</v>
      </c>
      <c r="L121" s="631">
        <f t="shared" si="204"/>
        <v>0.26520656897076589</v>
      </c>
      <c r="M121" s="417"/>
      <c r="N121" s="417"/>
      <c r="O121" s="417"/>
      <c r="P121" s="417"/>
      <c r="Q121" s="417"/>
      <c r="AT121" s="804">
        <f t="shared" ref="AT121:BB121" si="256">IF(Z135&lt;$G$449,0,MIN($G$446,1+IFERROR(INT((Z135-$G$449)/$G$463),0)))</f>
        <v>2</v>
      </c>
      <c r="AU121" s="804">
        <f t="shared" si="256"/>
        <v>3</v>
      </c>
      <c r="AV121" s="804">
        <f t="shared" si="256"/>
        <v>4</v>
      </c>
      <c r="AW121" s="804">
        <f t="shared" si="256"/>
        <v>5</v>
      </c>
      <c r="AX121" s="804">
        <f t="shared" si="256"/>
        <v>5</v>
      </c>
      <c r="AY121" s="804">
        <f t="shared" si="256"/>
        <v>6</v>
      </c>
      <c r="AZ121" s="804">
        <f t="shared" si="256"/>
        <v>7</v>
      </c>
      <c r="BA121" s="804">
        <f t="shared" si="256"/>
        <v>8</v>
      </c>
      <c r="BB121" s="804">
        <f t="shared" si="256"/>
        <v>9</v>
      </c>
      <c r="BD121" s="428">
        <f t="shared" si="206"/>
        <v>-2350</v>
      </c>
      <c r="BE121" s="428">
        <f t="shared" si="207"/>
        <v>0</v>
      </c>
      <c r="BF121" s="428">
        <f t="shared" si="208"/>
        <v>0</v>
      </c>
      <c r="BG121" s="428">
        <f t="shared" si="209"/>
        <v>0</v>
      </c>
      <c r="BH121" s="428">
        <f t="shared" si="210"/>
        <v>0</v>
      </c>
      <c r="BI121" s="428">
        <f t="shared" si="211"/>
        <v>9815.6301173977408</v>
      </c>
      <c r="BJ121" s="428">
        <f t="shared" si="211"/>
        <v>-2350</v>
      </c>
      <c r="BK121" s="428">
        <f t="shared" si="212"/>
        <v>0</v>
      </c>
      <c r="BL121" s="428">
        <f t="shared" si="213"/>
        <v>0</v>
      </c>
      <c r="BM121" s="428">
        <f t="shared" si="214"/>
        <v>0</v>
      </c>
      <c r="BN121" s="428">
        <f t="shared" si="215"/>
        <v>0</v>
      </c>
      <c r="BO121" s="428">
        <f t="shared" si="216"/>
        <v>9541.0010906042298</v>
      </c>
      <c r="BP121" s="428">
        <f t="shared" si="216"/>
        <v>-2350</v>
      </c>
      <c r="BQ121" s="428">
        <f t="shared" si="217"/>
        <v>0</v>
      </c>
      <c r="BR121" s="428">
        <f t="shared" si="218"/>
        <v>0</v>
      </c>
      <c r="BS121" s="428">
        <f t="shared" si="219"/>
        <v>0</v>
      </c>
      <c r="BT121" s="428">
        <f t="shared" si="220"/>
        <v>0</v>
      </c>
      <c r="BU121" s="428">
        <f t="shared" si="221"/>
        <v>9266.372063810717</v>
      </c>
      <c r="BV121" s="428">
        <f t="shared" si="221"/>
        <v>-2350</v>
      </c>
      <c r="BW121" s="428">
        <f t="shared" si="222"/>
        <v>0</v>
      </c>
      <c r="BX121" s="428">
        <f t="shared" si="223"/>
        <v>0</v>
      </c>
      <c r="BY121" s="428">
        <f t="shared" si="224"/>
        <v>0</v>
      </c>
      <c r="BZ121" s="428">
        <f t="shared" si="225"/>
        <v>0</v>
      </c>
      <c r="CA121" s="428">
        <f t="shared" si="226"/>
        <v>8991.743037017206</v>
      </c>
      <c r="CB121" s="428">
        <f t="shared" si="226"/>
        <v>-2350</v>
      </c>
      <c r="CC121" s="428">
        <f t="shared" si="227"/>
        <v>0</v>
      </c>
      <c r="CD121" s="428">
        <f t="shared" si="228"/>
        <v>0</v>
      </c>
      <c r="CE121" s="428">
        <f t="shared" si="229"/>
        <v>0</v>
      </c>
      <c r="CF121" s="428">
        <f t="shared" si="230"/>
        <v>0</v>
      </c>
      <c r="CG121" s="428">
        <f t="shared" si="231"/>
        <v>8717.1140102236932</v>
      </c>
      <c r="CH121" s="428">
        <f t="shared" si="231"/>
        <v>-2350</v>
      </c>
      <c r="CI121" s="428">
        <f t="shared" si="232"/>
        <v>0</v>
      </c>
      <c r="CJ121" s="428">
        <f t="shared" si="233"/>
        <v>0</v>
      </c>
      <c r="CK121" s="428">
        <f t="shared" si="234"/>
        <v>0</v>
      </c>
      <c r="CL121" s="428">
        <f t="shared" si="235"/>
        <v>0</v>
      </c>
      <c r="CM121" s="428">
        <f t="shared" si="236"/>
        <v>8442.4849834301822</v>
      </c>
      <c r="CN121" s="428">
        <f t="shared" si="236"/>
        <v>-2350</v>
      </c>
      <c r="CO121" s="428">
        <f t="shared" si="237"/>
        <v>0</v>
      </c>
      <c r="CP121" s="428">
        <f t="shared" si="238"/>
        <v>0</v>
      </c>
      <c r="CQ121" s="428">
        <f t="shared" si="239"/>
        <v>0</v>
      </c>
      <c r="CR121" s="428">
        <f t="shared" si="240"/>
        <v>0</v>
      </c>
      <c r="CS121" s="428">
        <f t="shared" si="241"/>
        <v>8167.8559566366712</v>
      </c>
      <c r="CT121" s="428">
        <f t="shared" si="241"/>
        <v>-2350</v>
      </c>
      <c r="CU121" s="428">
        <f t="shared" si="242"/>
        <v>0</v>
      </c>
      <c r="CV121" s="428">
        <f t="shared" si="243"/>
        <v>0</v>
      </c>
      <c r="CW121" s="428">
        <f t="shared" si="244"/>
        <v>0</v>
      </c>
      <c r="CX121" s="428">
        <f t="shared" si="245"/>
        <v>0</v>
      </c>
      <c r="CY121" s="428">
        <f t="shared" si="246"/>
        <v>7893.2269298431584</v>
      </c>
      <c r="CZ121" s="428">
        <f t="shared" si="246"/>
        <v>-2350</v>
      </c>
      <c r="DA121" s="428">
        <f t="shared" si="247"/>
        <v>0</v>
      </c>
      <c r="DB121" s="428">
        <f t="shared" si="248"/>
        <v>0</v>
      </c>
      <c r="DC121" s="428">
        <f t="shared" si="249"/>
        <v>0</v>
      </c>
      <c r="DD121" s="428">
        <f t="shared" si="250"/>
        <v>0</v>
      </c>
      <c r="DE121" s="428">
        <f t="shared" si="251"/>
        <v>7618.5979030496474</v>
      </c>
    </row>
    <row r="122" spans="1:109" ht="15" customHeight="1">
      <c r="A122" s="417"/>
      <c r="B122" s="829"/>
      <c r="C122" s="780">
        <f>C121+$G$439</f>
        <v>0.44999999999999996</v>
      </c>
      <c r="D122" s="790">
        <f t="shared" si="196"/>
        <v>0.34718895372591763</v>
      </c>
      <c r="E122" s="790">
        <f t="shared" si="197"/>
        <v>0.33918343607185397</v>
      </c>
      <c r="F122" s="790">
        <f t="shared" si="198"/>
        <v>0.33098178556121249</v>
      </c>
      <c r="G122" s="790">
        <f t="shared" si="199"/>
        <v>0.32257284782083051</v>
      </c>
      <c r="H122" s="790">
        <f t="shared" si="200"/>
        <v>0.31394444938217059</v>
      </c>
      <c r="I122" s="790">
        <f t="shared" si="201"/>
        <v>0.30508326704419364</v>
      </c>
      <c r="J122" s="790">
        <f t="shared" si="202"/>
        <v>0.29597467533571775</v>
      </c>
      <c r="K122" s="790">
        <f t="shared" si="203"/>
        <v>0.28660256752278901</v>
      </c>
      <c r="L122" s="790">
        <f t="shared" si="204"/>
        <v>0.27694914428117112</v>
      </c>
      <c r="M122" s="417"/>
      <c r="N122" s="417"/>
      <c r="O122" s="417"/>
      <c r="P122" s="417"/>
      <c r="Q122" s="417"/>
      <c r="AT122" s="804">
        <f t="shared" ref="AT122:BB122" si="257">IF(Z136&lt;$G$449,0,MIN($G$446,1+IFERROR(INT((Z136-$G$449)/$G$463),0)))</f>
        <v>6</v>
      </c>
      <c r="AU122" s="804">
        <f t="shared" si="257"/>
        <v>6</v>
      </c>
      <c r="AV122" s="804">
        <f t="shared" si="257"/>
        <v>7</v>
      </c>
      <c r="AW122" s="804">
        <f t="shared" si="257"/>
        <v>7</v>
      </c>
      <c r="AX122" s="804">
        <f t="shared" si="257"/>
        <v>8</v>
      </c>
      <c r="AY122" s="804">
        <f t="shared" si="257"/>
        <v>9</v>
      </c>
      <c r="AZ122" s="804">
        <f t="shared" si="257"/>
        <v>9</v>
      </c>
      <c r="BA122" s="804">
        <f t="shared" si="257"/>
        <v>10</v>
      </c>
      <c r="BB122" s="804">
        <f t="shared" si="257"/>
        <v>10</v>
      </c>
      <c r="BD122" s="428">
        <f t="shared" si="206"/>
        <v>-2350</v>
      </c>
      <c r="BE122" s="428">
        <f t="shared" si="207"/>
        <v>0</v>
      </c>
      <c r="BF122" s="428">
        <f t="shared" si="208"/>
        <v>0</v>
      </c>
      <c r="BG122" s="428">
        <f t="shared" si="209"/>
        <v>0</v>
      </c>
      <c r="BH122" s="428">
        <f t="shared" si="210"/>
        <v>0</v>
      </c>
      <c r="BI122" s="428">
        <f t="shared" si="211"/>
        <v>10428.225844655175</v>
      </c>
      <c r="BJ122" s="428">
        <f t="shared" si="211"/>
        <v>-2350</v>
      </c>
      <c r="BK122" s="428">
        <f t="shared" si="212"/>
        <v>0</v>
      </c>
      <c r="BL122" s="428">
        <f t="shared" si="213"/>
        <v>0</v>
      </c>
      <c r="BM122" s="428">
        <f t="shared" si="214"/>
        <v>0</v>
      </c>
      <c r="BN122" s="428">
        <f t="shared" si="215"/>
        <v>0</v>
      </c>
      <c r="BO122" s="428">
        <f t="shared" si="216"/>
        <v>10122.043687902324</v>
      </c>
      <c r="BP122" s="428">
        <f t="shared" si="216"/>
        <v>-2350</v>
      </c>
      <c r="BQ122" s="428">
        <f t="shared" si="217"/>
        <v>0</v>
      </c>
      <c r="BR122" s="428">
        <f t="shared" si="218"/>
        <v>0</v>
      </c>
      <c r="BS122" s="428">
        <f t="shared" si="219"/>
        <v>0</v>
      </c>
      <c r="BT122" s="428">
        <f t="shared" si="220"/>
        <v>0</v>
      </c>
      <c r="BU122" s="428">
        <f t="shared" si="221"/>
        <v>9815.8615311494705</v>
      </c>
      <c r="BV122" s="428">
        <f t="shared" si="221"/>
        <v>-2350</v>
      </c>
      <c r="BW122" s="428">
        <f t="shared" si="222"/>
        <v>0</v>
      </c>
      <c r="BX122" s="428">
        <f t="shared" si="223"/>
        <v>0</v>
      </c>
      <c r="BY122" s="428">
        <f t="shared" si="224"/>
        <v>0</v>
      </c>
      <c r="BZ122" s="428">
        <f t="shared" si="225"/>
        <v>0</v>
      </c>
      <c r="CA122" s="428">
        <f t="shared" si="226"/>
        <v>9509.6793743966191</v>
      </c>
      <c r="CB122" s="428">
        <f t="shared" si="226"/>
        <v>-2350</v>
      </c>
      <c r="CC122" s="428">
        <f t="shared" si="227"/>
        <v>0</v>
      </c>
      <c r="CD122" s="428">
        <f t="shared" si="228"/>
        <v>0</v>
      </c>
      <c r="CE122" s="428">
        <f t="shared" si="229"/>
        <v>0</v>
      </c>
      <c r="CF122" s="428">
        <f t="shared" si="230"/>
        <v>0</v>
      </c>
      <c r="CG122" s="428">
        <f t="shared" si="231"/>
        <v>9203.4972176437659</v>
      </c>
      <c r="CH122" s="428">
        <f t="shared" si="231"/>
        <v>-2350</v>
      </c>
      <c r="CI122" s="428">
        <f t="shared" si="232"/>
        <v>0</v>
      </c>
      <c r="CJ122" s="428">
        <f t="shared" si="233"/>
        <v>0</v>
      </c>
      <c r="CK122" s="428">
        <f t="shared" si="234"/>
        <v>0</v>
      </c>
      <c r="CL122" s="428">
        <f t="shared" si="235"/>
        <v>0</v>
      </c>
      <c r="CM122" s="428">
        <f t="shared" si="236"/>
        <v>8897.3150608909145</v>
      </c>
      <c r="CN122" s="428">
        <f t="shared" si="236"/>
        <v>-2350</v>
      </c>
      <c r="CO122" s="428">
        <f t="shared" si="237"/>
        <v>0</v>
      </c>
      <c r="CP122" s="428">
        <f t="shared" si="238"/>
        <v>0</v>
      </c>
      <c r="CQ122" s="428">
        <f t="shared" si="239"/>
        <v>0</v>
      </c>
      <c r="CR122" s="428">
        <f t="shared" si="240"/>
        <v>0</v>
      </c>
      <c r="CS122" s="428">
        <f t="shared" si="241"/>
        <v>8591.1329041380613</v>
      </c>
      <c r="CT122" s="428">
        <f t="shared" si="241"/>
        <v>-2350</v>
      </c>
      <c r="CU122" s="428">
        <f t="shared" si="242"/>
        <v>0</v>
      </c>
      <c r="CV122" s="428">
        <f t="shared" si="243"/>
        <v>0</v>
      </c>
      <c r="CW122" s="428">
        <f t="shared" si="244"/>
        <v>0</v>
      </c>
      <c r="CX122" s="428">
        <f t="shared" si="245"/>
        <v>0</v>
      </c>
      <c r="CY122" s="428">
        <f t="shared" si="246"/>
        <v>8284.95074738521</v>
      </c>
      <c r="CZ122" s="428">
        <f t="shared" si="246"/>
        <v>-2350</v>
      </c>
      <c r="DA122" s="428">
        <f t="shared" si="247"/>
        <v>0</v>
      </c>
      <c r="DB122" s="428">
        <f t="shared" si="248"/>
        <v>0</v>
      </c>
      <c r="DC122" s="428">
        <f t="shared" si="249"/>
        <v>0</v>
      </c>
      <c r="DD122" s="428">
        <f t="shared" si="250"/>
        <v>0</v>
      </c>
      <c r="DE122" s="428">
        <f t="shared" si="251"/>
        <v>7978.7685906323568</v>
      </c>
    </row>
    <row r="123" spans="1:109" ht="15" hidden="1" customHeight="1" outlineLevel="1">
      <c r="A123" s="417"/>
      <c r="B123" s="423" t="s">
        <v>2536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109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109" ht="15" customHeight="1">
      <c r="A125" s="417"/>
      <c r="B125" s="794" t="s">
        <v>2737</v>
      </c>
      <c r="C125" s="794"/>
      <c r="D125" s="794"/>
      <c r="E125" s="794"/>
      <c r="F125" s="794"/>
      <c r="G125" s="794"/>
      <c r="H125" s="794"/>
      <c r="I125" s="794"/>
      <c r="J125" s="794"/>
      <c r="K125" s="794"/>
      <c r="L125" s="794"/>
      <c r="M125" s="417"/>
      <c r="N125" s="417"/>
      <c r="O125" s="417"/>
      <c r="P125" s="417"/>
      <c r="Q125" s="417"/>
    </row>
    <row r="126" spans="1:109" ht="15" customHeight="1">
      <c r="A126" s="417"/>
      <c r="B126" s="148" t="s">
        <v>2569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109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109" ht="12.75" customHeight="1">
      <c r="A128" s="417"/>
      <c r="B128" s="454"/>
      <c r="C128" s="454"/>
      <c r="D128" s="767" t="s">
        <v>2565</v>
      </c>
      <c r="E128" s="767"/>
      <c r="F128" s="767"/>
      <c r="G128" s="767"/>
      <c r="H128" s="767"/>
      <c r="I128" s="767"/>
      <c r="J128" s="767"/>
      <c r="K128" s="767"/>
      <c r="L128" s="767"/>
      <c r="M128" s="417"/>
      <c r="N128" s="417"/>
      <c r="O128" s="417"/>
      <c r="P128" s="417"/>
      <c r="Q128" s="417"/>
      <c r="Z128" s="786" t="s">
        <v>2575</v>
      </c>
      <c r="AA128" s="746"/>
      <c r="AB128" s="746"/>
      <c r="AC128" s="746"/>
      <c r="AD128" s="746"/>
      <c r="AE128" s="746"/>
      <c r="AF128" s="746"/>
      <c r="AG128" s="746"/>
      <c r="AH128" s="746"/>
    </row>
    <row r="129" spans="1:54" ht="12.75" customHeight="1">
      <c r="A129" s="417"/>
      <c r="B129" s="454"/>
      <c r="C129" s="454"/>
      <c r="D129" s="799">
        <f>E129+$G$458</f>
        <v>76</v>
      </c>
      <c r="E129" s="799">
        <f>F129+$G$458</f>
        <v>72</v>
      </c>
      <c r="F129" s="799">
        <f>G129+$G$458</f>
        <v>68</v>
      </c>
      <c r="G129" s="799">
        <f>H129+$G$458</f>
        <v>64</v>
      </c>
      <c r="H129" s="799">
        <f>$G$457</f>
        <v>60</v>
      </c>
      <c r="I129" s="799">
        <f>H129-$G$458</f>
        <v>56</v>
      </c>
      <c r="J129" s="799">
        <f>I129-$G$458</f>
        <v>52</v>
      </c>
      <c r="K129" s="799">
        <f>J129-$G$458</f>
        <v>48</v>
      </c>
      <c r="L129" s="799">
        <f>K129-$G$458</f>
        <v>44</v>
      </c>
      <c r="M129" s="417"/>
      <c r="N129" s="417"/>
      <c r="O129" s="417"/>
      <c r="P129" s="417"/>
      <c r="Q129" s="417"/>
      <c r="Z129" s="367">
        <f>D$129</f>
        <v>76</v>
      </c>
      <c r="AA129" s="367">
        <f t="shared" ref="AA129:AH129" si="258">E$129</f>
        <v>72</v>
      </c>
      <c r="AB129" s="367">
        <f t="shared" si="258"/>
        <v>68</v>
      </c>
      <c r="AC129" s="367">
        <f t="shared" si="258"/>
        <v>64</v>
      </c>
      <c r="AD129" s="367">
        <f t="shared" si="258"/>
        <v>60</v>
      </c>
      <c r="AE129" s="367">
        <f t="shared" si="258"/>
        <v>56</v>
      </c>
      <c r="AF129" s="367">
        <f t="shared" si="258"/>
        <v>52</v>
      </c>
      <c r="AG129" s="367">
        <f t="shared" si="258"/>
        <v>48</v>
      </c>
      <c r="AH129" s="367">
        <f t="shared" si="258"/>
        <v>44</v>
      </c>
      <c r="AT129" s="772" t="s">
        <v>2614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27" t="s">
        <v>2526</v>
      </c>
      <c r="C130" s="779">
        <f>C131-$G$439</f>
        <v>0.15000000000000002</v>
      </c>
      <c r="D130" s="620">
        <f>ROUND(Z130,$G$452)</f>
        <v>-1700</v>
      </c>
      <c r="E130" s="620">
        <f t="shared" ref="E130:E136" si="259">ROUND(AA130,$G$452)</f>
        <v>-1400</v>
      </c>
      <c r="F130" s="620">
        <f t="shared" ref="F130:F136" si="260">ROUND(AB130,$G$452)</f>
        <v>-1100</v>
      </c>
      <c r="G130" s="620">
        <f t="shared" ref="G130:G136" si="261">ROUND(AC130,$G$452)</f>
        <v>-800</v>
      </c>
      <c r="H130" s="620">
        <f t="shared" ref="H130:H136" si="262">ROUND(AD130,$G$452)</f>
        <v>-500</v>
      </c>
      <c r="I130" s="620">
        <f t="shared" ref="I130:I136" si="263">ROUND(AE130,$G$452)</f>
        <v>-200</v>
      </c>
      <c r="J130" s="620">
        <f t="shared" ref="J130:J136" si="264">ROUND(AF130,$G$452)</f>
        <v>100</v>
      </c>
      <c r="K130" s="620">
        <f t="shared" ref="K130:K136" si="265">ROUND(AG130,$G$452)</f>
        <v>400</v>
      </c>
      <c r="L130" s="620">
        <f t="shared" ref="L130:L136" si="266">ROUND(AH130,$G$452)</f>
        <v>700</v>
      </c>
      <c r="M130" s="417"/>
      <c r="N130" s="417"/>
      <c r="O130" s="417"/>
      <c r="P130" s="417"/>
      <c r="Q130" s="417"/>
      <c r="Z130" s="367">
        <f>Z90+$G$430-AJ$93</f>
        <v>-1701.678093053144</v>
      </c>
      <c r="AA130" s="367">
        <f t="shared" ref="AA130:AH130" si="267">AA90+$G$430-AK$93</f>
        <v>-1405.3462621848303</v>
      </c>
      <c r="AB130" s="367">
        <f t="shared" si="267"/>
        <v>-1109.0144313165138</v>
      </c>
      <c r="AC130" s="367">
        <f t="shared" si="267"/>
        <v>-812.68260044819908</v>
      </c>
      <c r="AD130" s="367">
        <f t="shared" si="267"/>
        <v>-516.35076957988531</v>
      </c>
      <c r="AE130" s="367">
        <f t="shared" si="267"/>
        <v>-220.01893871157063</v>
      </c>
      <c r="AF130" s="367">
        <f t="shared" si="267"/>
        <v>76.312892156743146</v>
      </c>
      <c r="AG130" s="367">
        <f t="shared" si="267"/>
        <v>372.64472302505965</v>
      </c>
      <c r="AH130" s="367">
        <f t="shared" si="267"/>
        <v>668.97655389337342</v>
      </c>
      <c r="AT130" s="804">
        <f>IF(Z130&lt;$G$449,0,MIN($G$446,1+IFERROR(INT((Z130-$G$449)/$G$463),0)))</f>
        <v>0</v>
      </c>
      <c r="AU130" s="804">
        <f t="shared" ref="AU130:AU136" si="268">IF(AA130&lt;$G$449,0,MIN($G$446,1+IFERROR(INT((AA130-$G$449)/$G$463),0)))</f>
        <v>0</v>
      </c>
      <c r="AV130" s="804">
        <f t="shared" ref="AV130:AV136" si="269">IF(AB130&lt;$G$449,0,MIN($G$446,1+IFERROR(INT((AB130-$G$449)/$G$463),0)))</f>
        <v>0</v>
      </c>
      <c r="AW130" s="804">
        <f t="shared" ref="AW130:AW136" si="270">IF(AC130&lt;$G$449,0,MIN($G$446,1+IFERROR(INT((AC130-$G$449)/$G$463),0)))</f>
        <v>0</v>
      </c>
      <c r="AX130" s="804">
        <f t="shared" ref="AX130:AX136" si="271">IF(AD130&lt;$G$449,0,MIN($G$446,1+IFERROR(INT((AD130-$G$449)/$G$463),0)))</f>
        <v>0</v>
      </c>
      <c r="AY130" s="804">
        <f t="shared" ref="AY130:AY136" si="272">IF(AE130&lt;$G$449,0,MIN($G$446,1+IFERROR(INT((AE130-$G$449)/$G$463),0)))</f>
        <v>0</v>
      </c>
      <c r="AZ130" s="804">
        <f t="shared" ref="AZ130:AZ136" si="273">IF(AF130&lt;$G$449,0,MIN($G$446,1+IFERROR(INT((AF130-$G$449)/$G$463),0)))</f>
        <v>0</v>
      </c>
      <c r="BA130" s="804">
        <f t="shared" ref="BA130:BA136" si="274">IF(AG130&lt;$G$449,0,MIN($G$446,1+IFERROR(INT((AG130-$G$449)/$G$463),0)))</f>
        <v>0</v>
      </c>
      <c r="BB130" s="804">
        <f t="shared" ref="BB130:BB136" si="275">IF(AH130&lt;$G$449,0,MIN($G$446,1+IFERROR(INT((AH130-$G$449)/$G$463),0)))</f>
        <v>0</v>
      </c>
    </row>
    <row r="131" spans="1:54" ht="15" customHeight="1">
      <c r="A131" s="417"/>
      <c r="B131" s="828"/>
      <c r="C131" s="779">
        <f>C132-$G$439</f>
        <v>0.2</v>
      </c>
      <c r="D131" s="470">
        <f t="shared" ref="D131:D136" si="276">ROUND(Z131,$G$452)</f>
        <v>-1100</v>
      </c>
      <c r="E131" s="470">
        <f t="shared" si="259"/>
        <v>-800</v>
      </c>
      <c r="F131" s="470">
        <f t="shared" si="260"/>
        <v>-600</v>
      </c>
      <c r="G131" s="470">
        <f t="shared" si="261"/>
        <v>-300</v>
      </c>
      <c r="H131" s="470">
        <f t="shared" si="262"/>
        <v>0</v>
      </c>
      <c r="I131" s="470">
        <f t="shared" si="263"/>
        <v>200</v>
      </c>
      <c r="J131" s="470">
        <f t="shared" si="264"/>
        <v>500</v>
      </c>
      <c r="K131" s="470">
        <f t="shared" si="265"/>
        <v>800</v>
      </c>
      <c r="L131" s="470">
        <f t="shared" si="266"/>
        <v>1000</v>
      </c>
      <c r="M131" s="417"/>
      <c r="N131" s="417"/>
      <c r="O131" s="417"/>
      <c r="P131" s="417"/>
      <c r="Q131" s="417"/>
      <c r="Z131" s="367">
        <f t="shared" ref="Z131:AH131" si="277">Z91+$G$430-AJ$93</f>
        <v>-1105.3460087252224</v>
      </c>
      <c r="AA131" s="367">
        <f t="shared" si="277"/>
        <v>-839.70844344057969</v>
      </c>
      <c r="AB131" s="367">
        <f t="shared" si="277"/>
        <v>-574.07087815593695</v>
      </c>
      <c r="AC131" s="367">
        <f t="shared" si="277"/>
        <v>-308.43331287129513</v>
      </c>
      <c r="AD131" s="367">
        <f t="shared" si="277"/>
        <v>-42.795747586653306</v>
      </c>
      <c r="AE131" s="367">
        <f t="shared" si="277"/>
        <v>222.84181769798943</v>
      </c>
      <c r="AF131" s="367">
        <f t="shared" si="277"/>
        <v>488.47938298263034</v>
      </c>
      <c r="AG131" s="367">
        <f t="shared" si="277"/>
        <v>754.11694826727216</v>
      </c>
      <c r="AH131" s="367">
        <f t="shared" si="277"/>
        <v>1019.754513551914</v>
      </c>
      <c r="AT131" s="804">
        <f t="shared" ref="AT131:AT136" si="278">IF(Z131&lt;$G$449,0,MIN($G$446,1+IFERROR(INT((Z131-$G$449)/$G$463),0)))</f>
        <v>0</v>
      </c>
      <c r="AU131" s="804">
        <f t="shared" si="268"/>
        <v>0</v>
      </c>
      <c r="AV131" s="804">
        <f t="shared" si="269"/>
        <v>0</v>
      </c>
      <c r="AW131" s="804">
        <f t="shared" si="270"/>
        <v>0</v>
      </c>
      <c r="AX131" s="804">
        <f t="shared" si="271"/>
        <v>0</v>
      </c>
      <c r="AY131" s="804">
        <f t="shared" si="272"/>
        <v>0</v>
      </c>
      <c r="AZ131" s="804">
        <f t="shared" si="273"/>
        <v>0</v>
      </c>
      <c r="BA131" s="804">
        <f t="shared" si="274"/>
        <v>0</v>
      </c>
      <c r="BB131" s="804">
        <f t="shared" si="275"/>
        <v>1</v>
      </c>
    </row>
    <row r="132" spans="1:54" ht="15" customHeight="1">
      <c r="A132" s="417"/>
      <c r="B132" s="828"/>
      <c r="C132" s="779">
        <f>C133-$G$439</f>
        <v>0.25</v>
      </c>
      <c r="D132" s="470">
        <f t="shared" si="276"/>
        <v>-500</v>
      </c>
      <c r="E132" s="470">
        <f t="shared" si="259"/>
        <v>-300</v>
      </c>
      <c r="F132" s="470">
        <f t="shared" si="260"/>
        <v>0</v>
      </c>
      <c r="G132" s="470">
        <f t="shared" si="261"/>
        <v>200</v>
      </c>
      <c r="H132" s="470">
        <f t="shared" si="262"/>
        <v>400</v>
      </c>
      <c r="I132" s="470">
        <f t="shared" si="263"/>
        <v>700</v>
      </c>
      <c r="J132" s="470">
        <f t="shared" si="264"/>
        <v>900</v>
      </c>
      <c r="K132" s="470">
        <f t="shared" si="265"/>
        <v>1100</v>
      </c>
      <c r="L132" s="470">
        <f t="shared" si="266"/>
        <v>1400</v>
      </c>
      <c r="M132" s="417"/>
      <c r="N132" s="417"/>
      <c r="O132" s="417"/>
      <c r="P132" s="417"/>
      <c r="Q132" s="417"/>
      <c r="Z132" s="367">
        <f t="shared" ref="Z132:AH132" si="279">Z92+$G$430-AJ$93</f>
        <v>-505.81776404532866</v>
      </c>
      <c r="AA132" s="367">
        <f t="shared" si="279"/>
        <v>-271.0432499157796</v>
      </c>
      <c r="AB132" s="367">
        <f t="shared" si="279"/>
        <v>-36.268735786230536</v>
      </c>
      <c r="AC132" s="367">
        <f t="shared" si="279"/>
        <v>198.50577834332034</v>
      </c>
      <c r="AD132" s="367">
        <f t="shared" si="279"/>
        <v>433.28029247286759</v>
      </c>
      <c r="AE132" s="367">
        <f t="shared" si="279"/>
        <v>668.05480660241847</v>
      </c>
      <c r="AF132" s="367">
        <f t="shared" si="279"/>
        <v>902.82932073196571</v>
      </c>
      <c r="AG132" s="367">
        <f t="shared" si="279"/>
        <v>1137.6038348615166</v>
      </c>
      <c r="AH132" s="367">
        <f t="shared" si="279"/>
        <v>1372.3783489910656</v>
      </c>
      <c r="AT132" s="804">
        <f t="shared" si="278"/>
        <v>0</v>
      </c>
      <c r="AU132" s="804">
        <f t="shared" si="268"/>
        <v>0</v>
      </c>
      <c r="AV132" s="804">
        <f t="shared" si="269"/>
        <v>0</v>
      </c>
      <c r="AW132" s="804">
        <f t="shared" si="270"/>
        <v>0</v>
      </c>
      <c r="AX132" s="804">
        <f t="shared" si="271"/>
        <v>0</v>
      </c>
      <c r="AY132" s="804">
        <f t="shared" si="272"/>
        <v>0</v>
      </c>
      <c r="AZ132" s="804">
        <f t="shared" si="273"/>
        <v>0</v>
      </c>
      <c r="BA132" s="804">
        <f t="shared" si="274"/>
        <v>1</v>
      </c>
      <c r="BB132" s="804">
        <f t="shared" si="275"/>
        <v>3</v>
      </c>
    </row>
    <row r="133" spans="1:54" ht="15" customHeight="1">
      <c r="A133" s="417"/>
      <c r="B133" s="828"/>
      <c r="C133" s="779">
        <f>$G$438</f>
        <v>0.3</v>
      </c>
      <c r="D133" s="470">
        <f t="shared" si="276"/>
        <v>100</v>
      </c>
      <c r="E133" s="470">
        <f t="shared" si="259"/>
        <v>300</v>
      </c>
      <c r="F133" s="470">
        <f t="shared" si="260"/>
        <v>500</v>
      </c>
      <c r="G133" s="470">
        <f t="shared" si="261"/>
        <v>700</v>
      </c>
      <c r="H133" s="781">
        <f t="shared" si="262"/>
        <v>900</v>
      </c>
      <c r="I133" s="470">
        <f t="shared" si="263"/>
        <v>1100</v>
      </c>
      <c r="J133" s="470">
        <f t="shared" si="264"/>
        <v>1300</v>
      </c>
      <c r="K133" s="470">
        <f t="shared" si="265"/>
        <v>1500</v>
      </c>
      <c r="L133" s="470">
        <f t="shared" si="266"/>
        <v>1700</v>
      </c>
      <c r="M133" s="417"/>
      <c r="N133" s="417"/>
      <c r="O133" s="417"/>
      <c r="P133" s="417"/>
      <c r="Q133" s="417"/>
      <c r="Z133" s="367">
        <f t="shared" ref="Z133:AH133" si="280">Z93+$G$430-AJ$93</f>
        <v>96.934595741797239</v>
      </c>
      <c r="AA133" s="367">
        <f t="shared" si="280"/>
        <v>300.67579688619116</v>
      </c>
      <c r="AB133" s="367">
        <f t="shared" si="280"/>
        <v>504.41699803058691</v>
      </c>
      <c r="AC133" s="367">
        <f t="shared" si="280"/>
        <v>708.15819917498266</v>
      </c>
      <c r="AD133" s="367">
        <f t="shared" si="280"/>
        <v>911.89940031937476</v>
      </c>
      <c r="AE133" s="367">
        <f t="shared" si="280"/>
        <v>1115.6406014637714</v>
      </c>
      <c r="AF133" s="367">
        <f t="shared" si="280"/>
        <v>1319.3818026081644</v>
      </c>
      <c r="AG133" s="367">
        <f t="shared" si="280"/>
        <v>1523.1230037525593</v>
      </c>
      <c r="AH133" s="367">
        <f t="shared" si="280"/>
        <v>1726.8642048969541</v>
      </c>
      <c r="AT133" s="804">
        <f t="shared" si="278"/>
        <v>0</v>
      </c>
      <c r="AU133" s="804">
        <f t="shared" si="268"/>
        <v>0</v>
      </c>
      <c r="AV133" s="804">
        <f t="shared" si="269"/>
        <v>0</v>
      </c>
      <c r="AW133" s="804">
        <f t="shared" si="270"/>
        <v>0</v>
      </c>
      <c r="AX133" s="804">
        <f t="shared" si="271"/>
        <v>0</v>
      </c>
      <c r="AY133" s="804">
        <f t="shared" si="272"/>
        <v>1</v>
      </c>
      <c r="AZ133" s="804">
        <f t="shared" si="273"/>
        <v>2</v>
      </c>
      <c r="BA133" s="804">
        <f t="shared" si="274"/>
        <v>3</v>
      </c>
      <c r="BB133" s="804">
        <f t="shared" si="275"/>
        <v>5</v>
      </c>
    </row>
    <row r="134" spans="1:54" ht="15" customHeight="1">
      <c r="A134" s="417"/>
      <c r="B134" s="828"/>
      <c r="C134" s="779">
        <f>C133+$G$439</f>
        <v>0.35</v>
      </c>
      <c r="D134" s="470">
        <f t="shared" si="276"/>
        <v>700</v>
      </c>
      <c r="E134" s="470">
        <f t="shared" si="259"/>
        <v>900</v>
      </c>
      <c r="F134" s="470">
        <f t="shared" si="260"/>
        <v>1000</v>
      </c>
      <c r="G134" s="470">
        <f t="shared" si="261"/>
        <v>1200</v>
      </c>
      <c r="H134" s="470">
        <f t="shared" si="262"/>
        <v>1400</v>
      </c>
      <c r="I134" s="470">
        <f t="shared" si="263"/>
        <v>1600</v>
      </c>
      <c r="J134" s="470">
        <f t="shared" si="264"/>
        <v>1700</v>
      </c>
      <c r="K134" s="470">
        <f t="shared" si="265"/>
        <v>1900</v>
      </c>
      <c r="L134" s="470">
        <f t="shared" si="266"/>
        <v>2100</v>
      </c>
      <c r="M134" s="417"/>
      <c r="N134" s="417"/>
      <c r="O134" s="417"/>
      <c r="P134" s="417"/>
      <c r="Q134" s="417"/>
      <c r="Z134" s="367">
        <f t="shared" ref="Z134:AH134" si="281">Z94+$G$430-AJ$93</f>
        <v>702.93935234762284</v>
      </c>
      <c r="AA134" s="367">
        <f t="shared" si="281"/>
        <v>875.47548515197559</v>
      </c>
      <c r="AB134" s="367">
        <f t="shared" si="281"/>
        <v>1048.0116179563302</v>
      </c>
      <c r="AC134" s="367">
        <f t="shared" si="281"/>
        <v>1220.5477507606829</v>
      </c>
      <c r="AD134" s="367">
        <f t="shared" si="281"/>
        <v>1393.0838835650338</v>
      </c>
      <c r="AE134" s="367">
        <f t="shared" si="281"/>
        <v>1565.6200163693875</v>
      </c>
      <c r="AF134" s="367">
        <f t="shared" si="281"/>
        <v>1738.1561491737375</v>
      </c>
      <c r="AG134" s="367">
        <f t="shared" si="281"/>
        <v>1910.6922819780912</v>
      </c>
      <c r="AH134" s="367">
        <f t="shared" si="281"/>
        <v>2083.228414782443</v>
      </c>
      <c r="AT134" s="804">
        <f t="shared" si="278"/>
        <v>0</v>
      </c>
      <c r="AU134" s="804">
        <f t="shared" si="268"/>
        <v>0</v>
      </c>
      <c r="AV134" s="804">
        <f t="shared" si="269"/>
        <v>1</v>
      </c>
      <c r="AW134" s="804">
        <f t="shared" si="270"/>
        <v>2</v>
      </c>
      <c r="AX134" s="804">
        <f t="shared" si="271"/>
        <v>3</v>
      </c>
      <c r="AY134" s="804">
        <f t="shared" si="272"/>
        <v>4</v>
      </c>
      <c r="AZ134" s="804">
        <f t="shared" si="273"/>
        <v>5</v>
      </c>
      <c r="BA134" s="804">
        <f t="shared" si="274"/>
        <v>6</v>
      </c>
      <c r="BB134" s="804">
        <f t="shared" si="275"/>
        <v>7</v>
      </c>
    </row>
    <row r="135" spans="1:54" ht="15" customHeight="1">
      <c r="A135" s="417"/>
      <c r="B135" s="828"/>
      <c r="C135" s="779">
        <f>C134+$G$439</f>
        <v>0.39999999999999997</v>
      </c>
      <c r="D135" s="470">
        <f t="shared" si="276"/>
        <v>1300</v>
      </c>
      <c r="E135" s="470">
        <f t="shared" si="259"/>
        <v>1500</v>
      </c>
      <c r="F135" s="470">
        <f t="shared" si="260"/>
        <v>1600</v>
      </c>
      <c r="G135" s="470">
        <f t="shared" si="261"/>
        <v>1700</v>
      </c>
      <c r="H135" s="470">
        <f t="shared" si="262"/>
        <v>1900</v>
      </c>
      <c r="I135" s="470">
        <f t="shared" si="263"/>
        <v>2000</v>
      </c>
      <c r="J135" s="470">
        <f t="shared" si="264"/>
        <v>2200</v>
      </c>
      <c r="K135" s="470">
        <f t="shared" si="265"/>
        <v>2300</v>
      </c>
      <c r="L135" s="470">
        <f t="shared" si="266"/>
        <v>2400</v>
      </c>
      <c r="M135" s="417"/>
      <c r="N135" s="417"/>
      <c r="O135" s="417"/>
      <c r="P135" s="417"/>
      <c r="Q135" s="417"/>
      <c r="Z135" s="367">
        <f t="shared" ref="Z135:AH135" si="282">Z95+$G$430-AJ$93</f>
        <v>1312.2251192339008</v>
      </c>
      <c r="AA135" s="367">
        <f t="shared" si="282"/>
        <v>1453.3829172991464</v>
      </c>
      <c r="AB135" s="367">
        <f t="shared" si="282"/>
        <v>1594.5407153643919</v>
      </c>
      <c r="AC135" s="367">
        <f t="shared" si="282"/>
        <v>1735.6985134296374</v>
      </c>
      <c r="AD135" s="367">
        <f t="shared" si="282"/>
        <v>1876.8563114948811</v>
      </c>
      <c r="AE135" s="367">
        <f t="shared" si="282"/>
        <v>2018.0141095601275</v>
      </c>
      <c r="AF135" s="367">
        <f t="shared" si="282"/>
        <v>2159.1719076253721</v>
      </c>
      <c r="AG135" s="367">
        <f t="shared" si="282"/>
        <v>2300.3297056906176</v>
      </c>
      <c r="AH135" s="367">
        <f t="shared" si="282"/>
        <v>2441.4875037558631</v>
      </c>
      <c r="AT135" s="804">
        <f t="shared" si="278"/>
        <v>2</v>
      </c>
      <c r="AU135" s="804">
        <f t="shared" si="268"/>
        <v>3</v>
      </c>
      <c r="AV135" s="804">
        <f t="shared" si="269"/>
        <v>4</v>
      </c>
      <c r="AW135" s="804">
        <f t="shared" si="270"/>
        <v>5</v>
      </c>
      <c r="AX135" s="804">
        <f t="shared" si="271"/>
        <v>5</v>
      </c>
      <c r="AY135" s="804">
        <f t="shared" si="272"/>
        <v>6</v>
      </c>
      <c r="AZ135" s="804">
        <f t="shared" si="273"/>
        <v>7</v>
      </c>
      <c r="BA135" s="804">
        <f t="shared" si="274"/>
        <v>8</v>
      </c>
      <c r="BB135" s="804">
        <f t="shared" si="275"/>
        <v>9</v>
      </c>
    </row>
    <row r="136" spans="1:54" ht="15" customHeight="1">
      <c r="A136" s="417"/>
      <c r="B136" s="829"/>
      <c r="C136" s="780">
        <f>C135+$G$439</f>
        <v>0.44999999999999996</v>
      </c>
      <c r="D136" s="771">
        <f t="shared" si="276"/>
        <v>1900</v>
      </c>
      <c r="E136" s="771">
        <f t="shared" si="259"/>
        <v>2000</v>
      </c>
      <c r="F136" s="771">
        <f t="shared" si="260"/>
        <v>2100</v>
      </c>
      <c r="G136" s="771">
        <f t="shared" si="261"/>
        <v>2300</v>
      </c>
      <c r="H136" s="771">
        <f t="shared" si="262"/>
        <v>2400</v>
      </c>
      <c r="I136" s="771">
        <f t="shared" si="263"/>
        <v>2500</v>
      </c>
      <c r="J136" s="771">
        <f t="shared" si="264"/>
        <v>2600</v>
      </c>
      <c r="K136" s="771">
        <f t="shared" si="265"/>
        <v>2700</v>
      </c>
      <c r="L136" s="771">
        <f t="shared" si="266"/>
        <v>2800</v>
      </c>
      <c r="M136" s="417"/>
      <c r="N136" s="417"/>
      <c r="O136" s="417"/>
      <c r="P136" s="417"/>
      <c r="Q136" s="417"/>
      <c r="Z136" s="367">
        <f t="shared" ref="Z136:AH136" si="283">Z96+$G$430-AJ$93</f>
        <v>1924.820846491335</v>
      </c>
      <c r="AA136" s="367">
        <f t="shared" si="283"/>
        <v>2034.4255145972402</v>
      </c>
      <c r="AB136" s="367">
        <f t="shared" si="283"/>
        <v>2144.0301827031453</v>
      </c>
      <c r="AC136" s="367">
        <f t="shared" si="283"/>
        <v>2253.6348508090505</v>
      </c>
      <c r="AD136" s="367">
        <f t="shared" si="283"/>
        <v>2363.2395189149538</v>
      </c>
      <c r="AE136" s="367">
        <f t="shared" si="283"/>
        <v>2472.8441870208599</v>
      </c>
      <c r="AF136" s="367">
        <f t="shared" si="283"/>
        <v>2582.4488551267623</v>
      </c>
      <c r="AG136" s="367">
        <f t="shared" si="283"/>
        <v>2692.0535232326692</v>
      </c>
      <c r="AH136" s="367">
        <f t="shared" si="283"/>
        <v>2801.6581913385726</v>
      </c>
      <c r="AT136" s="804">
        <f t="shared" si="278"/>
        <v>6</v>
      </c>
      <c r="AU136" s="804">
        <f t="shared" si="268"/>
        <v>6</v>
      </c>
      <c r="AV136" s="804">
        <f t="shared" si="269"/>
        <v>7</v>
      </c>
      <c r="AW136" s="804">
        <f t="shared" si="270"/>
        <v>7</v>
      </c>
      <c r="AX136" s="804">
        <f t="shared" si="271"/>
        <v>8</v>
      </c>
      <c r="AY136" s="804">
        <f t="shared" si="272"/>
        <v>9</v>
      </c>
      <c r="AZ136" s="804">
        <f t="shared" si="273"/>
        <v>9</v>
      </c>
      <c r="BA136" s="804">
        <f t="shared" si="274"/>
        <v>10</v>
      </c>
      <c r="BB136" s="804">
        <f t="shared" si="275"/>
        <v>10</v>
      </c>
    </row>
    <row r="137" spans="1:54" ht="15" hidden="1" customHeight="1" outlineLevel="1">
      <c r="A137" s="417"/>
      <c r="B137" s="423" t="s">
        <v>2779</v>
      </c>
      <c r="C137" s="784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2570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67" t="s">
        <v>2565</v>
      </c>
      <c r="E141" s="767"/>
      <c r="F141" s="767"/>
      <c r="G141" s="767"/>
      <c r="H141" s="767"/>
      <c r="I141" s="767"/>
      <c r="J141" s="767"/>
      <c r="K141" s="767"/>
      <c r="L141" s="767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799">
        <f>E142+$G$458</f>
        <v>76</v>
      </c>
      <c r="E142" s="799">
        <f>F142+$G$458</f>
        <v>72</v>
      </c>
      <c r="F142" s="799">
        <f>G142+$G$458</f>
        <v>68</v>
      </c>
      <c r="G142" s="799">
        <f>H142+$G$458</f>
        <v>64</v>
      </c>
      <c r="H142" s="799">
        <f>$G$457</f>
        <v>60</v>
      </c>
      <c r="I142" s="799">
        <f>H142-$G$458</f>
        <v>56</v>
      </c>
      <c r="J142" s="799">
        <f>I142-$G$458</f>
        <v>52</v>
      </c>
      <c r="K142" s="799">
        <f>J142-$G$458</f>
        <v>48</v>
      </c>
      <c r="L142" s="799">
        <f>K142-$G$458</f>
        <v>44</v>
      </c>
      <c r="M142" s="417"/>
      <c r="N142" s="417"/>
      <c r="O142" s="417"/>
      <c r="P142" s="417"/>
      <c r="Q142" s="417"/>
      <c r="AT142" s="772" t="s">
        <v>2614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27" t="s">
        <v>2526</v>
      </c>
      <c r="C143" s="779">
        <f>C144-$G$439</f>
        <v>0.15000000000000002</v>
      </c>
      <c r="D143" s="490">
        <f>IFERROR(Z130/AJ$93,0)</f>
        <v>-0.18590656628811883</v>
      </c>
      <c r="E143" s="490">
        <f t="shared" ref="E143:L143" si="284">IFERROR(AA130/AK$93,0)</f>
        <v>-0.16083859861013419</v>
      </c>
      <c r="F143" s="490">
        <f t="shared" si="284"/>
        <v>-0.13326567012482959</v>
      </c>
      <c r="G143" s="490">
        <f t="shared" si="284"/>
        <v>-0.10279256561527986</v>
      </c>
      <c r="H143" s="490">
        <f t="shared" si="284"/>
        <v>-6.8936315724826974E-2</v>
      </c>
      <c r="I143" s="490">
        <f t="shared" si="284"/>
        <v>-3.1100409152043103E-2</v>
      </c>
      <c r="J143" s="490">
        <f t="shared" si="284"/>
        <v>1.1460656729624272E-2</v>
      </c>
      <c r="K143" s="490">
        <f t="shared" si="284"/>
        <v>5.9690991160862066E-2</v>
      </c>
      <c r="L143" s="490">
        <f t="shared" si="284"/>
        <v>0.11480416674007926</v>
      </c>
      <c r="M143" s="417"/>
      <c r="N143" s="417"/>
      <c r="O143" s="417"/>
      <c r="P143" s="417"/>
      <c r="Q143" s="417"/>
      <c r="AT143" s="804">
        <f>IF(Z130&lt;$G$449,0,MIN($G$446,1+IFERROR(INT((Z130-$G$449)/$G$463),0)))</f>
        <v>0</v>
      </c>
      <c r="AU143" s="804">
        <f t="shared" ref="AU143:BB143" si="285">IF(AA130&lt;$G$449,0,MIN($G$446,1+IFERROR(INT((AA130-$G$449)/$G$463),0)))</f>
        <v>0</v>
      </c>
      <c r="AV143" s="804">
        <f t="shared" si="285"/>
        <v>0</v>
      </c>
      <c r="AW143" s="804">
        <f t="shared" si="285"/>
        <v>0</v>
      </c>
      <c r="AX143" s="804">
        <f t="shared" si="285"/>
        <v>0</v>
      </c>
      <c r="AY143" s="804">
        <f t="shared" si="285"/>
        <v>0</v>
      </c>
      <c r="AZ143" s="804">
        <f t="shared" si="285"/>
        <v>0</v>
      </c>
      <c r="BA143" s="804">
        <f t="shared" si="285"/>
        <v>0</v>
      </c>
      <c r="BB143" s="804">
        <f t="shared" si="285"/>
        <v>0</v>
      </c>
    </row>
    <row r="144" spans="1:54" ht="15" customHeight="1">
      <c r="A144" s="417"/>
      <c r="B144" s="828"/>
      <c r="C144" s="779">
        <f>C145-$G$439</f>
        <v>0.2</v>
      </c>
      <c r="D144" s="490">
        <f t="shared" ref="D144:L144" si="286">IFERROR(Z131/AJ$93,0)</f>
        <v>-0.12075790473020184</v>
      </c>
      <c r="E144" s="490">
        <f t="shared" si="286"/>
        <v>-9.610267086355781E-2</v>
      </c>
      <c r="F144" s="490">
        <f t="shared" si="286"/>
        <v>-6.8983719342391531E-2</v>
      </c>
      <c r="G144" s="490">
        <f t="shared" si="286"/>
        <v>-3.9012342006307814E-2</v>
      </c>
      <c r="H144" s="490">
        <f t="shared" si="286"/>
        <v>-5.7135213911153233E-3</v>
      </c>
      <c r="I144" s="490">
        <f t="shared" si="286"/>
        <v>3.1499432490572243E-2</v>
      </c>
      <c r="J144" s="490">
        <f t="shared" si="286"/>
        <v>7.3359747870175823E-2</v>
      </c>
      <c r="K144" s="490">
        <f t="shared" si="286"/>
        <v>0.12079598961676673</v>
      </c>
      <c r="L144" s="490">
        <f t="shared" si="286"/>
        <v>0.17500174935341931</v>
      </c>
      <c r="M144" s="417"/>
      <c r="N144" s="417"/>
      <c r="O144" s="417"/>
      <c r="P144" s="417"/>
      <c r="Q144" s="417"/>
      <c r="AT144" s="804">
        <f t="shared" ref="AT144:BB144" si="287">IF(Z131&lt;$G$449,0,MIN($G$446,1+IFERROR(INT((Z131-$G$449)/$G$463),0)))</f>
        <v>0</v>
      </c>
      <c r="AU144" s="804">
        <f t="shared" si="287"/>
        <v>0</v>
      </c>
      <c r="AV144" s="804">
        <f t="shared" si="287"/>
        <v>0</v>
      </c>
      <c r="AW144" s="804">
        <f t="shared" si="287"/>
        <v>0</v>
      </c>
      <c r="AX144" s="804">
        <f t="shared" si="287"/>
        <v>0</v>
      </c>
      <c r="AY144" s="804">
        <f t="shared" si="287"/>
        <v>0</v>
      </c>
      <c r="AZ144" s="804">
        <f t="shared" si="287"/>
        <v>0</v>
      </c>
      <c r="BA144" s="804">
        <f t="shared" si="287"/>
        <v>0</v>
      </c>
      <c r="BB144" s="804">
        <f t="shared" si="287"/>
        <v>1</v>
      </c>
    </row>
    <row r="145" spans="1:54" ht="15" customHeight="1">
      <c r="A145" s="417"/>
      <c r="B145" s="828"/>
      <c r="C145" s="779">
        <f>C146-$G$439</f>
        <v>0.25</v>
      </c>
      <c r="D145" s="490">
        <f t="shared" ref="D145:L145" si="288">IFERROR(Z132/AJ$93,0)</f>
        <v>-5.526006596963589E-2</v>
      </c>
      <c r="E145" s="490">
        <f t="shared" si="288"/>
        <v>-3.102026714143484E-2</v>
      </c>
      <c r="F145" s="490">
        <f t="shared" si="288"/>
        <v>-4.3582637363832012E-3</v>
      </c>
      <c r="G145" s="490">
        <f t="shared" si="288"/>
        <v>2.5108102762523187E-2</v>
      </c>
      <c r="H145" s="490">
        <f t="shared" si="288"/>
        <v>5.7845845884100959E-2</v>
      </c>
      <c r="I145" s="490">
        <f t="shared" si="288"/>
        <v>9.4431770023948425E-2</v>
      </c>
      <c r="J145" s="490">
        <f t="shared" si="288"/>
        <v>0.13558674868587892</v>
      </c>
      <c r="K145" s="490">
        <f t="shared" si="288"/>
        <v>0.18222370063379406</v>
      </c>
      <c r="L145" s="490">
        <f t="shared" si="288"/>
        <v>0.23551610574554943</v>
      </c>
      <c r="M145" s="417"/>
      <c r="N145" s="417"/>
      <c r="O145" s="417"/>
      <c r="P145" s="417"/>
      <c r="Q145" s="417"/>
      <c r="AT145" s="804">
        <f t="shared" ref="AT145:BB145" si="289">IF(Z132&lt;$G$449,0,MIN($G$446,1+IFERROR(INT((Z132-$G$449)/$G$463),0)))</f>
        <v>0</v>
      </c>
      <c r="AU145" s="804">
        <f t="shared" si="289"/>
        <v>0</v>
      </c>
      <c r="AV145" s="804">
        <f t="shared" si="289"/>
        <v>0</v>
      </c>
      <c r="AW145" s="804">
        <f t="shared" si="289"/>
        <v>0</v>
      </c>
      <c r="AX145" s="804">
        <f t="shared" si="289"/>
        <v>0</v>
      </c>
      <c r="AY145" s="804">
        <f t="shared" si="289"/>
        <v>0</v>
      </c>
      <c r="AZ145" s="804">
        <f t="shared" si="289"/>
        <v>0</v>
      </c>
      <c r="BA145" s="804">
        <f t="shared" si="289"/>
        <v>1</v>
      </c>
      <c r="BB145" s="804">
        <f t="shared" si="289"/>
        <v>3</v>
      </c>
    </row>
    <row r="146" spans="1:54" ht="15" customHeight="1">
      <c r="A146" s="417"/>
      <c r="B146" s="828"/>
      <c r="C146" s="779">
        <f>$G$438</f>
        <v>0.3</v>
      </c>
      <c r="D146" s="490">
        <f t="shared" ref="D146:L146" si="290">IFERROR(Z133/AJ$93,0)</f>
        <v>1.0590004021590018E-2</v>
      </c>
      <c r="E146" s="490">
        <f t="shared" si="290"/>
        <v>3.4411642958353007E-2</v>
      </c>
      <c r="F146" s="490">
        <f t="shared" si="290"/>
        <v>6.0613701108561985E-2</v>
      </c>
      <c r="G146" s="490">
        <f t="shared" si="290"/>
        <v>8.9571744386488461E-2</v>
      </c>
      <c r="H146" s="782">
        <f t="shared" si="290"/>
        <v>0.1217447298874824</v>
      </c>
      <c r="I146" s="490">
        <f t="shared" si="290"/>
        <v>0.15769951157540998</v>
      </c>
      <c r="J146" s="490">
        <f t="shared" si="290"/>
        <v>0.19814452719138553</v>
      </c>
      <c r="K146" s="490">
        <f t="shared" si="290"/>
        <v>0.24397694677078716</v>
      </c>
      <c r="L146" s="490">
        <f t="shared" si="290"/>
        <v>0.29635000653261023</v>
      </c>
      <c r="M146" s="417"/>
      <c r="N146" s="417"/>
      <c r="O146" s="417"/>
      <c r="P146" s="417"/>
      <c r="Q146" s="417"/>
      <c r="AT146" s="804">
        <f t="shared" ref="AT146:BB146" si="291">IF(Z133&lt;$G$449,0,MIN($G$446,1+IFERROR(INT((Z133-$G$449)/$G$463),0)))</f>
        <v>0</v>
      </c>
      <c r="AU146" s="804">
        <f t="shared" si="291"/>
        <v>0</v>
      </c>
      <c r="AV146" s="804">
        <f t="shared" si="291"/>
        <v>0</v>
      </c>
      <c r="AW146" s="804">
        <f t="shared" si="291"/>
        <v>0</v>
      </c>
      <c r="AX146" s="804">
        <f t="shared" si="291"/>
        <v>0</v>
      </c>
      <c r="AY146" s="804">
        <f t="shared" si="291"/>
        <v>1</v>
      </c>
      <c r="AZ146" s="804">
        <f t="shared" si="291"/>
        <v>2</v>
      </c>
      <c r="BA146" s="804">
        <f t="shared" si="291"/>
        <v>3</v>
      </c>
      <c r="BB146" s="804">
        <f t="shared" si="291"/>
        <v>5</v>
      </c>
    </row>
    <row r="147" spans="1:54" ht="15" customHeight="1">
      <c r="A147" s="417"/>
      <c r="B147" s="828"/>
      <c r="C147" s="779">
        <f>C146+$G$439</f>
        <v>0.35</v>
      </c>
      <c r="D147" s="490">
        <f t="shared" ref="D147:L147" si="292">IFERROR(Z134/AJ$93,0)</f>
        <v>7.6795394991113305E-2</v>
      </c>
      <c r="E147" s="490">
        <f t="shared" si="292"/>
        <v>0.10019612528122399</v>
      </c>
      <c r="F147" s="490">
        <f t="shared" si="292"/>
        <v>0.12593521474717131</v>
      </c>
      <c r="G147" s="490">
        <f t="shared" si="292"/>
        <v>0.1543815933643172</v>
      </c>
      <c r="H147" s="490">
        <f t="shared" si="292"/>
        <v>0.1859861088359426</v>
      </c>
      <c r="I147" s="490">
        <f t="shared" si="292"/>
        <v>0.22130559928546609</v>
      </c>
      <c r="J147" s="490">
        <f t="shared" si="292"/>
        <v>0.26103598494537733</v>
      </c>
      <c r="K147" s="490">
        <f t="shared" si="292"/>
        <v>0.3060585835989737</v>
      </c>
      <c r="L147" s="490">
        <f t="shared" si="292"/>
        <v>0.35750625473560954</v>
      </c>
      <c r="M147" s="417"/>
      <c r="N147" s="417"/>
      <c r="O147" s="417"/>
      <c r="P147" s="417"/>
      <c r="Q147" s="417"/>
      <c r="AT147" s="804">
        <f t="shared" ref="AT147:BB147" si="293">IF(Z134&lt;$G$449,0,MIN($G$446,1+IFERROR(INT((Z134-$G$449)/$G$463),0)))</f>
        <v>0</v>
      </c>
      <c r="AU147" s="804">
        <f t="shared" si="293"/>
        <v>0</v>
      </c>
      <c r="AV147" s="804">
        <f t="shared" si="293"/>
        <v>1</v>
      </c>
      <c r="AW147" s="804">
        <f t="shared" si="293"/>
        <v>2</v>
      </c>
      <c r="AX147" s="804">
        <f t="shared" si="293"/>
        <v>3</v>
      </c>
      <c r="AY147" s="804">
        <f t="shared" si="293"/>
        <v>4</v>
      </c>
      <c r="AZ147" s="804">
        <f t="shared" si="293"/>
        <v>5</v>
      </c>
      <c r="BA147" s="804">
        <f t="shared" si="293"/>
        <v>6</v>
      </c>
      <c r="BB147" s="804">
        <f t="shared" si="293"/>
        <v>7</v>
      </c>
    </row>
    <row r="148" spans="1:54" ht="15" customHeight="1">
      <c r="A148" s="417"/>
      <c r="B148" s="828"/>
      <c r="C148" s="779">
        <f>C147+$G$439</f>
        <v>0.39999999999999997</v>
      </c>
      <c r="D148" s="490">
        <f t="shared" ref="D148:L148" si="294">IFERROR(Z135/AJ$93,0)</f>
        <v>0.14335923292994587</v>
      </c>
      <c r="E148" s="490">
        <f t="shared" si="294"/>
        <v>0.16633628163559258</v>
      </c>
      <c r="F148" s="490">
        <f t="shared" si="294"/>
        <v>0.19160935238877325</v>
      </c>
      <c r="G148" s="490">
        <f t="shared" si="294"/>
        <v>0.21954069550850697</v>
      </c>
      <c r="H148" s="490">
        <f t="shared" si="294"/>
        <v>0.25057299588149101</v>
      </c>
      <c r="I148" s="490">
        <f t="shared" si="294"/>
        <v>0.28525300980653878</v>
      </c>
      <c r="J148" s="490">
        <f t="shared" si="294"/>
        <v>0.32426405754241672</v>
      </c>
      <c r="K148" s="490">
        <f t="shared" si="294"/>
        <v>0.36847150018601854</v>
      </c>
      <c r="L148" s="490">
        <f t="shared" si="294"/>
        <v>0.41898768625556826</v>
      </c>
      <c r="M148" s="417"/>
      <c r="N148" s="417"/>
      <c r="O148" s="417"/>
      <c r="P148" s="417"/>
      <c r="Q148" s="417"/>
      <c r="AT148" s="804">
        <f t="shared" ref="AT148:BB148" si="295">IF(Z135&lt;$G$449,0,MIN($G$446,1+IFERROR(INT((Z135-$G$449)/$G$463),0)))</f>
        <v>2</v>
      </c>
      <c r="AU148" s="804">
        <f t="shared" si="295"/>
        <v>3</v>
      </c>
      <c r="AV148" s="804">
        <f t="shared" si="295"/>
        <v>4</v>
      </c>
      <c r="AW148" s="804">
        <f t="shared" si="295"/>
        <v>5</v>
      </c>
      <c r="AX148" s="804">
        <f t="shared" si="295"/>
        <v>5</v>
      </c>
      <c r="AY148" s="804">
        <f t="shared" si="295"/>
        <v>6</v>
      </c>
      <c r="AZ148" s="804">
        <f t="shared" si="295"/>
        <v>7</v>
      </c>
      <c r="BA148" s="804">
        <f t="shared" si="295"/>
        <v>8</v>
      </c>
      <c r="BB148" s="804">
        <f t="shared" si="295"/>
        <v>9</v>
      </c>
    </row>
    <row r="149" spans="1:54" ht="15" customHeight="1">
      <c r="A149" s="417"/>
      <c r="B149" s="829"/>
      <c r="C149" s="780">
        <f>C148+$G$439</f>
        <v>0.44999999999999996</v>
      </c>
      <c r="D149" s="783">
        <f t="shared" ref="D149:L149" si="296">IFERROR(Z136/AJ$93,0)</f>
        <v>0.21028468060546335</v>
      </c>
      <c r="E149" s="783">
        <f t="shared" si="296"/>
        <v>0.23283525032173616</v>
      </c>
      <c r="F149" s="783">
        <f t="shared" si="296"/>
        <v>0.25763922542162943</v>
      </c>
      <c r="G149" s="783">
        <f t="shared" si="296"/>
        <v>0.28505213246464317</v>
      </c>
      <c r="H149" s="783">
        <f t="shared" si="296"/>
        <v>0.31550843962498437</v>
      </c>
      <c r="I149" s="783">
        <f t="shared" si="296"/>
        <v>0.3495447548104898</v>
      </c>
      <c r="J149" s="783">
        <f t="shared" si="296"/>
        <v>0.38783171511347081</v>
      </c>
      <c r="K149" s="783">
        <f t="shared" si="296"/>
        <v>0.43121861958861729</v>
      </c>
      <c r="L149" s="783">
        <f t="shared" si="296"/>
        <v>0.48079717035704678</v>
      </c>
      <c r="M149" s="417"/>
      <c r="N149" s="417"/>
      <c r="O149" s="417"/>
      <c r="P149" s="417"/>
      <c r="Q149" s="417"/>
      <c r="AT149" s="804">
        <f t="shared" ref="AT149:BB149" si="297">IF(Z136&lt;$G$449,0,MIN($G$446,1+IFERROR(INT((Z136-$G$449)/$G$463),0)))</f>
        <v>6</v>
      </c>
      <c r="AU149" s="804">
        <f t="shared" si="297"/>
        <v>6</v>
      </c>
      <c r="AV149" s="804">
        <f t="shared" si="297"/>
        <v>7</v>
      </c>
      <c r="AW149" s="804">
        <f t="shared" si="297"/>
        <v>7</v>
      </c>
      <c r="AX149" s="804">
        <f t="shared" si="297"/>
        <v>8</v>
      </c>
      <c r="AY149" s="804">
        <f t="shared" si="297"/>
        <v>9</v>
      </c>
      <c r="AZ149" s="804">
        <f t="shared" si="297"/>
        <v>9</v>
      </c>
      <c r="BA149" s="804">
        <f t="shared" si="297"/>
        <v>10</v>
      </c>
      <c r="BB149" s="804">
        <f t="shared" si="297"/>
        <v>10</v>
      </c>
    </row>
    <row r="150" spans="1:54" ht="15" hidden="1" customHeight="1" outlineLevel="1">
      <c r="A150" s="417"/>
      <c r="B150" s="423" t="s">
        <v>2589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2571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67" t="s">
        <v>2565</v>
      </c>
      <c r="E154" s="767"/>
      <c r="F154" s="767"/>
      <c r="G154" s="767"/>
      <c r="H154" s="767"/>
      <c r="I154" s="767"/>
      <c r="J154" s="767"/>
      <c r="K154" s="767"/>
      <c r="L154" s="767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799">
        <f>E155+$G$458</f>
        <v>76</v>
      </c>
      <c r="E155" s="799">
        <f>F155+$G$458</f>
        <v>72</v>
      </c>
      <c r="F155" s="799">
        <f>G155+$G$458</f>
        <v>68</v>
      </c>
      <c r="G155" s="799">
        <f>H155+$G$458</f>
        <v>64</v>
      </c>
      <c r="H155" s="799">
        <f>$G$457</f>
        <v>60</v>
      </c>
      <c r="I155" s="799">
        <f>H155-$G$458</f>
        <v>56</v>
      </c>
      <c r="J155" s="799">
        <f>I155-$G$458</f>
        <v>52</v>
      </c>
      <c r="K155" s="799">
        <f>J155-$G$458</f>
        <v>48</v>
      </c>
      <c r="L155" s="799">
        <f>K155-$G$458</f>
        <v>44</v>
      </c>
      <c r="M155" s="417"/>
      <c r="N155" s="417"/>
      <c r="O155" s="417"/>
      <c r="P155" s="417"/>
      <c r="Q155" s="417"/>
      <c r="AT155" s="772" t="s">
        <v>2614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27" t="s">
        <v>2526</v>
      </c>
      <c r="C156" s="779">
        <f>C157-$G$439</f>
        <v>0.15000000000000002</v>
      </c>
      <c r="D156" s="631">
        <f>D116-AJ$95</f>
        <v>-1.3118248987266989E-2</v>
      </c>
      <c r="E156" s="631">
        <f t="shared" ref="E156:L156" si="298">E116-AK$95</f>
        <v>-5.9257064020903361E-3</v>
      </c>
      <c r="F156" s="631">
        <f t="shared" si="298"/>
        <v>1.6529116379480069E-3</v>
      </c>
      <c r="G156" s="631">
        <f t="shared" si="298"/>
        <v>9.6567667074800578E-3</v>
      </c>
      <c r="H156" s="631">
        <f t="shared" si="298"/>
        <v>1.8131121481901546E-2</v>
      </c>
      <c r="I156" s="631">
        <f t="shared" si="298"/>
        <v>2.7128673407962545E-2</v>
      </c>
      <c r="J156" s="631">
        <f t="shared" si="298"/>
        <v>3.6711275932411302E-2</v>
      </c>
      <c r="K156" s="631">
        <f t="shared" si="298"/>
        <v>4.6952191777182239E-2</v>
      </c>
      <c r="L156" s="631">
        <f t="shared" si="298"/>
        <v>5.7939090208444899E-2</v>
      </c>
      <c r="M156" s="417"/>
      <c r="N156" s="417"/>
      <c r="O156" s="417"/>
      <c r="P156" s="417"/>
      <c r="Q156" s="417"/>
      <c r="AT156" s="804">
        <f>IF(Z130&lt;$G$449,0,MIN($G$446,1+IFERROR(INT((Z130-$G$449)/$G$463),0)))</f>
        <v>0</v>
      </c>
      <c r="AU156" s="804">
        <f t="shared" ref="AU156:BB156" si="299">IF(AA130&lt;$G$449,0,MIN($G$446,1+IFERROR(INT((AA130-$G$449)/$G$463),0)))</f>
        <v>0</v>
      </c>
      <c r="AV156" s="804">
        <f t="shared" si="299"/>
        <v>0</v>
      </c>
      <c r="AW156" s="804">
        <f t="shared" si="299"/>
        <v>0</v>
      </c>
      <c r="AX156" s="804">
        <f t="shared" si="299"/>
        <v>0</v>
      </c>
      <c r="AY156" s="804">
        <f t="shared" si="299"/>
        <v>0</v>
      </c>
      <c r="AZ156" s="804">
        <f t="shared" si="299"/>
        <v>0</v>
      </c>
      <c r="BA156" s="804">
        <f t="shared" si="299"/>
        <v>0</v>
      </c>
      <c r="BB156" s="804">
        <f t="shared" si="299"/>
        <v>0</v>
      </c>
    </row>
    <row r="157" spans="1:54" ht="15" customHeight="1">
      <c r="A157" s="417"/>
      <c r="B157" s="828"/>
      <c r="C157" s="779">
        <f>C158-$G$439</f>
        <v>0.2</v>
      </c>
      <c r="D157" s="631">
        <f t="shared" ref="D157:L157" si="300">D117-AJ$95</f>
        <v>7.8463770221561813E-3</v>
      </c>
      <c r="E157" s="631">
        <f t="shared" si="300"/>
        <v>1.4266575726610942E-2</v>
      </c>
      <c r="F157" s="631">
        <f t="shared" si="300"/>
        <v>2.104984481442429E-2</v>
      </c>
      <c r="G157" s="631">
        <f t="shared" si="300"/>
        <v>2.8234121876926199E-2</v>
      </c>
      <c r="H157" s="631">
        <f t="shared" si="300"/>
        <v>3.5863352686112071E-2</v>
      </c>
      <c r="I157" s="631">
        <f t="shared" si="300"/>
        <v>4.3988815648715152E-2</v>
      </c>
      <c r="J157" s="631">
        <f t="shared" si="300"/>
        <v>5.2670832681432689E-2</v>
      </c>
      <c r="K157" s="631">
        <f t="shared" si="300"/>
        <v>6.1981010826880789E-2</v>
      </c>
      <c r="L157" s="631">
        <f t="shared" si="300"/>
        <v>7.2005226359100227E-2</v>
      </c>
      <c r="M157" s="417"/>
      <c r="N157" s="417"/>
      <c r="O157" s="417"/>
      <c r="P157" s="417"/>
      <c r="Q157" s="417"/>
      <c r="AT157" s="804">
        <f t="shared" ref="AT157:BB157" si="301">IF(Z131&lt;$G$449,0,MIN($G$446,1+IFERROR(INT((Z131-$G$449)/$G$463),0)))</f>
        <v>0</v>
      </c>
      <c r="AU157" s="804">
        <f t="shared" si="301"/>
        <v>0</v>
      </c>
      <c r="AV157" s="804">
        <f t="shared" si="301"/>
        <v>0</v>
      </c>
      <c r="AW157" s="804">
        <f t="shared" si="301"/>
        <v>0</v>
      </c>
      <c r="AX157" s="804">
        <f t="shared" si="301"/>
        <v>0</v>
      </c>
      <c r="AY157" s="804">
        <f t="shared" si="301"/>
        <v>0</v>
      </c>
      <c r="AZ157" s="804">
        <f t="shared" si="301"/>
        <v>0</v>
      </c>
      <c r="BA157" s="804">
        <f t="shared" si="301"/>
        <v>0</v>
      </c>
      <c r="BB157" s="804">
        <f t="shared" si="301"/>
        <v>1</v>
      </c>
    </row>
    <row r="158" spans="1:54" ht="15" customHeight="1">
      <c r="A158" s="417"/>
      <c r="B158" s="828"/>
      <c r="C158" s="779">
        <f>C159-$G$439</f>
        <v>0.25</v>
      </c>
      <c r="D158" s="631">
        <f t="shared" ref="D158:L158" si="302">D118-AJ$95</f>
        <v>2.7601961697728994E-2</v>
      </c>
      <c r="E158" s="631">
        <f t="shared" si="302"/>
        <v>3.3333570866039608E-2</v>
      </c>
      <c r="F158" s="631">
        <f t="shared" si="302"/>
        <v>3.9405138338809875E-2</v>
      </c>
      <c r="G158" s="631">
        <f t="shared" si="302"/>
        <v>4.5853203332154147E-2</v>
      </c>
      <c r="H158" s="631">
        <f t="shared" si="302"/>
        <v>5.2720192032216007E-2</v>
      </c>
      <c r="I158" s="631">
        <f t="shared" si="302"/>
        <v>6.0055728281044329E-2</v>
      </c>
      <c r="J158" s="631">
        <f t="shared" si="302"/>
        <v>6.7918328733406197E-2</v>
      </c>
      <c r="K158" s="631">
        <f t="shared" si="302"/>
        <v>7.6377626470492066E-2</v>
      </c>
      <c r="L158" s="631">
        <f t="shared" si="302"/>
        <v>8.5517334418302671E-2</v>
      </c>
      <c r="M158" s="417"/>
      <c r="N158" s="417"/>
      <c r="O158" s="417"/>
      <c r="P158" s="417"/>
      <c r="Q158" s="417"/>
      <c r="AT158" s="804">
        <f t="shared" ref="AT158:BB158" si="303">IF(Z132&lt;$G$449,0,MIN($G$446,1+IFERROR(INT((Z132-$G$449)/$G$463),0)))</f>
        <v>0</v>
      </c>
      <c r="AU158" s="804">
        <f t="shared" si="303"/>
        <v>0</v>
      </c>
      <c r="AV158" s="804">
        <f t="shared" si="303"/>
        <v>0</v>
      </c>
      <c r="AW158" s="804">
        <f t="shared" si="303"/>
        <v>0</v>
      </c>
      <c r="AX158" s="804">
        <f t="shared" si="303"/>
        <v>0</v>
      </c>
      <c r="AY158" s="804">
        <f t="shared" si="303"/>
        <v>0</v>
      </c>
      <c r="AZ158" s="804">
        <f t="shared" si="303"/>
        <v>0</v>
      </c>
      <c r="BA158" s="804">
        <f t="shared" si="303"/>
        <v>1</v>
      </c>
      <c r="BB158" s="804">
        <f t="shared" si="303"/>
        <v>3</v>
      </c>
    </row>
    <row r="159" spans="1:54" ht="15" customHeight="1">
      <c r="A159" s="417"/>
      <c r="B159" s="828"/>
      <c r="C159" s="779">
        <f>$G$438</f>
        <v>0.3</v>
      </c>
      <c r="D159" s="631">
        <f t="shared" ref="D159:L159" si="304">D119-AJ$95</f>
        <v>4.6303347678645856E-2</v>
      </c>
      <c r="E159" s="631">
        <f t="shared" si="304"/>
        <v>5.1415154672957986E-2</v>
      </c>
      <c r="F159" s="631">
        <f t="shared" si="304"/>
        <v>5.6844154315205619E-2</v>
      </c>
      <c r="G159" s="631">
        <f t="shared" si="304"/>
        <v>6.2625365011682144E-2</v>
      </c>
      <c r="H159" s="789">
        <f t="shared" si="304"/>
        <v>6.8799546004345791E-2</v>
      </c>
      <c r="I159" s="631">
        <f t="shared" si="304"/>
        <v>7.5414489599689549E-2</v>
      </c>
      <c r="J159" s="631">
        <f t="shared" si="304"/>
        <v>8.2526694953560353E-2</v>
      </c>
      <c r="K159" s="631">
        <f t="shared" si="304"/>
        <v>9.0203566840364902E-2</v>
      </c>
      <c r="L159" s="631">
        <f t="shared" si="304"/>
        <v>9.8526350070661461E-2</v>
      </c>
      <c r="M159" s="417"/>
      <c r="N159" s="417"/>
      <c r="O159" s="417"/>
      <c r="P159" s="417"/>
      <c r="Q159" s="417"/>
      <c r="AT159" s="804">
        <f t="shared" ref="AT159:BB159" si="305">IF(Z133&lt;$G$449,0,MIN($G$446,1+IFERROR(INT((Z133-$G$449)/$G$463),0)))</f>
        <v>0</v>
      </c>
      <c r="AU159" s="804">
        <f t="shared" si="305"/>
        <v>0</v>
      </c>
      <c r="AV159" s="804">
        <f t="shared" si="305"/>
        <v>0</v>
      </c>
      <c r="AW159" s="804">
        <f t="shared" si="305"/>
        <v>0</v>
      </c>
      <c r="AX159" s="804">
        <f t="shared" si="305"/>
        <v>0</v>
      </c>
      <c r="AY159" s="804">
        <f t="shared" si="305"/>
        <v>1</v>
      </c>
      <c r="AZ159" s="804">
        <f t="shared" si="305"/>
        <v>2</v>
      </c>
      <c r="BA159" s="804">
        <f t="shared" si="305"/>
        <v>3</v>
      </c>
      <c r="BB159" s="804">
        <f t="shared" si="305"/>
        <v>5</v>
      </c>
    </row>
    <row r="160" spans="1:54" ht="15" customHeight="1">
      <c r="A160" s="417"/>
      <c r="B160" s="828"/>
      <c r="C160" s="779">
        <f>C159+$G$439</f>
        <v>0.35</v>
      </c>
      <c r="D160" s="631">
        <f t="shared" ref="D160:L160" si="306">D120-AJ$95</f>
        <v>6.407675896851206E-2</v>
      </c>
      <c r="E160" s="631">
        <f t="shared" si="306"/>
        <v>6.8626071607575501E-2</v>
      </c>
      <c r="F160" s="631">
        <f t="shared" si="306"/>
        <v>7.3470411918348022E-2</v>
      </c>
      <c r="G160" s="631">
        <f t="shared" si="306"/>
        <v>7.8643196252398795E-2</v>
      </c>
      <c r="H160" s="631">
        <f t="shared" si="306"/>
        <v>8.4183414550170976E-2</v>
      </c>
      <c r="I160" s="631">
        <f t="shared" si="306"/>
        <v>9.013689961496163E-2</v>
      </c>
      <c r="J160" s="631">
        <f t="shared" si="306"/>
        <v>9.6557973907474892E-2</v>
      </c>
      <c r="K160" s="631">
        <f t="shared" si="306"/>
        <v>0.10351161654077345</v>
      </c>
      <c r="L160" s="631">
        <f t="shared" si="306"/>
        <v>0.11107636008595367</v>
      </c>
      <c r="M160" s="417"/>
      <c r="N160" s="417"/>
      <c r="O160" s="417"/>
      <c r="P160" s="417"/>
      <c r="Q160" s="417"/>
      <c r="AT160" s="804">
        <f t="shared" ref="AT160:BB160" si="307">IF(Z134&lt;$G$449,0,MIN($G$446,1+IFERROR(INT((Z134-$G$449)/$G$463),0)))</f>
        <v>0</v>
      </c>
      <c r="AU160" s="804">
        <f t="shared" si="307"/>
        <v>0</v>
      </c>
      <c r="AV160" s="804">
        <f t="shared" si="307"/>
        <v>1</v>
      </c>
      <c r="AW160" s="804">
        <f t="shared" si="307"/>
        <v>2</v>
      </c>
      <c r="AX160" s="804">
        <f t="shared" si="307"/>
        <v>3</v>
      </c>
      <c r="AY160" s="804">
        <f t="shared" si="307"/>
        <v>4</v>
      </c>
      <c r="AZ160" s="804">
        <f t="shared" si="307"/>
        <v>5</v>
      </c>
      <c r="BA160" s="804">
        <f t="shared" si="307"/>
        <v>6</v>
      </c>
      <c r="BB160" s="804">
        <f t="shared" si="307"/>
        <v>7</v>
      </c>
    </row>
    <row r="161" spans="1:54" ht="15" customHeight="1">
      <c r="A161" s="417"/>
      <c r="B161" s="828"/>
      <c r="C161" s="779">
        <f>C160+$G$439</f>
        <v>0.39999999999999997</v>
      </c>
      <c r="D161" s="631">
        <f t="shared" ref="D161:L161" si="308">D121-AJ$95</f>
        <v>8.1026534807955741E-2</v>
      </c>
      <c r="E161" s="631">
        <f t="shared" si="308"/>
        <v>8.506169312414591E-2</v>
      </c>
      <c r="F161" s="631">
        <f t="shared" si="308"/>
        <v>8.9370449749197833E-2</v>
      </c>
      <c r="G161" s="631">
        <f t="shared" si="308"/>
        <v>9.3984569361195147E-2</v>
      </c>
      <c r="H161" s="631">
        <f t="shared" si="308"/>
        <v>9.8941205755259665E-2</v>
      </c>
      <c r="I161" s="631">
        <f t="shared" si="308"/>
        <v>0.10428414386188178</v>
      </c>
      <c r="J161" s="631">
        <f t="shared" si="308"/>
        <v>0.1100654141911388</v>
      </c>
      <c r="K161" s="631">
        <f t="shared" si="308"/>
        <v>0.11634742138321519</v>
      </c>
      <c r="L161" s="631">
        <f t="shared" si="308"/>
        <v>0.12320579485264793</v>
      </c>
      <c r="M161" s="417"/>
      <c r="N161" s="417"/>
      <c r="O161" s="417"/>
      <c r="P161" s="417"/>
      <c r="Q161" s="417"/>
      <c r="AT161" s="804">
        <f t="shared" ref="AT161:BB161" si="309">IF(Z135&lt;$G$449,0,MIN($G$446,1+IFERROR(INT((Z135-$G$449)/$G$463),0)))</f>
        <v>2</v>
      </c>
      <c r="AU161" s="804">
        <f t="shared" si="309"/>
        <v>3</v>
      </c>
      <c r="AV161" s="804">
        <f t="shared" si="309"/>
        <v>4</v>
      </c>
      <c r="AW161" s="804">
        <f t="shared" si="309"/>
        <v>5</v>
      </c>
      <c r="AX161" s="804">
        <f t="shared" si="309"/>
        <v>5</v>
      </c>
      <c r="AY161" s="804">
        <f t="shared" si="309"/>
        <v>6</v>
      </c>
      <c r="AZ161" s="804">
        <f t="shared" si="309"/>
        <v>7</v>
      </c>
      <c r="BA161" s="804">
        <f t="shared" si="309"/>
        <v>8</v>
      </c>
      <c r="BB161" s="804">
        <f t="shared" si="309"/>
        <v>9</v>
      </c>
    </row>
    <row r="162" spans="1:54" ht="15" customHeight="1">
      <c r="A162" s="417"/>
      <c r="B162" s="829"/>
      <c r="C162" s="780">
        <f>C161+$G$439</f>
        <v>0.44999999999999996</v>
      </c>
      <c r="D162" s="790">
        <f t="shared" ref="D162:L162" si="310">D122-AJ$95</f>
        <v>9.7239978741570532E-2</v>
      </c>
      <c r="E162" s="790">
        <f t="shared" si="310"/>
        <v>0.10080220403631079</v>
      </c>
      <c r="F162" s="790">
        <f t="shared" si="310"/>
        <v>0.10461739649631574</v>
      </c>
      <c r="G162" s="790">
        <f t="shared" si="310"/>
        <v>0.1087156435473573</v>
      </c>
      <c r="H162" s="790">
        <f t="shared" si="310"/>
        <v>0.11313222342555873</v>
      </c>
      <c r="I162" s="790">
        <f t="shared" si="310"/>
        <v>0.11790881608164483</v>
      </c>
      <c r="J162" s="790">
        <f t="shared" si="310"/>
        <v>0.12309508047590123</v>
      </c>
      <c r="K162" s="790">
        <f t="shared" si="310"/>
        <v>0.12875073828203298</v>
      </c>
      <c r="L162" s="790">
        <f t="shared" si="310"/>
        <v>0.13494837016305317</v>
      </c>
      <c r="M162" s="417"/>
      <c r="N162" s="417"/>
      <c r="O162" s="417"/>
      <c r="P162" s="417"/>
      <c r="Q162" s="417"/>
      <c r="AT162" s="804">
        <f t="shared" ref="AT162:BB162" si="311">IF(Z136&lt;$G$449,0,MIN($G$446,1+IFERROR(INT((Z136-$G$449)/$G$463),0)))</f>
        <v>6</v>
      </c>
      <c r="AU162" s="804">
        <f t="shared" si="311"/>
        <v>6</v>
      </c>
      <c r="AV162" s="804">
        <f t="shared" si="311"/>
        <v>7</v>
      </c>
      <c r="AW162" s="804">
        <f t="shared" si="311"/>
        <v>7</v>
      </c>
      <c r="AX162" s="804">
        <f t="shared" si="311"/>
        <v>8</v>
      </c>
      <c r="AY162" s="804">
        <f t="shared" si="311"/>
        <v>9</v>
      </c>
      <c r="AZ162" s="804">
        <f t="shared" si="311"/>
        <v>9</v>
      </c>
      <c r="BA162" s="804">
        <f t="shared" si="311"/>
        <v>10</v>
      </c>
      <c r="BB162" s="804">
        <f t="shared" si="311"/>
        <v>10</v>
      </c>
    </row>
    <row r="163" spans="1:54" ht="15" hidden="1" customHeight="1" outlineLevel="1">
      <c r="A163" s="417"/>
      <c r="B163" s="423" t="s">
        <v>2590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795" t="str">
        <f>"Ben's Return Profile Based on Partnering — Topkey Growth × Net Client Wins ("&amp;TEXT($G$436,"0%")&amp;" Rollover)"</f>
        <v>Ben's Return Profile Based on Partnering — Topkey Growth × Net Client Wins (30% Rollover)</v>
      </c>
      <c r="C165" s="796"/>
      <c r="D165" s="796"/>
      <c r="E165" s="796"/>
      <c r="F165" s="796"/>
      <c r="G165" s="796"/>
      <c r="H165" s="796"/>
      <c r="I165" s="796"/>
      <c r="J165" s="796"/>
      <c r="K165" s="796"/>
      <c r="L165" s="796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2597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67" t="s">
        <v>2525</v>
      </c>
      <c r="E168" s="767"/>
      <c r="F168" s="767"/>
      <c r="G168" s="767"/>
      <c r="H168" s="767"/>
      <c r="I168" s="767"/>
      <c r="J168" s="767"/>
      <c r="K168" s="767"/>
      <c r="L168" s="767"/>
      <c r="M168" s="417"/>
      <c r="N168" s="417"/>
      <c r="O168" s="417"/>
      <c r="P168" s="417"/>
      <c r="Q168" s="417"/>
      <c r="Z168" s="786" t="str">
        <f>"Helper: Unrounded Net Return — Growth × Net Client Wins ("&amp;TEXT($G$436,"0%")&amp;" Rollover)"</f>
        <v>Helper: Unrounded Net Return — Growth × Net Client Wins (30% Rollover)</v>
      </c>
      <c r="AA168" s="746"/>
      <c r="AB168" s="746"/>
      <c r="AC168" s="746"/>
      <c r="AD168" s="746"/>
      <c r="AE168" s="746"/>
      <c r="AF168" s="746"/>
      <c r="AG168" s="746"/>
      <c r="AH168" s="746"/>
      <c r="AJ168" s="803" t="s">
        <v>2592</v>
      </c>
      <c r="AK168" s="803" t="s">
        <v>2593</v>
      </c>
      <c r="AL168" s="803" t="s">
        <v>2594</v>
      </c>
      <c r="AM168" s="803" t="s">
        <v>2595</v>
      </c>
    </row>
    <row r="169" spans="1:54" ht="12.75" customHeight="1">
      <c r="A169" s="417"/>
      <c r="B169" s="454"/>
      <c r="C169" s="454"/>
      <c r="D169" s="768">
        <f>E169-$G$441</f>
        <v>1.3171225937183451E-2</v>
      </c>
      <c r="E169" s="768">
        <f>F169-$G$441</f>
        <v>0.26317122593718345</v>
      </c>
      <c r="F169" s="768">
        <f>G169-$G$441</f>
        <v>0.51317122593718345</v>
      </c>
      <c r="G169" s="768">
        <f>H169-$G$441</f>
        <v>0.76317122593718345</v>
      </c>
      <c r="H169" s="768">
        <f>$G$440</f>
        <v>1.0131712259371835</v>
      </c>
      <c r="I169" s="768">
        <f>H169+$G$441</f>
        <v>1.2631712259371835</v>
      </c>
      <c r="J169" s="768">
        <f>I169+$G$441</f>
        <v>1.5131712259371835</v>
      </c>
      <c r="K169" s="768">
        <f>J169+$G$441</f>
        <v>1.7631712259371835</v>
      </c>
      <c r="L169" s="768">
        <f>K169+$G$441</f>
        <v>2.0131712259371835</v>
      </c>
      <c r="M169" s="417"/>
      <c r="N169" s="417"/>
      <c r="O169" s="417"/>
      <c r="P169" s="417"/>
      <c r="Q169" s="417"/>
      <c r="Z169" s="798">
        <f>D$169</f>
        <v>1.3171225937183451E-2</v>
      </c>
      <c r="AA169" s="798">
        <f t="shared" ref="AA169:AH169" si="312">E$169</f>
        <v>0.26317122593718345</v>
      </c>
      <c r="AB169" s="798">
        <f t="shared" si="312"/>
        <v>0.51317122593718345</v>
      </c>
      <c r="AC169" s="798">
        <f t="shared" si="312"/>
        <v>0.76317122593718345</v>
      </c>
      <c r="AD169" s="798">
        <f t="shared" si="312"/>
        <v>1.0131712259371835</v>
      </c>
      <c r="AE169" s="798">
        <f t="shared" si="312"/>
        <v>1.2631712259371835</v>
      </c>
      <c r="AF169" s="798">
        <f t="shared" si="312"/>
        <v>1.5131712259371835</v>
      </c>
      <c r="AG169" s="798">
        <f t="shared" si="312"/>
        <v>1.7631712259371835</v>
      </c>
      <c r="AH169" s="798">
        <f t="shared" si="312"/>
        <v>2.0131712259371835</v>
      </c>
      <c r="AJ169" s="746"/>
      <c r="AK169" s="746"/>
      <c r="AL169" s="746"/>
      <c r="AM169" s="746"/>
      <c r="AT169" s="772" t="s">
        <v>2614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27" t="s">
        <v>2591</v>
      </c>
      <c r="C170" s="801">
        <f>C171+$G$458</f>
        <v>72</v>
      </c>
      <c r="D170" s="620">
        <f>ROUND(Z170,$G$452)</f>
        <v>4700</v>
      </c>
      <c r="E170" s="620">
        <f t="shared" ref="E170:E176" si="313">ROUND(AA170,$G$452)</f>
        <v>5000</v>
      </c>
      <c r="F170" s="620">
        <f t="shared" ref="F170:F176" si="314">ROUND(AB170,$G$452)</f>
        <v>5400</v>
      </c>
      <c r="G170" s="620">
        <f t="shared" ref="G170:G176" si="315">ROUND(AC170,$G$452)</f>
        <v>5700</v>
      </c>
      <c r="H170" s="620">
        <f t="shared" ref="H170:H176" si="316">ROUND(AD170,$G$452)</f>
        <v>6000</v>
      </c>
      <c r="I170" s="620">
        <f t="shared" ref="I170:I176" si="317">ROUND(AE170,$G$452)</f>
        <v>6400</v>
      </c>
      <c r="J170" s="620">
        <f t="shared" ref="J170:J176" si="318">ROUND(AF170,$G$452)</f>
        <v>6700</v>
      </c>
      <c r="K170" s="620">
        <f t="shared" ref="K170:K176" si="319">ROUND(AG170,$G$452)</f>
        <v>7000</v>
      </c>
      <c r="L170" s="620">
        <f t="shared" ref="L170:L176" si="320">ROUND(AH170,$G$452)</f>
        <v>7400</v>
      </c>
      <c r="M170" s="417"/>
      <c r="N170" s="417"/>
      <c r="O170" s="417"/>
      <c r="P170" s="417"/>
      <c r="Q170" s="417"/>
      <c r="Z170" s="367">
        <f t="shared" ref="Z170:AH176" si="321">$O$18+$G$435+$N$18*$AK170+$R$18*($Q$18*(1+D$169)+$AK170*(1-$N$18))-$G$430</f>
        <v>4717.0184599871936</v>
      </c>
      <c r="AA170" s="367">
        <f t="shared" si="321"/>
        <v>5047.3373375382134</v>
      </c>
      <c r="AB170" s="367">
        <f t="shared" si="321"/>
        <v>5377.656215089235</v>
      </c>
      <c r="AC170" s="367">
        <f t="shared" si="321"/>
        <v>5707.9750926402539</v>
      </c>
      <c r="AD170" s="367">
        <f t="shared" si="321"/>
        <v>6038.2939701912746</v>
      </c>
      <c r="AE170" s="367">
        <f t="shared" si="321"/>
        <v>6368.6128477422953</v>
      </c>
      <c r="AF170" s="367">
        <f t="shared" si="321"/>
        <v>6698.931725293316</v>
      </c>
      <c r="AG170" s="367">
        <f t="shared" si="321"/>
        <v>7029.2506028443368</v>
      </c>
      <c r="AH170" s="367">
        <f t="shared" si="321"/>
        <v>7359.5694803953556</v>
      </c>
      <c r="AJ170" s="367">
        <f>$C170</f>
        <v>72</v>
      </c>
      <c r="AK170" s="367">
        <f>($G$453+AJ170*$G$445*$G$454)*$G$455</f>
        <v>17971.742595932199</v>
      </c>
      <c r="AL170" s="367">
        <f>($G$453+(AJ170-$G$459)*$G$445*$G$460)*$G$461*$G$462</f>
        <v>8737.6181733050835</v>
      </c>
      <c r="AM170" s="800">
        <f>IFERROR((AL170/$G$430)^(1/$G$445)-1,0)</f>
        <v>0.23838123203554318</v>
      </c>
      <c r="AT170" s="804">
        <f>IF(Z210&lt;$G$449,0,MIN($G$446,1+IFERROR(INT((Z210-$G$449)/$G$464),0)))</f>
        <v>0</v>
      </c>
      <c r="AU170" s="804">
        <f t="shared" ref="AU170:BB170" si="322">IF(AA210&lt;$G$449,0,MIN($G$446,1+IFERROR(INT((AA210-$G$449)/$G$464),0)))</f>
        <v>0</v>
      </c>
      <c r="AV170" s="804">
        <f t="shared" si="322"/>
        <v>0</v>
      </c>
      <c r="AW170" s="804">
        <f t="shared" si="322"/>
        <v>0</v>
      </c>
      <c r="AX170" s="804">
        <f t="shared" si="322"/>
        <v>0</v>
      </c>
      <c r="AY170" s="804">
        <f t="shared" si="322"/>
        <v>0</v>
      </c>
      <c r="AZ170" s="804">
        <f t="shared" si="322"/>
        <v>0</v>
      </c>
      <c r="BA170" s="804">
        <f t="shared" si="322"/>
        <v>2</v>
      </c>
      <c r="BB170" s="804">
        <f t="shared" si="322"/>
        <v>4</v>
      </c>
    </row>
    <row r="171" spans="1:54" ht="15" customHeight="1">
      <c r="A171" s="417"/>
      <c r="B171" s="828"/>
      <c r="C171" s="801">
        <f>C172+$G$458</f>
        <v>68</v>
      </c>
      <c r="D171" s="470">
        <f t="shared" ref="D171:D176" si="323">ROUND(Z171,$G$452)</f>
        <v>4500</v>
      </c>
      <c r="E171" s="470">
        <f t="shared" si="313"/>
        <v>4800</v>
      </c>
      <c r="F171" s="470">
        <f t="shared" si="314"/>
        <v>5200</v>
      </c>
      <c r="G171" s="470">
        <f t="shared" si="315"/>
        <v>5500</v>
      </c>
      <c r="H171" s="470">
        <f t="shared" si="316"/>
        <v>5800</v>
      </c>
      <c r="I171" s="470">
        <f t="shared" si="317"/>
        <v>6200</v>
      </c>
      <c r="J171" s="470">
        <f t="shared" si="318"/>
        <v>6500</v>
      </c>
      <c r="K171" s="470">
        <f t="shared" si="319"/>
        <v>6800</v>
      </c>
      <c r="L171" s="470">
        <f t="shared" si="320"/>
        <v>7100</v>
      </c>
      <c r="M171" s="417"/>
      <c r="N171" s="417"/>
      <c r="O171" s="417"/>
      <c r="P171" s="417"/>
      <c r="Q171" s="417"/>
      <c r="Z171" s="367">
        <f t="shared" si="321"/>
        <v>4504.972836272831</v>
      </c>
      <c r="AA171" s="367">
        <f t="shared" si="321"/>
        <v>4835.2917138238508</v>
      </c>
      <c r="AB171" s="367">
        <f t="shared" si="321"/>
        <v>5165.6105913748715</v>
      </c>
      <c r="AC171" s="367">
        <f t="shared" si="321"/>
        <v>5495.9294689258913</v>
      </c>
      <c r="AD171" s="367">
        <f t="shared" si="321"/>
        <v>5826.248346476912</v>
      </c>
      <c r="AE171" s="367">
        <f t="shared" si="321"/>
        <v>6156.5672240279328</v>
      </c>
      <c r="AF171" s="367">
        <f t="shared" si="321"/>
        <v>6486.8861015789535</v>
      </c>
      <c r="AG171" s="367">
        <f t="shared" si="321"/>
        <v>6817.2049791299742</v>
      </c>
      <c r="AH171" s="367">
        <f t="shared" si="321"/>
        <v>7147.523856680993</v>
      </c>
      <c r="AJ171" s="367">
        <f t="shared" ref="AJ171:AJ176" si="324">$C171</f>
        <v>68</v>
      </c>
      <c r="AK171" s="367">
        <f t="shared" ref="AK171:AK176" si="325">($G$453+AJ171*$G$445*$G$454)*$G$455</f>
        <v>17306.483676158186</v>
      </c>
      <c r="AL171" s="367">
        <f t="shared" ref="AL171:AL176" si="326">($G$453+(AJ171-$G$459)*$G$445*$G$460)*$G$461*$G$462</f>
        <v>8321.8313484463251</v>
      </c>
      <c r="AM171" s="800">
        <f t="shared" ref="AM171:AM176" si="327">IFERROR((AL171/$G$430)^(1/$G$445)-1,0)</f>
        <v>0.22636438906489675</v>
      </c>
      <c r="AT171" s="804">
        <f t="shared" ref="AT171:BB171" si="328">IF(Z211&lt;$G$449,0,MIN($G$446,1+IFERROR(INT((Z211-$G$449)/$G$464),0)))</f>
        <v>0</v>
      </c>
      <c r="AU171" s="804">
        <f t="shared" si="328"/>
        <v>0</v>
      </c>
      <c r="AV171" s="804">
        <f t="shared" si="328"/>
        <v>0</v>
      </c>
      <c r="AW171" s="804">
        <f t="shared" si="328"/>
        <v>0</v>
      </c>
      <c r="AX171" s="804">
        <f t="shared" si="328"/>
        <v>0</v>
      </c>
      <c r="AY171" s="804">
        <f t="shared" si="328"/>
        <v>0</v>
      </c>
      <c r="AZ171" s="804">
        <f t="shared" si="328"/>
        <v>1</v>
      </c>
      <c r="BA171" s="804">
        <f t="shared" si="328"/>
        <v>3</v>
      </c>
      <c r="BB171" s="804">
        <f t="shared" si="328"/>
        <v>5</v>
      </c>
    </row>
    <row r="172" spans="1:54" ht="15" customHeight="1">
      <c r="A172" s="417"/>
      <c r="B172" s="828"/>
      <c r="C172" s="801">
        <f>C173+$G$458</f>
        <v>64</v>
      </c>
      <c r="D172" s="470">
        <f t="shared" si="323"/>
        <v>4300</v>
      </c>
      <c r="E172" s="470">
        <f t="shared" si="313"/>
        <v>4600</v>
      </c>
      <c r="F172" s="470">
        <f t="shared" si="314"/>
        <v>5000</v>
      </c>
      <c r="G172" s="470">
        <f t="shared" si="315"/>
        <v>5300</v>
      </c>
      <c r="H172" s="470">
        <f t="shared" si="316"/>
        <v>5600</v>
      </c>
      <c r="I172" s="470">
        <f t="shared" si="317"/>
        <v>5900</v>
      </c>
      <c r="J172" s="470">
        <f t="shared" si="318"/>
        <v>6300</v>
      </c>
      <c r="K172" s="470">
        <f t="shared" si="319"/>
        <v>6600</v>
      </c>
      <c r="L172" s="470">
        <f t="shared" si="320"/>
        <v>6900</v>
      </c>
      <c r="M172" s="417"/>
      <c r="N172" s="417"/>
      <c r="O172" s="417"/>
      <c r="P172" s="417"/>
      <c r="Q172" s="417"/>
      <c r="Z172" s="367">
        <f t="shared" si="321"/>
        <v>4292.9272125584694</v>
      </c>
      <c r="AA172" s="367">
        <f t="shared" si="321"/>
        <v>4623.2460901094892</v>
      </c>
      <c r="AB172" s="367">
        <f t="shared" si="321"/>
        <v>4953.5649676605099</v>
      </c>
      <c r="AC172" s="367">
        <f t="shared" si="321"/>
        <v>5283.8838452115306</v>
      </c>
      <c r="AD172" s="367">
        <f t="shared" si="321"/>
        <v>5614.2027227625513</v>
      </c>
      <c r="AE172" s="367">
        <f t="shared" si="321"/>
        <v>5944.521600313572</v>
      </c>
      <c r="AF172" s="367">
        <f t="shared" si="321"/>
        <v>6274.8404778645909</v>
      </c>
      <c r="AG172" s="367">
        <f t="shared" si="321"/>
        <v>6605.1593554156116</v>
      </c>
      <c r="AH172" s="367">
        <f t="shared" si="321"/>
        <v>6935.4782329666323</v>
      </c>
      <c r="AJ172" s="367">
        <f t="shared" si="324"/>
        <v>64</v>
      </c>
      <c r="AK172" s="367">
        <f t="shared" si="325"/>
        <v>16641.224756384177</v>
      </c>
      <c r="AL172" s="367">
        <f t="shared" si="326"/>
        <v>7906.0445235875686</v>
      </c>
      <c r="AM172" s="800">
        <f t="shared" si="327"/>
        <v>0.21385720427347321</v>
      </c>
      <c r="AT172" s="804">
        <f t="shared" ref="AT172:BB172" si="329">IF(Z212&lt;$G$449,0,MIN($G$446,1+IFERROR(INT((Z212-$G$449)/$G$464),0)))</f>
        <v>0</v>
      </c>
      <c r="AU172" s="804">
        <f t="shared" si="329"/>
        <v>0</v>
      </c>
      <c r="AV172" s="804">
        <f t="shared" si="329"/>
        <v>0</v>
      </c>
      <c r="AW172" s="804">
        <f t="shared" si="329"/>
        <v>0</v>
      </c>
      <c r="AX172" s="804">
        <f t="shared" si="329"/>
        <v>0</v>
      </c>
      <c r="AY172" s="804">
        <f t="shared" si="329"/>
        <v>1</v>
      </c>
      <c r="AZ172" s="804">
        <f t="shared" si="329"/>
        <v>2</v>
      </c>
      <c r="BA172" s="804">
        <f t="shared" si="329"/>
        <v>4</v>
      </c>
      <c r="BB172" s="804">
        <f t="shared" si="329"/>
        <v>6</v>
      </c>
    </row>
    <row r="173" spans="1:54" ht="15" customHeight="1">
      <c r="A173" s="417"/>
      <c r="B173" s="828"/>
      <c r="C173" s="801">
        <f>$G$457</f>
        <v>60</v>
      </c>
      <c r="D173" s="470">
        <f t="shared" si="323"/>
        <v>4100</v>
      </c>
      <c r="E173" s="470">
        <f t="shared" si="313"/>
        <v>4400</v>
      </c>
      <c r="F173" s="470">
        <f t="shared" si="314"/>
        <v>4700</v>
      </c>
      <c r="G173" s="470">
        <f t="shared" si="315"/>
        <v>5100</v>
      </c>
      <c r="H173" s="781">
        <f t="shared" si="316"/>
        <v>5400</v>
      </c>
      <c r="I173" s="470">
        <f t="shared" si="317"/>
        <v>5700</v>
      </c>
      <c r="J173" s="470">
        <f t="shared" si="318"/>
        <v>6100</v>
      </c>
      <c r="K173" s="470">
        <f t="shared" si="319"/>
        <v>6400</v>
      </c>
      <c r="L173" s="470">
        <f t="shared" si="320"/>
        <v>6700</v>
      </c>
      <c r="M173" s="417"/>
      <c r="N173" s="417"/>
      <c r="O173" s="417"/>
      <c r="P173" s="417"/>
      <c r="Q173" s="417"/>
      <c r="Z173" s="367">
        <f t="shared" si="321"/>
        <v>4080.8815888441059</v>
      </c>
      <c r="AA173" s="367">
        <f t="shared" si="321"/>
        <v>4411.2004663951257</v>
      </c>
      <c r="AB173" s="367">
        <f t="shared" si="321"/>
        <v>4741.5193439461464</v>
      </c>
      <c r="AC173" s="367">
        <f t="shared" si="321"/>
        <v>5071.8382214971662</v>
      </c>
      <c r="AD173" s="367">
        <f t="shared" si="321"/>
        <v>5402.1570990481869</v>
      </c>
      <c r="AE173" s="367">
        <f t="shared" si="321"/>
        <v>5732.4759765992076</v>
      </c>
      <c r="AF173" s="367">
        <f t="shared" si="321"/>
        <v>6062.7948541502283</v>
      </c>
      <c r="AG173" s="367">
        <f t="shared" si="321"/>
        <v>6393.113731701249</v>
      </c>
      <c r="AH173" s="367">
        <f t="shared" si="321"/>
        <v>6723.4326092522679</v>
      </c>
      <c r="AJ173" s="367">
        <f t="shared" si="324"/>
        <v>60</v>
      </c>
      <c r="AK173" s="367">
        <f t="shared" si="325"/>
        <v>15975.965836610165</v>
      </c>
      <c r="AL173" s="367">
        <f t="shared" si="326"/>
        <v>7490.2576987288121</v>
      </c>
      <c r="AM173" s="800">
        <f t="shared" si="327"/>
        <v>0.20081222595661186</v>
      </c>
      <c r="AT173" s="804">
        <f t="shared" ref="AT173:BB173" si="330">IF(Z213&lt;$G$449,0,MIN($G$446,1+IFERROR(INT((Z213-$G$449)/$G$464),0)))</f>
        <v>0</v>
      </c>
      <c r="AU173" s="804">
        <f t="shared" si="330"/>
        <v>0</v>
      </c>
      <c r="AV173" s="804">
        <f t="shared" si="330"/>
        <v>0</v>
      </c>
      <c r="AW173" s="804">
        <f t="shared" si="330"/>
        <v>0</v>
      </c>
      <c r="AX173" s="804">
        <f t="shared" si="330"/>
        <v>0</v>
      </c>
      <c r="AY173" s="804">
        <f t="shared" si="330"/>
        <v>2</v>
      </c>
      <c r="AZ173" s="804">
        <f t="shared" si="330"/>
        <v>4</v>
      </c>
      <c r="BA173" s="804">
        <f t="shared" si="330"/>
        <v>5</v>
      </c>
      <c r="BB173" s="804">
        <f t="shared" si="330"/>
        <v>7</v>
      </c>
    </row>
    <row r="174" spans="1:54" ht="15" customHeight="1">
      <c r="A174" s="417"/>
      <c r="B174" s="828"/>
      <c r="C174" s="801">
        <f>C173-$G$458</f>
        <v>56</v>
      </c>
      <c r="D174" s="470">
        <f t="shared" si="323"/>
        <v>3900</v>
      </c>
      <c r="E174" s="470">
        <f t="shared" si="313"/>
        <v>4200</v>
      </c>
      <c r="F174" s="470">
        <f t="shared" si="314"/>
        <v>4500</v>
      </c>
      <c r="G174" s="470">
        <f t="shared" si="315"/>
        <v>4900</v>
      </c>
      <c r="H174" s="470">
        <f t="shared" si="316"/>
        <v>5200</v>
      </c>
      <c r="I174" s="470">
        <f t="shared" si="317"/>
        <v>5500</v>
      </c>
      <c r="J174" s="470">
        <f t="shared" si="318"/>
        <v>5900</v>
      </c>
      <c r="K174" s="470">
        <f t="shared" si="319"/>
        <v>6200</v>
      </c>
      <c r="L174" s="470">
        <f t="shared" si="320"/>
        <v>6500</v>
      </c>
      <c r="M174" s="417"/>
      <c r="N174" s="417"/>
      <c r="O174" s="417"/>
      <c r="P174" s="417"/>
      <c r="Q174" s="417"/>
      <c r="Z174" s="367">
        <f t="shared" si="321"/>
        <v>3868.8359651297433</v>
      </c>
      <c r="AA174" s="367">
        <f t="shared" si="321"/>
        <v>4199.154842680764</v>
      </c>
      <c r="AB174" s="367">
        <f t="shared" si="321"/>
        <v>4529.4737202317847</v>
      </c>
      <c r="AC174" s="367">
        <f t="shared" si="321"/>
        <v>4859.7925977828054</v>
      </c>
      <c r="AD174" s="367">
        <f t="shared" si="321"/>
        <v>5190.1114753338261</v>
      </c>
      <c r="AE174" s="367">
        <f t="shared" si="321"/>
        <v>5520.4303528848468</v>
      </c>
      <c r="AF174" s="367">
        <f t="shared" si="321"/>
        <v>5850.7492304358675</v>
      </c>
      <c r="AG174" s="367">
        <f t="shared" si="321"/>
        <v>6181.0681079868864</v>
      </c>
      <c r="AH174" s="367">
        <f t="shared" si="321"/>
        <v>6511.3869855379071</v>
      </c>
      <c r="AJ174" s="367">
        <f t="shared" si="324"/>
        <v>56</v>
      </c>
      <c r="AK174" s="367">
        <f t="shared" si="325"/>
        <v>15310.706916836156</v>
      </c>
      <c r="AL174" s="367">
        <f t="shared" si="326"/>
        <v>7074.4708738700547</v>
      </c>
      <c r="AM174" s="800">
        <f t="shared" si="327"/>
        <v>0.18717445096254881</v>
      </c>
      <c r="AT174" s="804">
        <f t="shared" ref="AT174:BB174" si="331">IF(Z214&lt;$G$449,0,MIN($G$446,1+IFERROR(INT((Z214-$G$449)/$G$464),0)))</f>
        <v>0</v>
      </c>
      <c r="AU174" s="804">
        <f t="shared" si="331"/>
        <v>0</v>
      </c>
      <c r="AV174" s="804">
        <f t="shared" si="331"/>
        <v>0</v>
      </c>
      <c r="AW174" s="804">
        <f t="shared" si="331"/>
        <v>0</v>
      </c>
      <c r="AX174" s="804">
        <f t="shared" si="331"/>
        <v>1</v>
      </c>
      <c r="AY174" s="804">
        <f t="shared" si="331"/>
        <v>3</v>
      </c>
      <c r="AZ174" s="804">
        <f t="shared" si="331"/>
        <v>5</v>
      </c>
      <c r="BA174" s="804">
        <f t="shared" si="331"/>
        <v>6</v>
      </c>
      <c r="BB174" s="804">
        <f t="shared" si="331"/>
        <v>8</v>
      </c>
    </row>
    <row r="175" spans="1:54" ht="15" customHeight="1">
      <c r="A175" s="417"/>
      <c r="B175" s="828"/>
      <c r="C175" s="801">
        <f>C174-$G$458</f>
        <v>52</v>
      </c>
      <c r="D175" s="470">
        <f t="shared" si="323"/>
        <v>3700</v>
      </c>
      <c r="E175" s="470">
        <f t="shared" si="313"/>
        <v>4000</v>
      </c>
      <c r="F175" s="470">
        <f t="shared" si="314"/>
        <v>4300</v>
      </c>
      <c r="G175" s="470">
        <f t="shared" si="315"/>
        <v>4600</v>
      </c>
      <c r="H175" s="470">
        <f t="shared" si="316"/>
        <v>5000</v>
      </c>
      <c r="I175" s="470">
        <f t="shared" si="317"/>
        <v>5300</v>
      </c>
      <c r="J175" s="470">
        <f t="shared" si="318"/>
        <v>5600</v>
      </c>
      <c r="K175" s="470">
        <f t="shared" si="319"/>
        <v>6000</v>
      </c>
      <c r="L175" s="470">
        <f t="shared" si="320"/>
        <v>6300</v>
      </c>
      <c r="M175" s="417"/>
      <c r="N175" s="417"/>
      <c r="O175" s="417"/>
      <c r="P175" s="417"/>
      <c r="Q175" s="417"/>
      <c r="Z175" s="367">
        <f t="shared" si="321"/>
        <v>3656.7903414153816</v>
      </c>
      <c r="AA175" s="367">
        <f t="shared" si="321"/>
        <v>3987.1092189664014</v>
      </c>
      <c r="AB175" s="367">
        <f t="shared" si="321"/>
        <v>4317.4280965174221</v>
      </c>
      <c r="AC175" s="367">
        <f t="shared" si="321"/>
        <v>4647.7469740684428</v>
      </c>
      <c r="AD175" s="367">
        <f t="shared" si="321"/>
        <v>4978.0658516194635</v>
      </c>
      <c r="AE175" s="367">
        <f t="shared" si="321"/>
        <v>5308.3847291704842</v>
      </c>
      <c r="AF175" s="367">
        <f t="shared" si="321"/>
        <v>5638.7036067215031</v>
      </c>
      <c r="AG175" s="367">
        <f t="shared" si="321"/>
        <v>5969.0224842725238</v>
      </c>
      <c r="AH175" s="367">
        <f t="shared" si="321"/>
        <v>6299.3413618235445</v>
      </c>
      <c r="AJ175" s="367">
        <f t="shared" si="324"/>
        <v>52</v>
      </c>
      <c r="AK175" s="367">
        <f t="shared" si="325"/>
        <v>14645.447997062143</v>
      </c>
      <c r="AL175" s="367">
        <f t="shared" si="326"/>
        <v>6658.6840490112991</v>
      </c>
      <c r="AM175" s="800">
        <f t="shared" si="327"/>
        <v>0.17287959485981652</v>
      </c>
      <c r="AT175" s="804">
        <f t="shared" ref="AT175:BB175" si="332">IF(Z215&lt;$G$449,0,MIN($G$446,1+IFERROR(INT((Z215-$G$449)/$G$464),0)))</f>
        <v>0</v>
      </c>
      <c r="AU175" s="804">
        <f t="shared" si="332"/>
        <v>0</v>
      </c>
      <c r="AV175" s="804">
        <f t="shared" si="332"/>
        <v>0</v>
      </c>
      <c r="AW175" s="804">
        <f t="shared" si="332"/>
        <v>0</v>
      </c>
      <c r="AX175" s="804">
        <f t="shared" si="332"/>
        <v>2</v>
      </c>
      <c r="AY175" s="804">
        <f t="shared" si="332"/>
        <v>4</v>
      </c>
      <c r="AZ175" s="804">
        <f t="shared" si="332"/>
        <v>6</v>
      </c>
      <c r="BA175" s="804">
        <f t="shared" si="332"/>
        <v>8</v>
      </c>
      <c r="BB175" s="804">
        <f t="shared" si="332"/>
        <v>9</v>
      </c>
    </row>
    <row r="176" spans="1:54" ht="15" customHeight="1">
      <c r="A176" s="417"/>
      <c r="B176" s="829"/>
      <c r="C176" s="802">
        <f>C175-$G$458</f>
        <v>48</v>
      </c>
      <c r="D176" s="771">
        <f t="shared" si="323"/>
        <v>3400</v>
      </c>
      <c r="E176" s="771">
        <f t="shared" si="313"/>
        <v>3800</v>
      </c>
      <c r="F176" s="771">
        <f t="shared" si="314"/>
        <v>4100</v>
      </c>
      <c r="G176" s="771">
        <f t="shared" si="315"/>
        <v>4400</v>
      </c>
      <c r="H176" s="771">
        <f t="shared" si="316"/>
        <v>4800</v>
      </c>
      <c r="I176" s="771">
        <f t="shared" si="317"/>
        <v>5100</v>
      </c>
      <c r="J176" s="771">
        <f t="shared" si="318"/>
        <v>5400</v>
      </c>
      <c r="K176" s="771">
        <f t="shared" si="319"/>
        <v>5800</v>
      </c>
      <c r="L176" s="771">
        <f t="shared" si="320"/>
        <v>6100</v>
      </c>
      <c r="M176" s="417"/>
      <c r="N176" s="417"/>
      <c r="O176" s="417"/>
      <c r="P176" s="417"/>
      <c r="Q176" s="417"/>
      <c r="Z176" s="367">
        <f t="shared" si="321"/>
        <v>3444.7447177010181</v>
      </c>
      <c r="AA176" s="367">
        <f t="shared" si="321"/>
        <v>3775.0635952520388</v>
      </c>
      <c r="AB176" s="367">
        <f t="shared" si="321"/>
        <v>4105.3824728030595</v>
      </c>
      <c r="AC176" s="367">
        <f t="shared" si="321"/>
        <v>4435.7013503540802</v>
      </c>
      <c r="AD176" s="367">
        <f t="shared" si="321"/>
        <v>4766.0202279051</v>
      </c>
      <c r="AE176" s="367">
        <f t="shared" si="321"/>
        <v>5096.3391054561207</v>
      </c>
      <c r="AF176" s="367">
        <f t="shared" si="321"/>
        <v>5426.6579830071405</v>
      </c>
      <c r="AG176" s="367">
        <f t="shared" si="321"/>
        <v>5756.9768605581612</v>
      </c>
      <c r="AH176" s="367">
        <f t="shared" si="321"/>
        <v>6087.2957381091819</v>
      </c>
      <c r="AJ176" s="367">
        <f t="shared" si="324"/>
        <v>48</v>
      </c>
      <c r="AK176" s="367">
        <f t="shared" si="325"/>
        <v>13980.189077288132</v>
      </c>
      <c r="AL176" s="367">
        <f t="shared" si="326"/>
        <v>6242.8972241525407</v>
      </c>
      <c r="AM176" s="800">
        <f t="shared" si="327"/>
        <v>0.15785182924075603</v>
      </c>
      <c r="AT176" s="804">
        <f t="shared" ref="AT176:BB176" si="333">IF(Z216&lt;$G$449,0,MIN($G$446,1+IFERROR(INT((Z216-$G$449)/$G$464),0)))</f>
        <v>0</v>
      </c>
      <c r="AU176" s="804">
        <f t="shared" si="333"/>
        <v>0</v>
      </c>
      <c r="AV176" s="804">
        <f t="shared" si="333"/>
        <v>0</v>
      </c>
      <c r="AW176" s="804">
        <f t="shared" si="333"/>
        <v>2</v>
      </c>
      <c r="AX176" s="804">
        <f t="shared" si="333"/>
        <v>3</v>
      </c>
      <c r="AY176" s="804">
        <f t="shared" si="333"/>
        <v>5</v>
      </c>
      <c r="AZ176" s="804">
        <f t="shared" si="333"/>
        <v>7</v>
      </c>
      <c r="BA176" s="804">
        <f t="shared" si="333"/>
        <v>9</v>
      </c>
      <c r="BB176" s="804">
        <f t="shared" si="333"/>
        <v>10</v>
      </c>
    </row>
    <row r="177" spans="1:54" ht="15" hidden="1" customHeight="1" outlineLevel="1">
      <c r="A177" s="417"/>
      <c r="B177" s="423" t="str">
        <f>"Ben's Yr 5 value (cash + earnout + retained stake + Topkey stock) less Keystone today (G430); rollover fixed at "&amp;TEXT($G$436,"0%")&amp;" (G436)"</f>
        <v>Ben's Yr 5 value (cash + earnout + retained stake + Topkey stock) less Keystone today (G430); rollover fixed at 30% (G436)</v>
      </c>
      <c r="C177" s="784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2598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67" t="s">
        <v>2525</v>
      </c>
      <c r="E181" s="767"/>
      <c r="F181" s="767"/>
      <c r="G181" s="767"/>
      <c r="H181" s="767"/>
      <c r="I181" s="767"/>
      <c r="J181" s="767"/>
      <c r="K181" s="767"/>
      <c r="L181" s="767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68">
        <f>E182-$G$441</f>
        <v>1.3171225937183451E-2</v>
      </c>
      <c r="E182" s="768">
        <f>F182-$G$441</f>
        <v>0.26317122593718345</v>
      </c>
      <c r="F182" s="768">
        <f>G182-$G$441</f>
        <v>0.51317122593718345</v>
      </c>
      <c r="G182" s="768">
        <f>H182-$G$441</f>
        <v>0.76317122593718345</v>
      </c>
      <c r="H182" s="768">
        <f>$G$440</f>
        <v>1.0131712259371835</v>
      </c>
      <c r="I182" s="768">
        <f>H182+$G$441</f>
        <v>1.2631712259371835</v>
      </c>
      <c r="J182" s="768">
        <f>I182+$G$441</f>
        <v>1.5131712259371835</v>
      </c>
      <c r="K182" s="768">
        <f>J182+$G$441</f>
        <v>1.7631712259371835</v>
      </c>
      <c r="L182" s="768">
        <f>K182+$G$441</f>
        <v>2.0131712259371835</v>
      </c>
      <c r="M182" s="417"/>
      <c r="N182" s="417"/>
      <c r="O182" s="417"/>
      <c r="P182" s="417"/>
      <c r="Q182" s="417"/>
      <c r="AT182" s="772" t="s">
        <v>2614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27" t="s">
        <v>2591</v>
      </c>
      <c r="C183" s="801">
        <f>C184+$G$458</f>
        <v>72</v>
      </c>
      <c r="D183" s="490">
        <f>IFERROR(Z170/$G$430,0)</f>
        <v>1.5723394866623979</v>
      </c>
      <c r="E183" s="490">
        <f t="shared" ref="E183:L183" si="334">IFERROR(AA170/$G$430,0)</f>
        <v>1.6824457791794045</v>
      </c>
      <c r="F183" s="490">
        <f t="shared" si="334"/>
        <v>1.7925520716964116</v>
      </c>
      <c r="G183" s="490">
        <f t="shared" si="334"/>
        <v>1.9026583642134181</v>
      </c>
      <c r="H183" s="490">
        <f t="shared" si="334"/>
        <v>2.0127646567304249</v>
      </c>
      <c r="I183" s="490">
        <f t="shared" si="334"/>
        <v>2.1228709492474316</v>
      </c>
      <c r="J183" s="490">
        <f t="shared" si="334"/>
        <v>2.2329772417644387</v>
      </c>
      <c r="K183" s="490">
        <f t="shared" si="334"/>
        <v>2.3430835342814458</v>
      </c>
      <c r="L183" s="490">
        <f t="shared" si="334"/>
        <v>2.453189826798452</v>
      </c>
      <c r="M183" s="417"/>
      <c r="N183" s="417"/>
      <c r="O183" s="417"/>
      <c r="P183" s="417"/>
      <c r="Q183" s="417"/>
      <c r="AT183" s="804">
        <f>IF(Z210&lt;$G$449,0,MIN($G$446,1+IFERROR(INT((Z210-$G$449)/$G$464),0)))</f>
        <v>0</v>
      </c>
      <c r="AU183" s="804">
        <f t="shared" ref="AU183:BB183" si="335">IF(AA210&lt;$G$449,0,MIN($G$446,1+IFERROR(INT((AA210-$G$449)/$G$464),0)))</f>
        <v>0</v>
      </c>
      <c r="AV183" s="804">
        <f t="shared" si="335"/>
        <v>0</v>
      </c>
      <c r="AW183" s="804">
        <f t="shared" si="335"/>
        <v>0</v>
      </c>
      <c r="AX183" s="804">
        <f t="shared" si="335"/>
        <v>0</v>
      </c>
      <c r="AY183" s="804">
        <f t="shared" si="335"/>
        <v>0</v>
      </c>
      <c r="AZ183" s="804">
        <f t="shared" si="335"/>
        <v>0</v>
      </c>
      <c r="BA183" s="804">
        <f t="shared" si="335"/>
        <v>2</v>
      </c>
      <c r="BB183" s="804">
        <f t="shared" si="335"/>
        <v>4</v>
      </c>
    </row>
    <row r="184" spans="1:54" ht="15" customHeight="1">
      <c r="A184" s="417"/>
      <c r="B184" s="828"/>
      <c r="C184" s="801">
        <f>C185+$G$458</f>
        <v>68</v>
      </c>
      <c r="D184" s="490">
        <f t="shared" ref="D184:L184" si="336">IFERROR(Z171/$G$430,0)</f>
        <v>1.5016576120909437</v>
      </c>
      <c r="E184" s="490">
        <f t="shared" si="336"/>
        <v>1.6117639046079504</v>
      </c>
      <c r="F184" s="490">
        <f t="shared" si="336"/>
        <v>1.7218701971249573</v>
      </c>
      <c r="G184" s="490">
        <f t="shared" si="336"/>
        <v>1.8319764896419637</v>
      </c>
      <c r="H184" s="490">
        <f t="shared" si="336"/>
        <v>1.9420827821589708</v>
      </c>
      <c r="I184" s="490">
        <f t="shared" si="336"/>
        <v>2.0521890746759777</v>
      </c>
      <c r="J184" s="490">
        <f t="shared" si="336"/>
        <v>2.1622953671929843</v>
      </c>
      <c r="K184" s="490">
        <f t="shared" si="336"/>
        <v>2.2724016597099914</v>
      </c>
      <c r="L184" s="490">
        <f t="shared" si="336"/>
        <v>2.3825079522269976</v>
      </c>
      <c r="M184" s="417"/>
      <c r="N184" s="417"/>
      <c r="O184" s="417"/>
      <c r="P184" s="417"/>
      <c r="Q184" s="417"/>
      <c r="AT184" s="804">
        <f t="shared" ref="AT184:BB184" si="337">IF(Z211&lt;$G$449,0,MIN($G$446,1+IFERROR(INT((Z211-$G$449)/$G$464),0)))</f>
        <v>0</v>
      </c>
      <c r="AU184" s="804">
        <f t="shared" si="337"/>
        <v>0</v>
      </c>
      <c r="AV184" s="804">
        <f t="shared" si="337"/>
        <v>0</v>
      </c>
      <c r="AW184" s="804">
        <f t="shared" si="337"/>
        <v>0</v>
      </c>
      <c r="AX184" s="804">
        <f t="shared" si="337"/>
        <v>0</v>
      </c>
      <c r="AY184" s="804">
        <f t="shared" si="337"/>
        <v>0</v>
      </c>
      <c r="AZ184" s="804">
        <f t="shared" si="337"/>
        <v>1</v>
      </c>
      <c r="BA184" s="804">
        <f t="shared" si="337"/>
        <v>3</v>
      </c>
      <c r="BB184" s="804">
        <f t="shared" si="337"/>
        <v>5</v>
      </c>
    </row>
    <row r="185" spans="1:54" ht="15" customHeight="1">
      <c r="A185" s="417"/>
      <c r="B185" s="828"/>
      <c r="C185" s="801">
        <f>C186+$G$458</f>
        <v>64</v>
      </c>
      <c r="D185" s="490">
        <f t="shared" ref="D185:L185" si="338">IFERROR(Z172/$G$430,0)</f>
        <v>1.4309757375194898</v>
      </c>
      <c r="E185" s="490">
        <f t="shared" si="338"/>
        <v>1.5410820300364965</v>
      </c>
      <c r="F185" s="490">
        <f t="shared" si="338"/>
        <v>1.6511883225535033</v>
      </c>
      <c r="G185" s="490">
        <f t="shared" si="338"/>
        <v>1.7612946150705102</v>
      </c>
      <c r="H185" s="490">
        <f t="shared" si="338"/>
        <v>1.8714009075875171</v>
      </c>
      <c r="I185" s="490">
        <f t="shared" si="338"/>
        <v>1.981507200104524</v>
      </c>
      <c r="J185" s="490">
        <f t="shared" si="338"/>
        <v>2.0916134926215304</v>
      </c>
      <c r="K185" s="490">
        <f t="shared" si="338"/>
        <v>2.2017197851385371</v>
      </c>
      <c r="L185" s="490">
        <f t="shared" si="338"/>
        <v>2.3118260776555442</v>
      </c>
      <c r="M185" s="417"/>
      <c r="N185" s="417"/>
      <c r="O185" s="417"/>
      <c r="P185" s="417"/>
      <c r="Q185" s="417"/>
      <c r="AT185" s="804">
        <f t="shared" ref="AT185:BB185" si="339">IF(Z212&lt;$G$449,0,MIN($G$446,1+IFERROR(INT((Z212-$G$449)/$G$464),0)))</f>
        <v>0</v>
      </c>
      <c r="AU185" s="804">
        <f t="shared" si="339"/>
        <v>0</v>
      </c>
      <c r="AV185" s="804">
        <f t="shared" si="339"/>
        <v>0</v>
      </c>
      <c r="AW185" s="804">
        <f t="shared" si="339"/>
        <v>0</v>
      </c>
      <c r="AX185" s="804">
        <f t="shared" si="339"/>
        <v>0</v>
      </c>
      <c r="AY185" s="804">
        <f t="shared" si="339"/>
        <v>1</v>
      </c>
      <c r="AZ185" s="804">
        <f t="shared" si="339"/>
        <v>2</v>
      </c>
      <c r="BA185" s="804">
        <f t="shared" si="339"/>
        <v>4</v>
      </c>
      <c r="BB185" s="804">
        <f t="shared" si="339"/>
        <v>6</v>
      </c>
    </row>
    <row r="186" spans="1:54" ht="15" customHeight="1">
      <c r="A186" s="417"/>
      <c r="B186" s="828"/>
      <c r="C186" s="801">
        <f>$G$457</f>
        <v>60</v>
      </c>
      <c r="D186" s="490">
        <f t="shared" ref="D186:L186" si="340">IFERROR(Z173/$G$430,0)</f>
        <v>1.3602938629480352</v>
      </c>
      <c r="E186" s="490">
        <f t="shared" si="340"/>
        <v>1.4704001554650419</v>
      </c>
      <c r="F186" s="490">
        <f t="shared" si="340"/>
        <v>1.5805064479820488</v>
      </c>
      <c r="G186" s="490">
        <f t="shared" si="340"/>
        <v>1.6906127404990554</v>
      </c>
      <c r="H186" s="782">
        <f t="shared" si="340"/>
        <v>1.8007190330160623</v>
      </c>
      <c r="I186" s="490">
        <f t="shared" si="340"/>
        <v>1.9108253255330692</v>
      </c>
      <c r="J186" s="490">
        <f t="shared" si="340"/>
        <v>2.020931618050076</v>
      </c>
      <c r="K186" s="490">
        <f t="shared" si="340"/>
        <v>2.1310379105670831</v>
      </c>
      <c r="L186" s="490">
        <f t="shared" si="340"/>
        <v>2.2411442030840893</v>
      </c>
      <c r="M186" s="417"/>
      <c r="N186" s="417"/>
      <c r="O186" s="417"/>
      <c r="P186" s="417"/>
      <c r="Q186" s="417"/>
      <c r="AT186" s="804">
        <f t="shared" ref="AT186:BB186" si="341">IF(Z213&lt;$G$449,0,MIN($G$446,1+IFERROR(INT((Z213-$G$449)/$G$464),0)))</f>
        <v>0</v>
      </c>
      <c r="AU186" s="804">
        <f t="shared" si="341"/>
        <v>0</v>
      </c>
      <c r="AV186" s="804">
        <f t="shared" si="341"/>
        <v>0</v>
      </c>
      <c r="AW186" s="804">
        <f t="shared" si="341"/>
        <v>0</v>
      </c>
      <c r="AX186" s="804">
        <f t="shared" si="341"/>
        <v>0</v>
      </c>
      <c r="AY186" s="804">
        <f t="shared" si="341"/>
        <v>2</v>
      </c>
      <c r="AZ186" s="804">
        <f t="shared" si="341"/>
        <v>4</v>
      </c>
      <c r="BA186" s="804">
        <f t="shared" si="341"/>
        <v>5</v>
      </c>
      <c r="BB186" s="804">
        <f t="shared" si="341"/>
        <v>7</v>
      </c>
    </row>
    <row r="187" spans="1:54" ht="15" customHeight="1">
      <c r="A187" s="417"/>
      <c r="B187" s="828"/>
      <c r="C187" s="801">
        <f>C186-$G$458</f>
        <v>56</v>
      </c>
      <c r="D187" s="490">
        <f t="shared" ref="D187:L187" si="342">IFERROR(Z174/$G$430,0)</f>
        <v>1.2896119883765811</v>
      </c>
      <c r="E187" s="490">
        <f t="shared" si="342"/>
        <v>1.399718280893588</v>
      </c>
      <c r="F187" s="490">
        <f t="shared" si="342"/>
        <v>1.5098245734105948</v>
      </c>
      <c r="G187" s="490">
        <f t="shared" si="342"/>
        <v>1.6199308659276017</v>
      </c>
      <c r="H187" s="490">
        <f t="shared" si="342"/>
        <v>1.7300371584446086</v>
      </c>
      <c r="I187" s="490">
        <f t="shared" si="342"/>
        <v>1.8401434509616157</v>
      </c>
      <c r="J187" s="490">
        <f t="shared" si="342"/>
        <v>1.9502497434786226</v>
      </c>
      <c r="K187" s="490">
        <f t="shared" si="342"/>
        <v>2.0603560359956288</v>
      </c>
      <c r="L187" s="490">
        <f t="shared" si="342"/>
        <v>2.1704623285126359</v>
      </c>
      <c r="M187" s="417"/>
      <c r="N187" s="417"/>
      <c r="O187" s="417"/>
      <c r="P187" s="417"/>
      <c r="Q187" s="417"/>
      <c r="AT187" s="804">
        <f t="shared" ref="AT187:BB187" si="343">IF(Z214&lt;$G$449,0,MIN($G$446,1+IFERROR(INT((Z214-$G$449)/$G$464),0)))</f>
        <v>0</v>
      </c>
      <c r="AU187" s="804">
        <f t="shared" si="343"/>
        <v>0</v>
      </c>
      <c r="AV187" s="804">
        <f t="shared" si="343"/>
        <v>0</v>
      </c>
      <c r="AW187" s="804">
        <f t="shared" si="343"/>
        <v>0</v>
      </c>
      <c r="AX187" s="804">
        <f t="shared" si="343"/>
        <v>1</v>
      </c>
      <c r="AY187" s="804">
        <f t="shared" si="343"/>
        <v>3</v>
      </c>
      <c r="AZ187" s="804">
        <f t="shared" si="343"/>
        <v>5</v>
      </c>
      <c r="BA187" s="804">
        <f t="shared" si="343"/>
        <v>6</v>
      </c>
      <c r="BB187" s="804">
        <f t="shared" si="343"/>
        <v>8</v>
      </c>
    </row>
    <row r="188" spans="1:54" ht="15" customHeight="1">
      <c r="A188" s="417"/>
      <c r="B188" s="828"/>
      <c r="C188" s="801">
        <f>C187-$G$458</f>
        <v>52</v>
      </c>
      <c r="D188" s="490">
        <f t="shared" ref="D188:L188" si="344">IFERROR(Z175/$G$430,0)</f>
        <v>1.2189301138051272</v>
      </c>
      <c r="E188" s="490">
        <f t="shared" si="344"/>
        <v>1.3290364063221338</v>
      </c>
      <c r="F188" s="490">
        <f t="shared" si="344"/>
        <v>1.4391426988391407</v>
      </c>
      <c r="G188" s="490">
        <f t="shared" si="344"/>
        <v>1.5492489913561476</v>
      </c>
      <c r="H188" s="490">
        <f t="shared" si="344"/>
        <v>1.6593552838731545</v>
      </c>
      <c r="I188" s="490">
        <f t="shared" si="344"/>
        <v>1.7694615763901613</v>
      </c>
      <c r="J188" s="490">
        <f t="shared" si="344"/>
        <v>1.8795678689071678</v>
      </c>
      <c r="K188" s="490">
        <f t="shared" si="344"/>
        <v>1.9896741614241746</v>
      </c>
      <c r="L188" s="490">
        <f t="shared" si="344"/>
        <v>2.0997804539411815</v>
      </c>
      <c r="M188" s="417"/>
      <c r="N188" s="417"/>
      <c r="O188" s="417"/>
      <c r="P188" s="417"/>
      <c r="Q188" s="417"/>
      <c r="AT188" s="804">
        <f t="shared" ref="AT188:BB188" si="345">IF(Z215&lt;$G$449,0,MIN($G$446,1+IFERROR(INT((Z215-$G$449)/$G$464),0)))</f>
        <v>0</v>
      </c>
      <c r="AU188" s="804">
        <f t="shared" si="345"/>
        <v>0</v>
      </c>
      <c r="AV188" s="804">
        <f t="shared" si="345"/>
        <v>0</v>
      </c>
      <c r="AW188" s="804">
        <f t="shared" si="345"/>
        <v>0</v>
      </c>
      <c r="AX188" s="804">
        <f t="shared" si="345"/>
        <v>2</v>
      </c>
      <c r="AY188" s="804">
        <f t="shared" si="345"/>
        <v>4</v>
      </c>
      <c r="AZ188" s="804">
        <f t="shared" si="345"/>
        <v>6</v>
      </c>
      <c r="BA188" s="804">
        <f t="shared" si="345"/>
        <v>8</v>
      </c>
      <c r="BB188" s="804">
        <f t="shared" si="345"/>
        <v>9</v>
      </c>
    </row>
    <row r="189" spans="1:54" ht="15" customHeight="1">
      <c r="A189" s="417"/>
      <c r="B189" s="829"/>
      <c r="C189" s="802">
        <f>C188-$G$458</f>
        <v>48</v>
      </c>
      <c r="D189" s="783">
        <f t="shared" ref="D189:L189" si="346">IFERROR(Z176/$G$430,0)</f>
        <v>1.1482482392336728</v>
      </c>
      <c r="E189" s="783">
        <f t="shared" si="346"/>
        <v>1.2583545317506797</v>
      </c>
      <c r="F189" s="783">
        <f t="shared" si="346"/>
        <v>1.3684608242676866</v>
      </c>
      <c r="G189" s="783">
        <f t="shared" si="346"/>
        <v>1.4785671167846934</v>
      </c>
      <c r="H189" s="783">
        <f t="shared" si="346"/>
        <v>1.5886734093017001</v>
      </c>
      <c r="I189" s="783">
        <f t="shared" si="346"/>
        <v>1.698779701818707</v>
      </c>
      <c r="J189" s="783">
        <f t="shared" si="346"/>
        <v>1.8088859943357134</v>
      </c>
      <c r="K189" s="783">
        <f t="shared" si="346"/>
        <v>1.9189922868527205</v>
      </c>
      <c r="L189" s="783">
        <f t="shared" si="346"/>
        <v>2.0290985793697272</v>
      </c>
      <c r="M189" s="417"/>
      <c r="N189" s="417"/>
      <c r="O189" s="417"/>
      <c r="P189" s="417"/>
      <c r="Q189" s="417"/>
      <c r="AT189" s="804">
        <f t="shared" ref="AT189:BB189" si="347">IF(Z216&lt;$G$449,0,MIN($G$446,1+IFERROR(INT((Z216-$G$449)/$G$464),0)))</f>
        <v>0</v>
      </c>
      <c r="AU189" s="804">
        <f t="shared" si="347"/>
        <v>0</v>
      </c>
      <c r="AV189" s="804">
        <f t="shared" si="347"/>
        <v>0</v>
      </c>
      <c r="AW189" s="804">
        <f t="shared" si="347"/>
        <v>2</v>
      </c>
      <c r="AX189" s="804">
        <f t="shared" si="347"/>
        <v>3</v>
      </c>
      <c r="AY189" s="804">
        <f t="shared" si="347"/>
        <v>5</v>
      </c>
      <c r="AZ189" s="804">
        <f t="shared" si="347"/>
        <v>7</v>
      </c>
      <c r="BA189" s="804">
        <f t="shared" si="347"/>
        <v>9</v>
      </c>
      <c r="BB189" s="804">
        <f t="shared" si="347"/>
        <v>10</v>
      </c>
    </row>
    <row r="190" spans="1:54" ht="15" hidden="1" customHeight="1" outlineLevel="1">
      <c r="A190" s="417"/>
      <c r="B190" s="423" t="str">
        <f>"Ben's Year 5 total value ÷ Keystone value today (G430), less 1; rollover fixed at "&amp;TEXT($G$436,"0%")&amp;" (G436)"</f>
        <v>Ben's Year 5 total value ÷ Keystone value today (G430), less 1; rollover fixed at 30% (G436)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2599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109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109" ht="12.75" customHeight="1">
      <c r="A194" s="417"/>
      <c r="B194" s="454"/>
      <c r="C194" s="454"/>
      <c r="D194" s="767" t="s">
        <v>2525</v>
      </c>
      <c r="E194" s="767"/>
      <c r="F194" s="767"/>
      <c r="G194" s="767"/>
      <c r="H194" s="767"/>
      <c r="I194" s="767"/>
      <c r="J194" s="767"/>
      <c r="K194" s="767"/>
      <c r="L194" s="767"/>
      <c r="M194" s="417"/>
      <c r="N194" s="417"/>
      <c r="O194" s="417"/>
      <c r="P194" s="417"/>
      <c r="Q194" s="417"/>
      <c r="BD194" s="772" t="s">
        <v>2803</v>
      </c>
      <c r="BE194" s="772"/>
      <c r="BF194" s="772"/>
      <c r="BG194" s="772"/>
      <c r="BH194" s="772"/>
      <c r="BI194" s="772"/>
      <c r="BJ194" s="772" t="s">
        <v>2804</v>
      </c>
      <c r="BK194" s="772"/>
      <c r="BL194" s="772"/>
      <c r="BM194" s="772"/>
      <c r="BN194" s="772"/>
      <c r="BO194" s="772"/>
      <c r="BP194" s="772" t="s">
        <v>2805</v>
      </c>
      <c r="BQ194" s="772"/>
      <c r="BR194" s="772"/>
      <c r="BS194" s="772"/>
      <c r="BT194" s="772"/>
      <c r="BU194" s="772"/>
      <c r="BV194" s="772" t="s">
        <v>2806</v>
      </c>
      <c r="BW194" s="772"/>
      <c r="BX194" s="772"/>
      <c r="BY194" s="772"/>
      <c r="BZ194" s="772"/>
      <c r="CA194" s="772"/>
      <c r="CB194" s="772" t="s">
        <v>2807</v>
      </c>
      <c r="CC194" s="772"/>
      <c r="CD194" s="772"/>
      <c r="CE194" s="772"/>
      <c r="CF194" s="772"/>
      <c r="CG194" s="772"/>
      <c r="CH194" s="772" t="s">
        <v>2808</v>
      </c>
      <c r="CI194" s="772"/>
      <c r="CJ194" s="772"/>
      <c r="CK194" s="772"/>
      <c r="CL194" s="772"/>
      <c r="CM194" s="772"/>
      <c r="CN194" s="772" t="s">
        <v>2809</v>
      </c>
      <c r="CO194" s="772"/>
      <c r="CP194" s="772"/>
      <c r="CQ194" s="772"/>
      <c r="CR194" s="772"/>
      <c r="CS194" s="772"/>
      <c r="CT194" s="772" t="s">
        <v>2810</v>
      </c>
      <c r="CU194" s="772"/>
      <c r="CV194" s="772"/>
      <c r="CW194" s="772"/>
      <c r="CX194" s="772"/>
      <c r="CY194" s="772"/>
      <c r="CZ194" s="772" t="s">
        <v>2811</v>
      </c>
      <c r="DA194" s="772"/>
      <c r="DB194" s="772"/>
      <c r="DC194" s="772"/>
      <c r="DD194" s="772"/>
      <c r="DE194" s="772"/>
    </row>
    <row r="195" spans="1:109" ht="12.75" customHeight="1">
      <c r="A195" s="417"/>
      <c r="B195" s="454"/>
      <c r="C195" s="454"/>
      <c r="D195" s="768">
        <f>E195-$G$441</f>
        <v>1.3171225937183451E-2</v>
      </c>
      <c r="E195" s="768">
        <f>F195-$G$441</f>
        <v>0.26317122593718345</v>
      </c>
      <c r="F195" s="768">
        <f>G195-$G$441</f>
        <v>0.51317122593718345</v>
      </c>
      <c r="G195" s="768">
        <f>H195-$G$441</f>
        <v>0.76317122593718345</v>
      </c>
      <c r="H195" s="768">
        <f>$G$440</f>
        <v>1.0131712259371835</v>
      </c>
      <c r="I195" s="768">
        <f>H195+$G$441</f>
        <v>1.2631712259371835</v>
      </c>
      <c r="J195" s="768">
        <f>I195+$G$441</f>
        <v>1.5131712259371835</v>
      </c>
      <c r="K195" s="768">
        <f>J195+$G$441</f>
        <v>1.7631712259371835</v>
      </c>
      <c r="L195" s="768">
        <f>K195+$G$441</f>
        <v>2.0131712259371835</v>
      </c>
      <c r="M195" s="417"/>
      <c r="N195" s="417"/>
      <c r="O195" s="417"/>
      <c r="P195" s="417"/>
      <c r="Q195" s="417"/>
      <c r="AT195" s="772" t="s">
        <v>2614</v>
      </c>
      <c r="AU195" s="427"/>
      <c r="AV195" s="427"/>
      <c r="AW195" s="427"/>
      <c r="AX195" s="427"/>
      <c r="AY195" s="427"/>
      <c r="AZ195" s="427"/>
      <c r="BA195" s="427"/>
      <c r="BB195" s="427"/>
      <c r="BD195" s="818">
        <f>$S$9</f>
        <v>0</v>
      </c>
      <c r="BE195" s="818">
        <f>$T$9</f>
        <v>1</v>
      </c>
      <c r="BF195" s="818">
        <f>$U$9</f>
        <v>2</v>
      </c>
      <c r="BG195" s="818">
        <f>$V$9</f>
        <v>3</v>
      </c>
      <c r="BH195" s="818">
        <f>$W$9</f>
        <v>4</v>
      </c>
      <c r="BI195" s="818">
        <f>$X$9</f>
        <v>5</v>
      </c>
      <c r="BJ195" s="818">
        <f>$S$9</f>
        <v>0</v>
      </c>
      <c r="BK195" s="818">
        <f>$T$9</f>
        <v>1</v>
      </c>
      <c r="BL195" s="818">
        <f>$U$9</f>
        <v>2</v>
      </c>
      <c r="BM195" s="818">
        <f>$V$9</f>
        <v>3</v>
      </c>
      <c r="BN195" s="818">
        <f>$W$9</f>
        <v>4</v>
      </c>
      <c r="BO195" s="818">
        <f>$X$9</f>
        <v>5</v>
      </c>
      <c r="BP195" s="818">
        <f>$S$9</f>
        <v>0</v>
      </c>
      <c r="BQ195" s="818">
        <f>$T$9</f>
        <v>1</v>
      </c>
      <c r="BR195" s="818">
        <f>$U$9</f>
        <v>2</v>
      </c>
      <c r="BS195" s="818">
        <f>$V$9</f>
        <v>3</v>
      </c>
      <c r="BT195" s="818">
        <f>$W$9</f>
        <v>4</v>
      </c>
      <c r="BU195" s="818">
        <f>$X$9</f>
        <v>5</v>
      </c>
      <c r="BV195" s="818">
        <f>$S$9</f>
        <v>0</v>
      </c>
      <c r="BW195" s="818">
        <f>$T$9</f>
        <v>1</v>
      </c>
      <c r="BX195" s="818">
        <f>$U$9</f>
        <v>2</v>
      </c>
      <c r="BY195" s="818">
        <f>$V$9</f>
        <v>3</v>
      </c>
      <c r="BZ195" s="818">
        <f>$W$9</f>
        <v>4</v>
      </c>
      <c r="CA195" s="818">
        <f>$X$9</f>
        <v>5</v>
      </c>
      <c r="CB195" s="818">
        <f>$S$9</f>
        <v>0</v>
      </c>
      <c r="CC195" s="818">
        <f>$T$9</f>
        <v>1</v>
      </c>
      <c r="CD195" s="818">
        <f>$U$9</f>
        <v>2</v>
      </c>
      <c r="CE195" s="818">
        <f>$V$9</f>
        <v>3</v>
      </c>
      <c r="CF195" s="818">
        <f>$W$9</f>
        <v>4</v>
      </c>
      <c r="CG195" s="818">
        <f>$X$9</f>
        <v>5</v>
      </c>
      <c r="CH195" s="818">
        <f>$S$9</f>
        <v>0</v>
      </c>
      <c r="CI195" s="818">
        <f>$T$9</f>
        <v>1</v>
      </c>
      <c r="CJ195" s="818">
        <f>$U$9</f>
        <v>2</v>
      </c>
      <c r="CK195" s="818">
        <f>$V$9</f>
        <v>3</v>
      </c>
      <c r="CL195" s="818">
        <f>$W$9</f>
        <v>4</v>
      </c>
      <c r="CM195" s="818">
        <f>$X$9</f>
        <v>5</v>
      </c>
      <c r="CN195" s="818">
        <f>$S$9</f>
        <v>0</v>
      </c>
      <c r="CO195" s="818">
        <f>$T$9</f>
        <v>1</v>
      </c>
      <c r="CP195" s="818">
        <f>$U$9</f>
        <v>2</v>
      </c>
      <c r="CQ195" s="818">
        <f>$V$9</f>
        <v>3</v>
      </c>
      <c r="CR195" s="818">
        <f>$W$9</f>
        <v>4</v>
      </c>
      <c r="CS195" s="818">
        <f>$X$9</f>
        <v>5</v>
      </c>
      <c r="CT195" s="818">
        <f>$S$9</f>
        <v>0</v>
      </c>
      <c r="CU195" s="818">
        <f>$T$9</f>
        <v>1</v>
      </c>
      <c r="CV195" s="818">
        <f>$U$9</f>
        <v>2</v>
      </c>
      <c r="CW195" s="818">
        <f>$V$9</f>
        <v>3</v>
      </c>
      <c r="CX195" s="818">
        <f>$W$9</f>
        <v>4</v>
      </c>
      <c r="CY195" s="818">
        <f>$X$9</f>
        <v>5</v>
      </c>
      <c r="CZ195" s="818">
        <f>$S$9</f>
        <v>0</v>
      </c>
      <c r="DA195" s="818">
        <f>$T$9</f>
        <v>1</v>
      </c>
      <c r="DB195" s="818">
        <f>$U$9</f>
        <v>2</v>
      </c>
      <c r="DC195" s="818">
        <f>$V$9</f>
        <v>3</v>
      </c>
      <c r="DD195" s="818">
        <f>$W$9</f>
        <v>4</v>
      </c>
      <c r="DE195" s="818">
        <f>$X$9</f>
        <v>5</v>
      </c>
    </row>
    <row r="196" spans="1:109" ht="15" customHeight="1">
      <c r="A196" s="417"/>
      <c r="B196" s="827" t="s">
        <v>2591</v>
      </c>
      <c r="C196" s="801">
        <f>C197+$G$458</f>
        <v>72</v>
      </c>
      <c r="D196" s="631">
        <f t="shared" ref="D196:D202" si="348">IFERROR(IRR(BD196:BI196),0)</f>
        <v>0.24633179013778839</v>
      </c>
      <c r="E196" s="631">
        <f t="shared" ref="E196:E202" si="349">IFERROR(IRR(BJ196:BO196),0)</f>
        <v>0.25777081243940558</v>
      </c>
      <c r="F196" s="631">
        <f t="shared" ref="F196:F202" si="350">IFERROR(IRR(BP196:BU196),0)</f>
        <v>0.26880822759720679</v>
      </c>
      <c r="G196" s="631">
        <f t="shared" ref="G196:G202" si="351">IFERROR(IRR(BV196:CA196),0)</f>
        <v>0.27947443188015542</v>
      </c>
      <c r="H196" s="631">
        <f t="shared" ref="H196:H202" si="352">IFERROR(IRR(CB196:CG196),0)</f>
        <v>0.28979638670850116</v>
      </c>
      <c r="I196" s="631">
        <f t="shared" ref="I196:I202" si="353">IFERROR(IRR(CH196:CM196),0)</f>
        <v>0.29979812506412373</v>
      </c>
      <c r="J196" s="631">
        <f t="shared" ref="J196:J202" si="354">IFERROR(IRR(CN196:CS196),0)</f>
        <v>0.30950116712019105</v>
      </c>
      <c r="K196" s="631">
        <f t="shared" ref="K196:K202" si="355">IFERROR(IRR(CT196:CY196),0)</f>
        <v>0.3189248639617448</v>
      </c>
      <c r="L196" s="631">
        <f t="shared" ref="L196:L202" si="356">IFERROR(IRR(CZ196:DE196),0)</f>
        <v>0.32808668408154884</v>
      </c>
      <c r="M196" s="417"/>
      <c r="N196" s="417"/>
      <c r="O196" s="417"/>
      <c r="P196" s="417"/>
      <c r="Q196" s="417"/>
      <c r="AT196" s="804">
        <f>IF(Z210&lt;$G$449,0,MIN($G$446,1+IFERROR(INT((Z210-$G$449)/$G$464),0)))</f>
        <v>0</v>
      </c>
      <c r="AU196" s="804">
        <f t="shared" ref="AU196:BB196" si="357">IF(AA210&lt;$G$449,0,MIN($G$446,1+IFERROR(INT((AA210-$G$449)/$G$464),0)))</f>
        <v>0</v>
      </c>
      <c r="AV196" s="804">
        <f t="shared" si="357"/>
        <v>0</v>
      </c>
      <c r="AW196" s="804">
        <f t="shared" si="357"/>
        <v>0</v>
      </c>
      <c r="AX196" s="804">
        <f t="shared" si="357"/>
        <v>0</v>
      </c>
      <c r="AY196" s="804">
        <f t="shared" si="357"/>
        <v>0</v>
      </c>
      <c r="AZ196" s="804">
        <f t="shared" si="357"/>
        <v>0</v>
      </c>
      <c r="BA196" s="804">
        <f t="shared" si="357"/>
        <v>2</v>
      </c>
      <c r="BB196" s="804">
        <f t="shared" si="357"/>
        <v>4</v>
      </c>
      <c r="BD196" s="428">
        <f t="shared" ref="BD196:BD202" si="358">(BD$195=0)*($O$18-$G$430)+(BD$195=$G$444)*$G$435+(BD$195=$G$445)*(Z170+$G$430-$O$18-$G$435)</f>
        <v>-2350</v>
      </c>
      <c r="BE196" s="428">
        <f t="shared" ref="BE196:BE202" si="359">(BE$195=0)*($O$18-$G$430)+(BE$195=$G$444)*$G$435+(BE$195=$G$445)*(Z170+$G$430-$O$18-$G$435)</f>
        <v>0</v>
      </c>
      <c r="BF196" s="428">
        <f t="shared" ref="BF196:BF202" si="360">(BF$195=0)*($O$18-$G$430)+(BF$195=$G$444)*$G$435+(BF$195=$G$445)*(Z170+$G$430-$O$18-$G$435)</f>
        <v>0</v>
      </c>
      <c r="BG196" s="428">
        <f t="shared" ref="BG196:BG202" si="361">(BG$195=0)*($O$18-$G$430)+(BG$195=$G$444)*$G$435+(BG$195=$G$445)*(Z170+$G$430-$O$18-$G$435)</f>
        <v>0</v>
      </c>
      <c r="BH196" s="428">
        <f t="shared" ref="BH196:BH202" si="362">(BH$195=0)*($O$18-$G$430)+(BH$195=$G$444)*$G$435+(BH$195=$G$445)*(Z170+$G$430-$O$18-$G$435)</f>
        <v>0</v>
      </c>
      <c r="BI196" s="428">
        <f t="shared" ref="BI196:BJ202" si="363">(BI$195=0)*($O$18-$G$430)+(BI$195=$G$444)*$G$435+(BI$195=$G$445)*(Z170+$G$430-$O$18-$G$435)</f>
        <v>7067.0184599871936</v>
      </c>
      <c r="BJ196" s="428">
        <f t="shared" si="363"/>
        <v>-2350</v>
      </c>
      <c r="BK196" s="428">
        <f t="shared" ref="BK196:BK202" si="364">(BK$195=0)*($O$18-$G$430)+(BK$195=$G$444)*$G$435+(BK$195=$G$445)*(AA170+$G$430-$O$18-$G$435)</f>
        <v>0</v>
      </c>
      <c r="BL196" s="428">
        <f t="shared" ref="BL196:BL202" si="365">(BL$195=0)*($O$18-$G$430)+(BL$195=$G$444)*$G$435+(BL$195=$G$445)*(AA170+$G$430-$O$18-$G$435)</f>
        <v>0</v>
      </c>
      <c r="BM196" s="428">
        <f t="shared" ref="BM196:BM202" si="366">(BM$195=0)*($O$18-$G$430)+(BM$195=$G$444)*$G$435+(BM$195=$G$445)*(AA170+$G$430-$O$18-$G$435)</f>
        <v>0</v>
      </c>
      <c r="BN196" s="428">
        <f t="shared" ref="BN196:BN202" si="367">(BN$195=0)*($O$18-$G$430)+(BN$195=$G$444)*$G$435+(BN$195=$G$445)*(AA170+$G$430-$O$18-$G$435)</f>
        <v>0</v>
      </c>
      <c r="BO196" s="428">
        <f t="shared" ref="BO196:BP202" si="368">(BO$195=0)*($O$18-$G$430)+(BO$195=$G$444)*$G$435+(BO$195=$G$445)*(AA170+$G$430-$O$18-$G$435)</f>
        <v>7397.3373375382134</v>
      </c>
      <c r="BP196" s="428">
        <f t="shared" si="368"/>
        <v>-2350</v>
      </c>
      <c r="BQ196" s="428">
        <f t="shared" ref="BQ196:BQ202" si="369">(BQ$195=0)*($O$18-$G$430)+(BQ$195=$G$444)*$G$435+(BQ$195=$G$445)*(AB170+$G$430-$O$18-$G$435)</f>
        <v>0</v>
      </c>
      <c r="BR196" s="428">
        <f t="shared" ref="BR196:BR202" si="370">(BR$195=0)*($O$18-$G$430)+(BR$195=$G$444)*$G$435+(BR$195=$G$445)*(AB170+$G$430-$O$18-$G$435)</f>
        <v>0</v>
      </c>
      <c r="BS196" s="428">
        <f t="shared" ref="BS196:BS202" si="371">(BS$195=0)*($O$18-$G$430)+(BS$195=$G$444)*$G$435+(BS$195=$G$445)*(AB170+$G$430-$O$18-$G$435)</f>
        <v>0</v>
      </c>
      <c r="BT196" s="428">
        <f t="shared" ref="BT196:BT202" si="372">(BT$195=0)*($O$18-$G$430)+(BT$195=$G$444)*$G$435+(BT$195=$G$445)*(AB170+$G$430-$O$18-$G$435)</f>
        <v>0</v>
      </c>
      <c r="BU196" s="428">
        <f t="shared" ref="BU196:BV202" si="373">(BU$195=0)*($O$18-$G$430)+(BU$195=$G$444)*$G$435+(BU$195=$G$445)*(AB170+$G$430-$O$18-$G$435)</f>
        <v>7727.656215089235</v>
      </c>
      <c r="BV196" s="428">
        <f t="shared" si="373"/>
        <v>-2350</v>
      </c>
      <c r="BW196" s="428">
        <f t="shared" ref="BW196:BW202" si="374">(BW$195=0)*($O$18-$G$430)+(BW$195=$G$444)*$G$435+(BW$195=$G$445)*(AC170+$G$430-$O$18-$G$435)</f>
        <v>0</v>
      </c>
      <c r="BX196" s="428">
        <f t="shared" ref="BX196:BX202" si="375">(BX$195=0)*($O$18-$G$430)+(BX$195=$G$444)*$G$435+(BX$195=$G$445)*(AC170+$G$430-$O$18-$G$435)</f>
        <v>0</v>
      </c>
      <c r="BY196" s="428">
        <f t="shared" ref="BY196:BY202" si="376">(BY$195=0)*($O$18-$G$430)+(BY$195=$G$444)*$G$435+(BY$195=$G$445)*(AC170+$G$430-$O$18-$G$435)</f>
        <v>0</v>
      </c>
      <c r="BZ196" s="428">
        <f t="shared" ref="BZ196:BZ202" si="377">(BZ$195=0)*($O$18-$G$430)+(BZ$195=$G$444)*$G$435+(BZ$195=$G$445)*(AC170+$G$430-$O$18-$G$435)</f>
        <v>0</v>
      </c>
      <c r="CA196" s="428">
        <f t="shared" ref="CA196:CB202" si="378">(CA$195=0)*($O$18-$G$430)+(CA$195=$G$444)*$G$435+(CA$195=$G$445)*(AC170+$G$430-$O$18-$G$435)</f>
        <v>8057.9750926402539</v>
      </c>
      <c r="CB196" s="428">
        <f t="shared" si="378"/>
        <v>-2350</v>
      </c>
      <c r="CC196" s="428">
        <f t="shared" ref="CC196:CC202" si="379">(CC$195=0)*($O$18-$G$430)+(CC$195=$G$444)*$G$435+(CC$195=$G$445)*(AD170+$G$430-$O$18-$G$435)</f>
        <v>0</v>
      </c>
      <c r="CD196" s="428">
        <f t="shared" ref="CD196:CD202" si="380">(CD$195=0)*($O$18-$G$430)+(CD$195=$G$444)*$G$435+(CD$195=$G$445)*(AD170+$G$430-$O$18-$G$435)</f>
        <v>0</v>
      </c>
      <c r="CE196" s="428">
        <f t="shared" ref="CE196:CE202" si="381">(CE$195=0)*($O$18-$G$430)+(CE$195=$G$444)*$G$435+(CE$195=$G$445)*(AD170+$G$430-$O$18-$G$435)</f>
        <v>0</v>
      </c>
      <c r="CF196" s="428">
        <f t="shared" ref="CF196:CF202" si="382">(CF$195=0)*($O$18-$G$430)+(CF$195=$G$444)*$G$435+(CF$195=$G$445)*(AD170+$G$430-$O$18-$G$435)</f>
        <v>0</v>
      </c>
      <c r="CG196" s="428">
        <f t="shared" ref="CG196:CH202" si="383">(CG$195=0)*($O$18-$G$430)+(CG$195=$G$444)*$G$435+(CG$195=$G$445)*(AD170+$G$430-$O$18-$G$435)</f>
        <v>8388.2939701912746</v>
      </c>
      <c r="CH196" s="428">
        <f t="shared" si="383"/>
        <v>-2350</v>
      </c>
      <c r="CI196" s="428">
        <f t="shared" ref="CI196:CI202" si="384">(CI$195=0)*($O$18-$G$430)+(CI$195=$G$444)*$G$435+(CI$195=$G$445)*(AE170+$G$430-$O$18-$G$435)</f>
        <v>0</v>
      </c>
      <c r="CJ196" s="428">
        <f t="shared" ref="CJ196:CJ202" si="385">(CJ$195=0)*($O$18-$G$430)+(CJ$195=$G$444)*$G$435+(CJ$195=$G$445)*(AE170+$G$430-$O$18-$G$435)</f>
        <v>0</v>
      </c>
      <c r="CK196" s="428">
        <f t="shared" ref="CK196:CK202" si="386">(CK$195=0)*($O$18-$G$430)+(CK$195=$G$444)*$G$435+(CK$195=$G$445)*(AE170+$G$430-$O$18-$G$435)</f>
        <v>0</v>
      </c>
      <c r="CL196" s="428">
        <f t="shared" ref="CL196:CL202" si="387">(CL$195=0)*($O$18-$G$430)+(CL$195=$G$444)*$G$435+(CL$195=$G$445)*(AE170+$G$430-$O$18-$G$435)</f>
        <v>0</v>
      </c>
      <c r="CM196" s="428">
        <f t="shared" ref="CM196:CN202" si="388">(CM$195=0)*($O$18-$G$430)+(CM$195=$G$444)*$G$435+(CM$195=$G$445)*(AE170+$G$430-$O$18-$G$435)</f>
        <v>8718.6128477422953</v>
      </c>
      <c r="CN196" s="428">
        <f t="shared" si="388"/>
        <v>-2350</v>
      </c>
      <c r="CO196" s="428">
        <f t="shared" ref="CO196:CO202" si="389">(CO$195=0)*($O$18-$G$430)+(CO$195=$G$444)*$G$435+(CO$195=$G$445)*(AF170+$G$430-$O$18-$G$435)</f>
        <v>0</v>
      </c>
      <c r="CP196" s="428">
        <f t="shared" ref="CP196:CP202" si="390">(CP$195=0)*($O$18-$G$430)+(CP$195=$G$444)*$G$435+(CP$195=$G$445)*(AF170+$G$430-$O$18-$G$435)</f>
        <v>0</v>
      </c>
      <c r="CQ196" s="428">
        <f t="shared" ref="CQ196:CQ202" si="391">(CQ$195=0)*($O$18-$G$430)+(CQ$195=$G$444)*$G$435+(CQ$195=$G$445)*(AF170+$G$430-$O$18-$G$435)</f>
        <v>0</v>
      </c>
      <c r="CR196" s="428">
        <f t="shared" ref="CR196:CR202" si="392">(CR$195=0)*($O$18-$G$430)+(CR$195=$G$444)*$G$435+(CR$195=$G$445)*(AF170+$G$430-$O$18-$G$435)</f>
        <v>0</v>
      </c>
      <c r="CS196" s="428">
        <f t="shared" ref="CS196:CT202" si="393">(CS$195=0)*($O$18-$G$430)+(CS$195=$G$444)*$G$435+(CS$195=$G$445)*(AF170+$G$430-$O$18-$G$435)</f>
        <v>9048.931725293316</v>
      </c>
      <c r="CT196" s="428">
        <f t="shared" si="393"/>
        <v>-2350</v>
      </c>
      <c r="CU196" s="428">
        <f t="shared" ref="CU196:CU202" si="394">(CU$195=0)*($O$18-$G$430)+(CU$195=$G$444)*$G$435+(CU$195=$G$445)*(AG170+$G$430-$O$18-$G$435)</f>
        <v>0</v>
      </c>
      <c r="CV196" s="428">
        <f t="shared" ref="CV196:CV202" si="395">(CV$195=0)*($O$18-$G$430)+(CV$195=$G$444)*$G$435+(CV$195=$G$445)*(AG170+$G$430-$O$18-$G$435)</f>
        <v>0</v>
      </c>
      <c r="CW196" s="428">
        <f t="shared" ref="CW196:CW202" si="396">(CW$195=0)*($O$18-$G$430)+(CW$195=$G$444)*$G$435+(CW$195=$G$445)*(AG170+$G$430-$O$18-$G$435)</f>
        <v>0</v>
      </c>
      <c r="CX196" s="428">
        <f t="shared" ref="CX196:CX202" si="397">(CX$195=0)*($O$18-$G$430)+(CX$195=$G$444)*$G$435+(CX$195=$G$445)*(AG170+$G$430-$O$18-$G$435)</f>
        <v>0</v>
      </c>
      <c r="CY196" s="428">
        <f t="shared" ref="CY196:CZ202" si="398">(CY$195=0)*($O$18-$G$430)+(CY$195=$G$444)*$G$435+(CY$195=$G$445)*(AG170+$G$430-$O$18-$G$435)</f>
        <v>9379.2506028443368</v>
      </c>
      <c r="CZ196" s="428">
        <f t="shared" si="398"/>
        <v>-2350</v>
      </c>
      <c r="DA196" s="428">
        <f t="shared" ref="DA196:DA202" si="399">(DA$195=0)*($O$18-$G$430)+(DA$195=$G$444)*$G$435+(DA$195=$G$445)*(AH170+$G$430-$O$18-$G$435)</f>
        <v>0</v>
      </c>
      <c r="DB196" s="428">
        <f t="shared" ref="DB196:DB202" si="400">(DB$195=0)*($O$18-$G$430)+(DB$195=$G$444)*$G$435+(DB$195=$G$445)*(AH170+$G$430-$O$18-$G$435)</f>
        <v>0</v>
      </c>
      <c r="DC196" s="428">
        <f t="shared" ref="DC196:DC202" si="401">(DC$195=0)*($O$18-$G$430)+(DC$195=$G$444)*$G$435+(DC$195=$G$445)*(AH170+$G$430-$O$18-$G$435)</f>
        <v>0</v>
      </c>
      <c r="DD196" s="428">
        <f t="shared" ref="DD196:DD202" si="402">(DD$195=0)*($O$18-$G$430)+(DD$195=$G$444)*$G$435+(DD$195=$G$445)*(AH170+$G$430-$O$18-$G$435)</f>
        <v>0</v>
      </c>
      <c r="DE196" s="428">
        <f t="shared" ref="DE196:DE202" si="403">(DE$195=0)*($O$18-$G$430)+(DE$195=$G$444)*$G$435+(DE$195=$G$445)*(AH170+$G$430-$O$18-$G$435)</f>
        <v>9709.5694803953556</v>
      </c>
    </row>
    <row r="197" spans="1:109" ht="15" customHeight="1">
      <c r="A197" s="417"/>
      <c r="B197" s="828"/>
      <c r="C197" s="801">
        <f>C198+$G$458</f>
        <v>68</v>
      </c>
      <c r="D197" s="631">
        <f t="shared" si="348"/>
        <v>0.23876114605626575</v>
      </c>
      <c r="E197" s="631">
        <f t="shared" si="349"/>
        <v>0.25047584914310583</v>
      </c>
      <c r="F197" s="631">
        <f t="shared" si="350"/>
        <v>0.26176733914826111</v>
      </c>
      <c r="G197" s="631">
        <f t="shared" si="351"/>
        <v>0.2726685367194055</v>
      </c>
      <c r="H197" s="631">
        <f t="shared" si="352"/>
        <v>0.28320854338010237</v>
      </c>
      <c r="I197" s="631">
        <f t="shared" si="353"/>
        <v>0.2934132189901224</v>
      </c>
      <c r="J197" s="631">
        <f t="shared" si="354"/>
        <v>0.30330565313159674</v>
      </c>
      <c r="K197" s="631">
        <f t="shared" si="355"/>
        <v>0.31290655304960668</v>
      </c>
      <c r="L197" s="631">
        <f t="shared" si="356"/>
        <v>0.32223456546352325</v>
      </c>
      <c r="M197" s="417"/>
      <c r="N197" s="417"/>
      <c r="O197" s="417"/>
      <c r="P197" s="417"/>
      <c r="Q197" s="417"/>
      <c r="AT197" s="804">
        <f t="shared" ref="AT197:BB197" si="404">IF(Z211&lt;$G$449,0,MIN($G$446,1+IFERROR(INT((Z211-$G$449)/$G$464),0)))</f>
        <v>0</v>
      </c>
      <c r="AU197" s="804">
        <f t="shared" si="404"/>
        <v>0</v>
      </c>
      <c r="AV197" s="804">
        <f t="shared" si="404"/>
        <v>0</v>
      </c>
      <c r="AW197" s="804">
        <f t="shared" si="404"/>
        <v>0</v>
      </c>
      <c r="AX197" s="804">
        <f t="shared" si="404"/>
        <v>0</v>
      </c>
      <c r="AY197" s="804">
        <f t="shared" si="404"/>
        <v>0</v>
      </c>
      <c r="AZ197" s="804">
        <f t="shared" si="404"/>
        <v>1</v>
      </c>
      <c r="BA197" s="804">
        <f t="shared" si="404"/>
        <v>3</v>
      </c>
      <c r="BB197" s="804">
        <f t="shared" si="404"/>
        <v>5</v>
      </c>
      <c r="BD197" s="428">
        <f t="shared" si="358"/>
        <v>-2350</v>
      </c>
      <c r="BE197" s="428">
        <f t="shared" si="359"/>
        <v>0</v>
      </c>
      <c r="BF197" s="428">
        <f t="shared" si="360"/>
        <v>0</v>
      </c>
      <c r="BG197" s="428">
        <f t="shared" si="361"/>
        <v>0</v>
      </c>
      <c r="BH197" s="428">
        <f t="shared" si="362"/>
        <v>0</v>
      </c>
      <c r="BI197" s="428">
        <f t="shared" si="363"/>
        <v>6854.972836272831</v>
      </c>
      <c r="BJ197" s="428">
        <f t="shared" si="363"/>
        <v>-2350</v>
      </c>
      <c r="BK197" s="428">
        <f t="shared" si="364"/>
        <v>0</v>
      </c>
      <c r="BL197" s="428">
        <f t="shared" si="365"/>
        <v>0</v>
      </c>
      <c r="BM197" s="428">
        <f t="shared" si="366"/>
        <v>0</v>
      </c>
      <c r="BN197" s="428">
        <f t="shared" si="367"/>
        <v>0</v>
      </c>
      <c r="BO197" s="428">
        <f t="shared" si="368"/>
        <v>7185.2917138238508</v>
      </c>
      <c r="BP197" s="428">
        <f t="shared" si="368"/>
        <v>-2350</v>
      </c>
      <c r="BQ197" s="428">
        <f t="shared" si="369"/>
        <v>0</v>
      </c>
      <c r="BR197" s="428">
        <f t="shared" si="370"/>
        <v>0</v>
      </c>
      <c r="BS197" s="428">
        <f t="shared" si="371"/>
        <v>0</v>
      </c>
      <c r="BT197" s="428">
        <f t="shared" si="372"/>
        <v>0</v>
      </c>
      <c r="BU197" s="428">
        <f t="shared" si="373"/>
        <v>7515.6105913748715</v>
      </c>
      <c r="BV197" s="428">
        <f t="shared" si="373"/>
        <v>-2350</v>
      </c>
      <c r="BW197" s="428">
        <f t="shared" si="374"/>
        <v>0</v>
      </c>
      <c r="BX197" s="428">
        <f t="shared" si="375"/>
        <v>0</v>
      </c>
      <c r="BY197" s="428">
        <f t="shared" si="376"/>
        <v>0</v>
      </c>
      <c r="BZ197" s="428">
        <f t="shared" si="377"/>
        <v>0</v>
      </c>
      <c r="CA197" s="428">
        <f t="shared" si="378"/>
        <v>7845.9294689258913</v>
      </c>
      <c r="CB197" s="428">
        <f t="shared" si="378"/>
        <v>-2350</v>
      </c>
      <c r="CC197" s="428">
        <f t="shared" si="379"/>
        <v>0</v>
      </c>
      <c r="CD197" s="428">
        <f t="shared" si="380"/>
        <v>0</v>
      </c>
      <c r="CE197" s="428">
        <f t="shared" si="381"/>
        <v>0</v>
      </c>
      <c r="CF197" s="428">
        <f t="shared" si="382"/>
        <v>0</v>
      </c>
      <c r="CG197" s="428">
        <f t="shared" si="383"/>
        <v>8176.248346476912</v>
      </c>
      <c r="CH197" s="428">
        <f t="shared" si="383"/>
        <v>-2350</v>
      </c>
      <c r="CI197" s="428">
        <f t="shared" si="384"/>
        <v>0</v>
      </c>
      <c r="CJ197" s="428">
        <f t="shared" si="385"/>
        <v>0</v>
      </c>
      <c r="CK197" s="428">
        <f t="shared" si="386"/>
        <v>0</v>
      </c>
      <c r="CL197" s="428">
        <f t="shared" si="387"/>
        <v>0</v>
      </c>
      <c r="CM197" s="428">
        <f t="shared" si="388"/>
        <v>8506.5672240279328</v>
      </c>
      <c r="CN197" s="428">
        <f t="shared" si="388"/>
        <v>-2350</v>
      </c>
      <c r="CO197" s="428">
        <f t="shared" si="389"/>
        <v>0</v>
      </c>
      <c r="CP197" s="428">
        <f t="shared" si="390"/>
        <v>0</v>
      </c>
      <c r="CQ197" s="428">
        <f t="shared" si="391"/>
        <v>0</v>
      </c>
      <c r="CR197" s="428">
        <f t="shared" si="392"/>
        <v>0</v>
      </c>
      <c r="CS197" s="428">
        <f t="shared" si="393"/>
        <v>8836.8861015789535</v>
      </c>
      <c r="CT197" s="428">
        <f t="shared" si="393"/>
        <v>-2350</v>
      </c>
      <c r="CU197" s="428">
        <f t="shared" si="394"/>
        <v>0</v>
      </c>
      <c r="CV197" s="428">
        <f t="shared" si="395"/>
        <v>0</v>
      </c>
      <c r="CW197" s="428">
        <f t="shared" si="396"/>
        <v>0</v>
      </c>
      <c r="CX197" s="428">
        <f t="shared" si="397"/>
        <v>0</v>
      </c>
      <c r="CY197" s="428">
        <f t="shared" si="398"/>
        <v>9167.2049791299742</v>
      </c>
      <c r="CZ197" s="428">
        <f t="shared" si="398"/>
        <v>-2350</v>
      </c>
      <c r="DA197" s="428">
        <f t="shared" si="399"/>
        <v>0</v>
      </c>
      <c r="DB197" s="428">
        <f t="shared" si="400"/>
        <v>0</v>
      </c>
      <c r="DC197" s="428">
        <f t="shared" si="401"/>
        <v>0</v>
      </c>
      <c r="DD197" s="428">
        <f t="shared" si="402"/>
        <v>0</v>
      </c>
      <c r="DE197" s="428">
        <f t="shared" si="403"/>
        <v>9497.523856680993</v>
      </c>
    </row>
    <row r="198" spans="1:109" ht="15" customHeight="1">
      <c r="A198" s="417"/>
      <c r="B198" s="828"/>
      <c r="C198" s="801">
        <f>C199+$G$458</f>
        <v>64</v>
      </c>
      <c r="D198" s="631">
        <f t="shared" si="348"/>
        <v>0.23100077490040993</v>
      </c>
      <c r="E198" s="631">
        <f t="shared" si="349"/>
        <v>0.24300657515743795</v>
      </c>
      <c r="F198" s="631">
        <f t="shared" si="350"/>
        <v>0.25456569195789269</v>
      </c>
      <c r="G198" s="631">
        <f t="shared" si="351"/>
        <v>0.26571386367101613</v>
      </c>
      <c r="H198" s="631">
        <f t="shared" si="352"/>
        <v>0.27648256928515536</v>
      </c>
      <c r="I198" s="631">
        <f t="shared" si="353"/>
        <v>0.28689968933360555</v>
      </c>
      <c r="J198" s="631">
        <f t="shared" si="354"/>
        <v>0.29699004233961257</v>
      </c>
      <c r="K198" s="631">
        <f t="shared" si="355"/>
        <v>0.30677582405964587</v>
      </c>
      <c r="L198" s="631">
        <f t="shared" si="356"/>
        <v>0.31627696996654087</v>
      </c>
      <c r="M198" s="417"/>
      <c r="N198" s="417"/>
      <c r="O198" s="417"/>
      <c r="P198" s="417"/>
      <c r="Q198" s="417"/>
      <c r="AT198" s="804">
        <f t="shared" ref="AT198:BB198" si="405">IF(Z212&lt;$G$449,0,MIN($G$446,1+IFERROR(INT((Z212-$G$449)/$G$464),0)))</f>
        <v>0</v>
      </c>
      <c r="AU198" s="804">
        <f t="shared" si="405"/>
        <v>0</v>
      </c>
      <c r="AV198" s="804">
        <f t="shared" si="405"/>
        <v>0</v>
      </c>
      <c r="AW198" s="804">
        <f t="shared" si="405"/>
        <v>0</v>
      </c>
      <c r="AX198" s="804">
        <f t="shared" si="405"/>
        <v>0</v>
      </c>
      <c r="AY198" s="804">
        <f t="shared" si="405"/>
        <v>1</v>
      </c>
      <c r="AZ198" s="804">
        <f t="shared" si="405"/>
        <v>2</v>
      </c>
      <c r="BA198" s="804">
        <f t="shared" si="405"/>
        <v>4</v>
      </c>
      <c r="BB198" s="804">
        <f t="shared" si="405"/>
        <v>6</v>
      </c>
      <c r="BD198" s="428">
        <f t="shared" si="358"/>
        <v>-2350</v>
      </c>
      <c r="BE198" s="428">
        <f t="shared" si="359"/>
        <v>0</v>
      </c>
      <c r="BF198" s="428">
        <f t="shared" si="360"/>
        <v>0</v>
      </c>
      <c r="BG198" s="428">
        <f t="shared" si="361"/>
        <v>0</v>
      </c>
      <c r="BH198" s="428">
        <f t="shared" si="362"/>
        <v>0</v>
      </c>
      <c r="BI198" s="428">
        <f t="shared" si="363"/>
        <v>6642.9272125584694</v>
      </c>
      <c r="BJ198" s="428">
        <f t="shared" si="363"/>
        <v>-2350</v>
      </c>
      <c r="BK198" s="428">
        <f t="shared" si="364"/>
        <v>0</v>
      </c>
      <c r="BL198" s="428">
        <f t="shared" si="365"/>
        <v>0</v>
      </c>
      <c r="BM198" s="428">
        <f t="shared" si="366"/>
        <v>0</v>
      </c>
      <c r="BN198" s="428">
        <f t="shared" si="367"/>
        <v>0</v>
      </c>
      <c r="BO198" s="428">
        <f t="shared" si="368"/>
        <v>6973.2460901094892</v>
      </c>
      <c r="BP198" s="428">
        <f t="shared" si="368"/>
        <v>-2350</v>
      </c>
      <c r="BQ198" s="428">
        <f t="shared" si="369"/>
        <v>0</v>
      </c>
      <c r="BR198" s="428">
        <f t="shared" si="370"/>
        <v>0</v>
      </c>
      <c r="BS198" s="428">
        <f t="shared" si="371"/>
        <v>0</v>
      </c>
      <c r="BT198" s="428">
        <f t="shared" si="372"/>
        <v>0</v>
      </c>
      <c r="BU198" s="428">
        <f t="shared" si="373"/>
        <v>7303.5649676605099</v>
      </c>
      <c r="BV198" s="428">
        <f t="shared" si="373"/>
        <v>-2350</v>
      </c>
      <c r="BW198" s="428">
        <f t="shared" si="374"/>
        <v>0</v>
      </c>
      <c r="BX198" s="428">
        <f t="shared" si="375"/>
        <v>0</v>
      </c>
      <c r="BY198" s="428">
        <f t="shared" si="376"/>
        <v>0</v>
      </c>
      <c r="BZ198" s="428">
        <f t="shared" si="377"/>
        <v>0</v>
      </c>
      <c r="CA198" s="428">
        <f t="shared" si="378"/>
        <v>7633.8838452115306</v>
      </c>
      <c r="CB198" s="428">
        <f t="shared" si="378"/>
        <v>-2350</v>
      </c>
      <c r="CC198" s="428">
        <f t="shared" si="379"/>
        <v>0</v>
      </c>
      <c r="CD198" s="428">
        <f t="shared" si="380"/>
        <v>0</v>
      </c>
      <c r="CE198" s="428">
        <f t="shared" si="381"/>
        <v>0</v>
      </c>
      <c r="CF198" s="428">
        <f t="shared" si="382"/>
        <v>0</v>
      </c>
      <c r="CG198" s="428">
        <f t="shared" si="383"/>
        <v>7964.2027227625513</v>
      </c>
      <c r="CH198" s="428">
        <f t="shared" si="383"/>
        <v>-2350</v>
      </c>
      <c r="CI198" s="428">
        <f t="shared" si="384"/>
        <v>0</v>
      </c>
      <c r="CJ198" s="428">
        <f t="shared" si="385"/>
        <v>0</v>
      </c>
      <c r="CK198" s="428">
        <f t="shared" si="386"/>
        <v>0</v>
      </c>
      <c r="CL198" s="428">
        <f t="shared" si="387"/>
        <v>0</v>
      </c>
      <c r="CM198" s="428">
        <f t="shared" si="388"/>
        <v>8294.521600313572</v>
      </c>
      <c r="CN198" s="428">
        <f t="shared" si="388"/>
        <v>-2350</v>
      </c>
      <c r="CO198" s="428">
        <f t="shared" si="389"/>
        <v>0</v>
      </c>
      <c r="CP198" s="428">
        <f t="shared" si="390"/>
        <v>0</v>
      </c>
      <c r="CQ198" s="428">
        <f t="shared" si="391"/>
        <v>0</v>
      </c>
      <c r="CR198" s="428">
        <f t="shared" si="392"/>
        <v>0</v>
      </c>
      <c r="CS198" s="428">
        <f t="shared" si="393"/>
        <v>8624.8404778645909</v>
      </c>
      <c r="CT198" s="428">
        <f t="shared" si="393"/>
        <v>-2350</v>
      </c>
      <c r="CU198" s="428">
        <f t="shared" si="394"/>
        <v>0</v>
      </c>
      <c r="CV198" s="428">
        <f t="shared" si="395"/>
        <v>0</v>
      </c>
      <c r="CW198" s="428">
        <f t="shared" si="396"/>
        <v>0</v>
      </c>
      <c r="CX198" s="428">
        <f t="shared" si="397"/>
        <v>0</v>
      </c>
      <c r="CY198" s="428">
        <f t="shared" si="398"/>
        <v>8955.1593554156116</v>
      </c>
      <c r="CZ198" s="428">
        <f t="shared" si="398"/>
        <v>-2350</v>
      </c>
      <c r="DA198" s="428">
        <f t="shared" si="399"/>
        <v>0</v>
      </c>
      <c r="DB198" s="428">
        <f t="shared" si="400"/>
        <v>0</v>
      </c>
      <c r="DC198" s="428">
        <f t="shared" si="401"/>
        <v>0</v>
      </c>
      <c r="DD198" s="428">
        <f t="shared" si="402"/>
        <v>0</v>
      </c>
      <c r="DE198" s="428">
        <f t="shared" si="403"/>
        <v>9285.4782329666323</v>
      </c>
    </row>
    <row r="199" spans="1:109" ht="15" customHeight="1">
      <c r="A199" s="417"/>
      <c r="B199" s="828"/>
      <c r="C199" s="801">
        <f>$G$457</f>
        <v>60</v>
      </c>
      <c r="D199" s="631">
        <f t="shared" si="348"/>
        <v>0.2230396314054639</v>
      </c>
      <c r="E199" s="631">
        <f t="shared" si="349"/>
        <v>0.23535332957483757</v>
      </c>
      <c r="F199" s="631">
        <f t="shared" si="350"/>
        <v>0.24719478410839013</v>
      </c>
      <c r="G199" s="631">
        <f t="shared" si="351"/>
        <v>0.25860288887625971</v>
      </c>
      <c r="H199" s="789">
        <f t="shared" si="352"/>
        <v>0.26961177196095765</v>
      </c>
      <c r="I199" s="631">
        <f t="shared" si="353"/>
        <v>0.28025155508867439</v>
      </c>
      <c r="J199" s="631">
        <f t="shared" si="354"/>
        <v>0.29054896632678173</v>
      </c>
      <c r="K199" s="631">
        <f t="shared" si="355"/>
        <v>0.30052783898445146</v>
      </c>
      <c r="L199" s="631">
        <f t="shared" si="356"/>
        <v>0.3102095213276328</v>
      </c>
      <c r="M199" s="417"/>
      <c r="N199" s="417"/>
      <c r="O199" s="417"/>
      <c r="P199" s="417"/>
      <c r="Q199" s="417"/>
      <c r="AT199" s="804">
        <f t="shared" ref="AT199:BB199" si="406">IF(Z213&lt;$G$449,0,MIN($G$446,1+IFERROR(INT((Z213-$G$449)/$G$464),0)))</f>
        <v>0</v>
      </c>
      <c r="AU199" s="804">
        <f t="shared" si="406"/>
        <v>0</v>
      </c>
      <c r="AV199" s="804">
        <f t="shared" si="406"/>
        <v>0</v>
      </c>
      <c r="AW199" s="804">
        <f t="shared" si="406"/>
        <v>0</v>
      </c>
      <c r="AX199" s="804">
        <f t="shared" si="406"/>
        <v>0</v>
      </c>
      <c r="AY199" s="804">
        <f t="shared" si="406"/>
        <v>2</v>
      </c>
      <c r="AZ199" s="804">
        <f t="shared" si="406"/>
        <v>4</v>
      </c>
      <c r="BA199" s="804">
        <f t="shared" si="406"/>
        <v>5</v>
      </c>
      <c r="BB199" s="804">
        <f t="shared" si="406"/>
        <v>7</v>
      </c>
      <c r="BD199" s="428">
        <f t="shared" si="358"/>
        <v>-2350</v>
      </c>
      <c r="BE199" s="428">
        <f t="shared" si="359"/>
        <v>0</v>
      </c>
      <c r="BF199" s="428">
        <f t="shared" si="360"/>
        <v>0</v>
      </c>
      <c r="BG199" s="428">
        <f t="shared" si="361"/>
        <v>0</v>
      </c>
      <c r="BH199" s="428">
        <f t="shared" si="362"/>
        <v>0</v>
      </c>
      <c r="BI199" s="428">
        <f t="shared" si="363"/>
        <v>6430.8815888441059</v>
      </c>
      <c r="BJ199" s="428">
        <f t="shared" si="363"/>
        <v>-2350</v>
      </c>
      <c r="BK199" s="428">
        <f t="shared" si="364"/>
        <v>0</v>
      </c>
      <c r="BL199" s="428">
        <f t="shared" si="365"/>
        <v>0</v>
      </c>
      <c r="BM199" s="428">
        <f t="shared" si="366"/>
        <v>0</v>
      </c>
      <c r="BN199" s="428">
        <f t="shared" si="367"/>
        <v>0</v>
      </c>
      <c r="BO199" s="428">
        <f t="shared" si="368"/>
        <v>6761.2004663951257</v>
      </c>
      <c r="BP199" s="428">
        <f t="shared" si="368"/>
        <v>-2350</v>
      </c>
      <c r="BQ199" s="428">
        <f t="shared" si="369"/>
        <v>0</v>
      </c>
      <c r="BR199" s="428">
        <f t="shared" si="370"/>
        <v>0</v>
      </c>
      <c r="BS199" s="428">
        <f t="shared" si="371"/>
        <v>0</v>
      </c>
      <c r="BT199" s="428">
        <f t="shared" si="372"/>
        <v>0</v>
      </c>
      <c r="BU199" s="428">
        <f t="shared" si="373"/>
        <v>7091.5193439461464</v>
      </c>
      <c r="BV199" s="428">
        <f t="shared" si="373"/>
        <v>-2350</v>
      </c>
      <c r="BW199" s="428">
        <f t="shared" si="374"/>
        <v>0</v>
      </c>
      <c r="BX199" s="428">
        <f t="shared" si="375"/>
        <v>0</v>
      </c>
      <c r="BY199" s="428">
        <f t="shared" si="376"/>
        <v>0</v>
      </c>
      <c r="BZ199" s="428">
        <f t="shared" si="377"/>
        <v>0</v>
      </c>
      <c r="CA199" s="428">
        <f t="shared" si="378"/>
        <v>7421.8382214971662</v>
      </c>
      <c r="CB199" s="428">
        <f t="shared" si="378"/>
        <v>-2350</v>
      </c>
      <c r="CC199" s="428">
        <f t="shared" si="379"/>
        <v>0</v>
      </c>
      <c r="CD199" s="428">
        <f t="shared" si="380"/>
        <v>0</v>
      </c>
      <c r="CE199" s="428">
        <f t="shared" si="381"/>
        <v>0</v>
      </c>
      <c r="CF199" s="428">
        <f t="shared" si="382"/>
        <v>0</v>
      </c>
      <c r="CG199" s="428">
        <f t="shared" si="383"/>
        <v>7752.1570990481869</v>
      </c>
      <c r="CH199" s="428">
        <f t="shared" si="383"/>
        <v>-2350</v>
      </c>
      <c r="CI199" s="428">
        <f t="shared" si="384"/>
        <v>0</v>
      </c>
      <c r="CJ199" s="428">
        <f t="shared" si="385"/>
        <v>0</v>
      </c>
      <c r="CK199" s="428">
        <f t="shared" si="386"/>
        <v>0</v>
      </c>
      <c r="CL199" s="428">
        <f t="shared" si="387"/>
        <v>0</v>
      </c>
      <c r="CM199" s="428">
        <f t="shared" si="388"/>
        <v>8082.4759765992076</v>
      </c>
      <c r="CN199" s="428">
        <f t="shared" si="388"/>
        <v>-2350</v>
      </c>
      <c r="CO199" s="428">
        <f t="shared" si="389"/>
        <v>0</v>
      </c>
      <c r="CP199" s="428">
        <f t="shared" si="390"/>
        <v>0</v>
      </c>
      <c r="CQ199" s="428">
        <f t="shared" si="391"/>
        <v>0</v>
      </c>
      <c r="CR199" s="428">
        <f t="shared" si="392"/>
        <v>0</v>
      </c>
      <c r="CS199" s="428">
        <f t="shared" si="393"/>
        <v>8412.7948541502283</v>
      </c>
      <c r="CT199" s="428">
        <f t="shared" si="393"/>
        <v>-2350</v>
      </c>
      <c r="CU199" s="428">
        <f t="shared" si="394"/>
        <v>0</v>
      </c>
      <c r="CV199" s="428">
        <f t="shared" si="395"/>
        <v>0</v>
      </c>
      <c r="CW199" s="428">
        <f t="shared" si="396"/>
        <v>0</v>
      </c>
      <c r="CX199" s="428">
        <f t="shared" si="397"/>
        <v>0</v>
      </c>
      <c r="CY199" s="428">
        <f t="shared" si="398"/>
        <v>8743.113731701249</v>
      </c>
      <c r="CZ199" s="428">
        <f t="shared" si="398"/>
        <v>-2350</v>
      </c>
      <c r="DA199" s="428">
        <f t="shared" si="399"/>
        <v>0</v>
      </c>
      <c r="DB199" s="428">
        <f t="shared" si="400"/>
        <v>0</v>
      </c>
      <c r="DC199" s="428">
        <f t="shared" si="401"/>
        <v>0</v>
      </c>
      <c r="DD199" s="428">
        <f t="shared" si="402"/>
        <v>0</v>
      </c>
      <c r="DE199" s="428">
        <f t="shared" si="403"/>
        <v>9073.4326092522679</v>
      </c>
    </row>
    <row r="200" spans="1:109" ht="15" customHeight="1">
      <c r="A200" s="417"/>
      <c r="B200" s="828"/>
      <c r="C200" s="801">
        <f>C199-$G$458</f>
        <v>56</v>
      </c>
      <c r="D200" s="631">
        <f t="shared" si="348"/>
        <v>0.21486563650950896</v>
      </c>
      <c r="E200" s="631">
        <f t="shared" si="349"/>
        <v>0.22750559203169596</v>
      </c>
      <c r="F200" s="631">
        <f t="shared" si="350"/>
        <v>0.23964539301304866</v>
      </c>
      <c r="G200" s="631">
        <f t="shared" si="351"/>
        <v>0.25132747944324252</v>
      </c>
      <c r="H200" s="631">
        <f t="shared" si="352"/>
        <v>0.26258894056223836</v>
      </c>
      <c r="I200" s="631">
        <f t="shared" si="353"/>
        <v>0.27346239111857629</v>
      </c>
      <c r="J200" s="631">
        <f t="shared" si="354"/>
        <v>0.28397667382464387</v>
      </c>
      <c r="K200" s="631">
        <f t="shared" si="355"/>
        <v>0.29415742801734512</v>
      </c>
      <c r="L200" s="631">
        <f t="shared" si="356"/>
        <v>0.30402755415794669</v>
      </c>
      <c r="M200" s="417"/>
      <c r="N200" s="417"/>
      <c r="O200" s="417"/>
      <c r="P200" s="417"/>
      <c r="Q200" s="417"/>
      <c r="AT200" s="804">
        <f t="shared" ref="AT200:BB200" si="407">IF(Z214&lt;$G$449,0,MIN($G$446,1+IFERROR(INT((Z214-$G$449)/$G$464),0)))</f>
        <v>0</v>
      </c>
      <c r="AU200" s="804">
        <f t="shared" si="407"/>
        <v>0</v>
      </c>
      <c r="AV200" s="804">
        <f t="shared" si="407"/>
        <v>0</v>
      </c>
      <c r="AW200" s="804">
        <f t="shared" si="407"/>
        <v>0</v>
      </c>
      <c r="AX200" s="804">
        <f t="shared" si="407"/>
        <v>1</v>
      </c>
      <c r="AY200" s="804">
        <f t="shared" si="407"/>
        <v>3</v>
      </c>
      <c r="AZ200" s="804">
        <f t="shared" si="407"/>
        <v>5</v>
      </c>
      <c r="BA200" s="804">
        <f t="shared" si="407"/>
        <v>6</v>
      </c>
      <c r="BB200" s="804">
        <f t="shared" si="407"/>
        <v>8</v>
      </c>
      <c r="BD200" s="428">
        <f t="shared" si="358"/>
        <v>-2350</v>
      </c>
      <c r="BE200" s="428">
        <f t="shared" si="359"/>
        <v>0</v>
      </c>
      <c r="BF200" s="428">
        <f t="shared" si="360"/>
        <v>0</v>
      </c>
      <c r="BG200" s="428">
        <f t="shared" si="361"/>
        <v>0</v>
      </c>
      <c r="BH200" s="428">
        <f t="shared" si="362"/>
        <v>0</v>
      </c>
      <c r="BI200" s="428">
        <f t="shared" si="363"/>
        <v>6218.8359651297433</v>
      </c>
      <c r="BJ200" s="428">
        <f t="shared" si="363"/>
        <v>-2350</v>
      </c>
      <c r="BK200" s="428">
        <f t="shared" si="364"/>
        <v>0</v>
      </c>
      <c r="BL200" s="428">
        <f t="shared" si="365"/>
        <v>0</v>
      </c>
      <c r="BM200" s="428">
        <f t="shared" si="366"/>
        <v>0</v>
      </c>
      <c r="BN200" s="428">
        <f t="shared" si="367"/>
        <v>0</v>
      </c>
      <c r="BO200" s="428">
        <f t="shared" si="368"/>
        <v>6549.154842680764</v>
      </c>
      <c r="BP200" s="428">
        <f t="shared" si="368"/>
        <v>-2350</v>
      </c>
      <c r="BQ200" s="428">
        <f t="shared" si="369"/>
        <v>0</v>
      </c>
      <c r="BR200" s="428">
        <f t="shared" si="370"/>
        <v>0</v>
      </c>
      <c r="BS200" s="428">
        <f t="shared" si="371"/>
        <v>0</v>
      </c>
      <c r="BT200" s="428">
        <f t="shared" si="372"/>
        <v>0</v>
      </c>
      <c r="BU200" s="428">
        <f t="shared" si="373"/>
        <v>6879.4737202317847</v>
      </c>
      <c r="BV200" s="428">
        <f t="shared" si="373"/>
        <v>-2350</v>
      </c>
      <c r="BW200" s="428">
        <f t="shared" si="374"/>
        <v>0</v>
      </c>
      <c r="BX200" s="428">
        <f t="shared" si="375"/>
        <v>0</v>
      </c>
      <c r="BY200" s="428">
        <f t="shared" si="376"/>
        <v>0</v>
      </c>
      <c r="BZ200" s="428">
        <f t="shared" si="377"/>
        <v>0</v>
      </c>
      <c r="CA200" s="428">
        <f t="shared" si="378"/>
        <v>7209.7925977828054</v>
      </c>
      <c r="CB200" s="428">
        <f t="shared" si="378"/>
        <v>-2350</v>
      </c>
      <c r="CC200" s="428">
        <f t="shared" si="379"/>
        <v>0</v>
      </c>
      <c r="CD200" s="428">
        <f t="shared" si="380"/>
        <v>0</v>
      </c>
      <c r="CE200" s="428">
        <f t="shared" si="381"/>
        <v>0</v>
      </c>
      <c r="CF200" s="428">
        <f t="shared" si="382"/>
        <v>0</v>
      </c>
      <c r="CG200" s="428">
        <f t="shared" si="383"/>
        <v>7540.1114753338261</v>
      </c>
      <c r="CH200" s="428">
        <f t="shared" si="383"/>
        <v>-2350</v>
      </c>
      <c r="CI200" s="428">
        <f t="shared" si="384"/>
        <v>0</v>
      </c>
      <c r="CJ200" s="428">
        <f t="shared" si="385"/>
        <v>0</v>
      </c>
      <c r="CK200" s="428">
        <f t="shared" si="386"/>
        <v>0</v>
      </c>
      <c r="CL200" s="428">
        <f t="shared" si="387"/>
        <v>0</v>
      </c>
      <c r="CM200" s="428">
        <f t="shared" si="388"/>
        <v>7870.4303528848468</v>
      </c>
      <c r="CN200" s="428">
        <f t="shared" si="388"/>
        <v>-2350</v>
      </c>
      <c r="CO200" s="428">
        <f t="shared" si="389"/>
        <v>0</v>
      </c>
      <c r="CP200" s="428">
        <f t="shared" si="390"/>
        <v>0</v>
      </c>
      <c r="CQ200" s="428">
        <f t="shared" si="391"/>
        <v>0</v>
      </c>
      <c r="CR200" s="428">
        <f t="shared" si="392"/>
        <v>0</v>
      </c>
      <c r="CS200" s="428">
        <f t="shared" si="393"/>
        <v>8200.7492304358675</v>
      </c>
      <c r="CT200" s="428">
        <f t="shared" si="393"/>
        <v>-2350</v>
      </c>
      <c r="CU200" s="428">
        <f t="shared" si="394"/>
        <v>0</v>
      </c>
      <c r="CV200" s="428">
        <f t="shared" si="395"/>
        <v>0</v>
      </c>
      <c r="CW200" s="428">
        <f t="shared" si="396"/>
        <v>0</v>
      </c>
      <c r="CX200" s="428">
        <f t="shared" si="397"/>
        <v>0</v>
      </c>
      <c r="CY200" s="428">
        <f t="shared" si="398"/>
        <v>8531.0681079868864</v>
      </c>
      <c r="CZ200" s="428">
        <f t="shared" si="398"/>
        <v>-2350</v>
      </c>
      <c r="DA200" s="428">
        <f t="shared" si="399"/>
        <v>0</v>
      </c>
      <c r="DB200" s="428">
        <f t="shared" si="400"/>
        <v>0</v>
      </c>
      <c r="DC200" s="428">
        <f t="shared" si="401"/>
        <v>0</v>
      </c>
      <c r="DD200" s="428">
        <f t="shared" si="402"/>
        <v>0</v>
      </c>
      <c r="DE200" s="428">
        <f t="shared" si="403"/>
        <v>8861.3869855379071</v>
      </c>
    </row>
    <row r="201" spans="1:109" ht="15" customHeight="1">
      <c r="A201" s="417"/>
      <c r="B201" s="828"/>
      <c r="C201" s="801">
        <f>C200-$G$458</f>
        <v>52</v>
      </c>
      <c r="D201" s="631">
        <f t="shared" si="348"/>
        <v>0.20646554147911966</v>
      </c>
      <c r="E201" s="631">
        <f t="shared" si="349"/>
        <v>0.21945187552579659</v>
      </c>
      <c r="F201" s="631">
        <f t="shared" si="350"/>
        <v>0.23190748991476884</v>
      </c>
      <c r="G201" s="631">
        <f t="shared" si="351"/>
        <v>0.24387882454274812</v>
      </c>
      <c r="H201" s="631">
        <f t="shared" si="352"/>
        <v>0.25540628981337687</v>
      </c>
      <c r="I201" s="631">
        <f t="shared" si="353"/>
        <v>0.2665252821747901</v>
      </c>
      <c r="J201" s="631">
        <f t="shared" si="354"/>
        <v>0.27726699273262057</v>
      </c>
      <c r="K201" s="631">
        <f t="shared" si="355"/>
        <v>0.28765905781841505</v>
      </c>
      <c r="L201" s="631">
        <f t="shared" si="356"/>
        <v>0.29772608738391781</v>
      </c>
      <c r="M201" s="417"/>
      <c r="N201" s="417"/>
      <c r="O201" s="417"/>
      <c r="P201" s="417"/>
      <c r="Q201" s="417"/>
      <c r="AT201" s="804">
        <f t="shared" ref="AT201:BB201" si="408">IF(Z215&lt;$G$449,0,MIN($G$446,1+IFERROR(INT((Z215-$G$449)/$G$464),0)))</f>
        <v>0</v>
      </c>
      <c r="AU201" s="804">
        <f t="shared" si="408"/>
        <v>0</v>
      </c>
      <c r="AV201" s="804">
        <f t="shared" si="408"/>
        <v>0</v>
      </c>
      <c r="AW201" s="804">
        <f t="shared" si="408"/>
        <v>0</v>
      </c>
      <c r="AX201" s="804">
        <f t="shared" si="408"/>
        <v>2</v>
      </c>
      <c r="AY201" s="804">
        <f t="shared" si="408"/>
        <v>4</v>
      </c>
      <c r="AZ201" s="804">
        <f t="shared" si="408"/>
        <v>6</v>
      </c>
      <c r="BA201" s="804">
        <f t="shared" si="408"/>
        <v>8</v>
      </c>
      <c r="BB201" s="804">
        <f t="shared" si="408"/>
        <v>9</v>
      </c>
      <c r="BD201" s="428">
        <f t="shared" si="358"/>
        <v>-2350</v>
      </c>
      <c r="BE201" s="428">
        <f t="shared" si="359"/>
        <v>0</v>
      </c>
      <c r="BF201" s="428">
        <f t="shared" si="360"/>
        <v>0</v>
      </c>
      <c r="BG201" s="428">
        <f t="shared" si="361"/>
        <v>0</v>
      </c>
      <c r="BH201" s="428">
        <f t="shared" si="362"/>
        <v>0</v>
      </c>
      <c r="BI201" s="428">
        <f t="shared" si="363"/>
        <v>6006.7903414153816</v>
      </c>
      <c r="BJ201" s="428">
        <f t="shared" si="363"/>
        <v>-2350</v>
      </c>
      <c r="BK201" s="428">
        <f t="shared" si="364"/>
        <v>0</v>
      </c>
      <c r="BL201" s="428">
        <f t="shared" si="365"/>
        <v>0</v>
      </c>
      <c r="BM201" s="428">
        <f t="shared" si="366"/>
        <v>0</v>
      </c>
      <c r="BN201" s="428">
        <f t="shared" si="367"/>
        <v>0</v>
      </c>
      <c r="BO201" s="428">
        <f t="shared" si="368"/>
        <v>6337.1092189664014</v>
      </c>
      <c r="BP201" s="428">
        <f t="shared" si="368"/>
        <v>-2350</v>
      </c>
      <c r="BQ201" s="428">
        <f t="shared" si="369"/>
        <v>0</v>
      </c>
      <c r="BR201" s="428">
        <f t="shared" si="370"/>
        <v>0</v>
      </c>
      <c r="BS201" s="428">
        <f t="shared" si="371"/>
        <v>0</v>
      </c>
      <c r="BT201" s="428">
        <f t="shared" si="372"/>
        <v>0</v>
      </c>
      <c r="BU201" s="428">
        <f t="shared" si="373"/>
        <v>6667.4280965174221</v>
      </c>
      <c r="BV201" s="428">
        <f t="shared" si="373"/>
        <v>-2350</v>
      </c>
      <c r="BW201" s="428">
        <f t="shared" si="374"/>
        <v>0</v>
      </c>
      <c r="BX201" s="428">
        <f t="shared" si="375"/>
        <v>0</v>
      </c>
      <c r="BY201" s="428">
        <f t="shared" si="376"/>
        <v>0</v>
      </c>
      <c r="BZ201" s="428">
        <f t="shared" si="377"/>
        <v>0</v>
      </c>
      <c r="CA201" s="428">
        <f t="shared" si="378"/>
        <v>6997.7469740684428</v>
      </c>
      <c r="CB201" s="428">
        <f t="shared" si="378"/>
        <v>-2350</v>
      </c>
      <c r="CC201" s="428">
        <f t="shared" si="379"/>
        <v>0</v>
      </c>
      <c r="CD201" s="428">
        <f t="shared" si="380"/>
        <v>0</v>
      </c>
      <c r="CE201" s="428">
        <f t="shared" si="381"/>
        <v>0</v>
      </c>
      <c r="CF201" s="428">
        <f t="shared" si="382"/>
        <v>0</v>
      </c>
      <c r="CG201" s="428">
        <f t="shared" si="383"/>
        <v>7328.0658516194635</v>
      </c>
      <c r="CH201" s="428">
        <f t="shared" si="383"/>
        <v>-2350</v>
      </c>
      <c r="CI201" s="428">
        <f t="shared" si="384"/>
        <v>0</v>
      </c>
      <c r="CJ201" s="428">
        <f t="shared" si="385"/>
        <v>0</v>
      </c>
      <c r="CK201" s="428">
        <f t="shared" si="386"/>
        <v>0</v>
      </c>
      <c r="CL201" s="428">
        <f t="shared" si="387"/>
        <v>0</v>
      </c>
      <c r="CM201" s="428">
        <f t="shared" si="388"/>
        <v>7658.3847291704842</v>
      </c>
      <c r="CN201" s="428">
        <f t="shared" si="388"/>
        <v>-2350</v>
      </c>
      <c r="CO201" s="428">
        <f t="shared" si="389"/>
        <v>0</v>
      </c>
      <c r="CP201" s="428">
        <f t="shared" si="390"/>
        <v>0</v>
      </c>
      <c r="CQ201" s="428">
        <f t="shared" si="391"/>
        <v>0</v>
      </c>
      <c r="CR201" s="428">
        <f t="shared" si="392"/>
        <v>0</v>
      </c>
      <c r="CS201" s="428">
        <f t="shared" si="393"/>
        <v>7988.7036067215031</v>
      </c>
      <c r="CT201" s="428">
        <f t="shared" si="393"/>
        <v>-2350</v>
      </c>
      <c r="CU201" s="428">
        <f t="shared" si="394"/>
        <v>0</v>
      </c>
      <c r="CV201" s="428">
        <f t="shared" si="395"/>
        <v>0</v>
      </c>
      <c r="CW201" s="428">
        <f t="shared" si="396"/>
        <v>0</v>
      </c>
      <c r="CX201" s="428">
        <f t="shared" si="397"/>
        <v>0</v>
      </c>
      <c r="CY201" s="428">
        <f t="shared" si="398"/>
        <v>8319.0224842725238</v>
      </c>
      <c r="CZ201" s="428">
        <f t="shared" si="398"/>
        <v>-2350</v>
      </c>
      <c r="DA201" s="428">
        <f t="shared" si="399"/>
        <v>0</v>
      </c>
      <c r="DB201" s="428">
        <f t="shared" si="400"/>
        <v>0</v>
      </c>
      <c r="DC201" s="428">
        <f t="shared" si="401"/>
        <v>0</v>
      </c>
      <c r="DD201" s="428">
        <f t="shared" si="402"/>
        <v>0</v>
      </c>
      <c r="DE201" s="428">
        <f t="shared" si="403"/>
        <v>8649.3413618235445</v>
      </c>
    </row>
    <row r="202" spans="1:109" ht="15" customHeight="1">
      <c r="A202" s="417"/>
      <c r="B202" s="829"/>
      <c r="C202" s="802">
        <f>C201-$G$458</f>
        <v>48</v>
      </c>
      <c r="D202" s="790">
        <f t="shared" si="348"/>
        <v>0.19782476866602283</v>
      </c>
      <c r="E202" s="790">
        <f t="shared" si="349"/>
        <v>0.21117960177455397</v>
      </c>
      <c r="F202" s="790">
        <f t="shared" si="350"/>
        <v>0.22397014115681069</v>
      </c>
      <c r="G202" s="790">
        <f t="shared" si="351"/>
        <v>0.23624735635386118</v>
      </c>
      <c r="H202" s="790">
        <f t="shared" si="352"/>
        <v>0.24805539608112093</v>
      </c>
      <c r="I202" s="790">
        <f t="shared" si="353"/>
        <v>0.25943277073403492</v>
      </c>
      <c r="J202" s="790">
        <f t="shared" si="354"/>
        <v>0.27041328718886515</v>
      </c>
      <c r="K202" s="790">
        <f t="shared" si="355"/>
        <v>0.28102679598509117</v>
      </c>
      <c r="L202" s="790">
        <f t="shared" si="356"/>
        <v>0.2912997945709328</v>
      </c>
      <c r="M202" s="417"/>
      <c r="N202" s="417"/>
      <c r="O202" s="417"/>
      <c r="P202" s="417"/>
      <c r="Q202" s="417"/>
      <c r="AT202" s="804">
        <f t="shared" ref="AT202:BB202" si="409">IF(Z216&lt;$G$449,0,MIN($G$446,1+IFERROR(INT((Z216-$G$449)/$G$464),0)))</f>
        <v>0</v>
      </c>
      <c r="AU202" s="804">
        <f t="shared" si="409"/>
        <v>0</v>
      </c>
      <c r="AV202" s="804">
        <f t="shared" si="409"/>
        <v>0</v>
      </c>
      <c r="AW202" s="804">
        <f t="shared" si="409"/>
        <v>2</v>
      </c>
      <c r="AX202" s="804">
        <f t="shared" si="409"/>
        <v>3</v>
      </c>
      <c r="AY202" s="804">
        <f t="shared" si="409"/>
        <v>5</v>
      </c>
      <c r="AZ202" s="804">
        <f t="shared" si="409"/>
        <v>7</v>
      </c>
      <c r="BA202" s="804">
        <f t="shared" si="409"/>
        <v>9</v>
      </c>
      <c r="BB202" s="804">
        <f t="shared" si="409"/>
        <v>10</v>
      </c>
      <c r="BD202" s="428">
        <f t="shared" si="358"/>
        <v>-2350</v>
      </c>
      <c r="BE202" s="428">
        <f t="shared" si="359"/>
        <v>0</v>
      </c>
      <c r="BF202" s="428">
        <f t="shared" si="360"/>
        <v>0</v>
      </c>
      <c r="BG202" s="428">
        <f t="shared" si="361"/>
        <v>0</v>
      </c>
      <c r="BH202" s="428">
        <f t="shared" si="362"/>
        <v>0</v>
      </c>
      <c r="BI202" s="428">
        <f t="shared" si="363"/>
        <v>5794.7447177010181</v>
      </c>
      <c r="BJ202" s="428">
        <f t="shared" si="363"/>
        <v>-2350</v>
      </c>
      <c r="BK202" s="428">
        <f t="shared" si="364"/>
        <v>0</v>
      </c>
      <c r="BL202" s="428">
        <f t="shared" si="365"/>
        <v>0</v>
      </c>
      <c r="BM202" s="428">
        <f t="shared" si="366"/>
        <v>0</v>
      </c>
      <c r="BN202" s="428">
        <f t="shared" si="367"/>
        <v>0</v>
      </c>
      <c r="BO202" s="428">
        <f t="shared" si="368"/>
        <v>6125.0635952520388</v>
      </c>
      <c r="BP202" s="428">
        <f t="shared" si="368"/>
        <v>-2350</v>
      </c>
      <c r="BQ202" s="428">
        <f t="shared" si="369"/>
        <v>0</v>
      </c>
      <c r="BR202" s="428">
        <f t="shared" si="370"/>
        <v>0</v>
      </c>
      <c r="BS202" s="428">
        <f t="shared" si="371"/>
        <v>0</v>
      </c>
      <c r="BT202" s="428">
        <f t="shared" si="372"/>
        <v>0</v>
      </c>
      <c r="BU202" s="428">
        <f t="shared" si="373"/>
        <v>6455.3824728030595</v>
      </c>
      <c r="BV202" s="428">
        <f t="shared" si="373"/>
        <v>-2350</v>
      </c>
      <c r="BW202" s="428">
        <f t="shared" si="374"/>
        <v>0</v>
      </c>
      <c r="BX202" s="428">
        <f t="shared" si="375"/>
        <v>0</v>
      </c>
      <c r="BY202" s="428">
        <f t="shared" si="376"/>
        <v>0</v>
      </c>
      <c r="BZ202" s="428">
        <f t="shared" si="377"/>
        <v>0</v>
      </c>
      <c r="CA202" s="428">
        <f t="shared" si="378"/>
        <v>6785.7013503540802</v>
      </c>
      <c r="CB202" s="428">
        <f t="shared" si="378"/>
        <v>-2350</v>
      </c>
      <c r="CC202" s="428">
        <f t="shared" si="379"/>
        <v>0</v>
      </c>
      <c r="CD202" s="428">
        <f t="shared" si="380"/>
        <v>0</v>
      </c>
      <c r="CE202" s="428">
        <f t="shared" si="381"/>
        <v>0</v>
      </c>
      <c r="CF202" s="428">
        <f t="shared" si="382"/>
        <v>0</v>
      </c>
      <c r="CG202" s="428">
        <f t="shared" si="383"/>
        <v>7116.0202279051</v>
      </c>
      <c r="CH202" s="428">
        <f t="shared" si="383"/>
        <v>-2350</v>
      </c>
      <c r="CI202" s="428">
        <f t="shared" si="384"/>
        <v>0</v>
      </c>
      <c r="CJ202" s="428">
        <f t="shared" si="385"/>
        <v>0</v>
      </c>
      <c r="CK202" s="428">
        <f t="shared" si="386"/>
        <v>0</v>
      </c>
      <c r="CL202" s="428">
        <f t="shared" si="387"/>
        <v>0</v>
      </c>
      <c r="CM202" s="428">
        <f t="shared" si="388"/>
        <v>7446.3391054561207</v>
      </c>
      <c r="CN202" s="428">
        <f t="shared" si="388"/>
        <v>-2350</v>
      </c>
      <c r="CO202" s="428">
        <f t="shared" si="389"/>
        <v>0</v>
      </c>
      <c r="CP202" s="428">
        <f t="shared" si="390"/>
        <v>0</v>
      </c>
      <c r="CQ202" s="428">
        <f t="shared" si="391"/>
        <v>0</v>
      </c>
      <c r="CR202" s="428">
        <f t="shared" si="392"/>
        <v>0</v>
      </c>
      <c r="CS202" s="428">
        <f t="shared" si="393"/>
        <v>7776.6579830071405</v>
      </c>
      <c r="CT202" s="428">
        <f t="shared" si="393"/>
        <v>-2350</v>
      </c>
      <c r="CU202" s="428">
        <f t="shared" si="394"/>
        <v>0</v>
      </c>
      <c r="CV202" s="428">
        <f t="shared" si="395"/>
        <v>0</v>
      </c>
      <c r="CW202" s="428">
        <f t="shared" si="396"/>
        <v>0</v>
      </c>
      <c r="CX202" s="428">
        <f t="shared" si="397"/>
        <v>0</v>
      </c>
      <c r="CY202" s="428">
        <f t="shared" si="398"/>
        <v>8106.9768605581612</v>
      </c>
      <c r="CZ202" s="428">
        <f t="shared" si="398"/>
        <v>-2350</v>
      </c>
      <c r="DA202" s="428">
        <f t="shared" si="399"/>
        <v>0</v>
      </c>
      <c r="DB202" s="428">
        <f t="shared" si="400"/>
        <v>0</v>
      </c>
      <c r="DC202" s="428">
        <f t="shared" si="401"/>
        <v>0</v>
      </c>
      <c r="DD202" s="428">
        <f t="shared" si="402"/>
        <v>0</v>
      </c>
      <c r="DE202" s="428">
        <f t="shared" si="403"/>
        <v>8437.2957381091819</v>
      </c>
    </row>
    <row r="203" spans="1:109" ht="15" hidden="1" customHeight="1" outlineLevel="1">
      <c r="A203" s="417"/>
      <c r="B203" s="423" t="str">
        <f>"IRR: Yr 0 = cash at close less Keystone today; earnout Yr "&amp;$G$444&amp;"; Yr 5 = stake value; rollover fixed at "&amp;TEXT($G$436,"0%")</f>
        <v>IRR: Yr 0 = cash at close less Keystone today; earnout Yr 3; Yr 5 = stake value; rollover fixed at 30%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109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109" ht="15" customHeight="1">
      <c r="A205" s="417"/>
      <c r="B205" s="794" t="str">
        <f>"Ben's Return Profile Based on Partnering — Topkey Growth × Net Client Wins ("&amp;TEXT($G$436,"0%")&amp;" Rollover) — Less Standalone"</f>
        <v>Ben's Return Profile Based on Partnering — Topkey Growth × Net Client Wins (30% Rollover) — Less Standalone</v>
      </c>
      <c r="C205" s="794"/>
      <c r="D205" s="794"/>
      <c r="E205" s="794"/>
      <c r="F205" s="794"/>
      <c r="G205" s="794"/>
      <c r="H205" s="794"/>
      <c r="I205" s="794"/>
      <c r="J205" s="794"/>
      <c r="K205" s="794"/>
      <c r="L205" s="794"/>
      <c r="M205" s="417"/>
      <c r="N205" s="417"/>
      <c r="O205" s="417"/>
      <c r="P205" s="417"/>
      <c r="Q205" s="417"/>
    </row>
    <row r="206" spans="1:109" ht="15" customHeight="1">
      <c r="A206" s="417"/>
      <c r="B206" s="148" t="s">
        <v>2600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109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109" ht="12.75" customHeight="1">
      <c r="A208" s="417"/>
      <c r="B208" s="454"/>
      <c r="C208" s="454"/>
      <c r="D208" s="767" t="s">
        <v>2525</v>
      </c>
      <c r="E208" s="767"/>
      <c r="F208" s="767"/>
      <c r="G208" s="767"/>
      <c r="H208" s="767"/>
      <c r="I208" s="767"/>
      <c r="J208" s="767"/>
      <c r="K208" s="767"/>
      <c r="L208" s="767"/>
      <c r="M208" s="417"/>
      <c r="N208" s="417"/>
      <c r="O208" s="417"/>
      <c r="P208" s="417"/>
      <c r="Q208" s="417"/>
      <c r="Z208" s="786" t="s">
        <v>2596</v>
      </c>
      <c r="AA208" s="746"/>
      <c r="AB208" s="746"/>
      <c r="AC208" s="746"/>
      <c r="AD208" s="746"/>
      <c r="AE208" s="746"/>
      <c r="AF208" s="746"/>
      <c r="AG208" s="746"/>
      <c r="AH208" s="746"/>
    </row>
    <row r="209" spans="1:54" ht="12.75" customHeight="1">
      <c r="A209" s="417"/>
      <c r="B209" s="454"/>
      <c r="C209" s="454"/>
      <c r="D209" s="768">
        <f>E209-$G$441</f>
        <v>1.3171225937183451E-2</v>
      </c>
      <c r="E209" s="768">
        <f>F209-$G$441</f>
        <v>0.26317122593718345</v>
      </c>
      <c r="F209" s="768">
        <f>G209-$G$441</f>
        <v>0.51317122593718345</v>
      </c>
      <c r="G209" s="768">
        <f>H209-$G$441</f>
        <v>0.76317122593718345</v>
      </c>
      <c r="H209" s="768">
        <f>$G$440</f>
        <v>1.0131712259371835</v>
      </c>
      <c r="I209" s="768">
        <f>H209+$G$441</f>
        <v>1.2631712259371835</v>
      </c>
      <c r="J209" s="768">
        <f>I209+$G$441</f>
        <v>1.5131712259371835</v>
      </c>
      <c r="K209" s="768">
        <f>J209+$G$441</f>
        <v>1.7631712259371835</v>
      </c>
      <c r="L209" s="768">
        <f>K209+$G$441</f>
        <v>2.0131712259371835</v>
      </c>
      <c r="M209" s="417"/>
      <c r="N209" s="417"/>
      <c r="O209" s="417"/>
      <c r="P209" s="417"/>
      <c r="Q209" s="417"/>
      <c r="Z209" s="798">
        <f>D$209</f>
        <v>1.3171225937183451E-2</v>
      </c>
      <c r="AA209" s="798">
        <f t="shared" ref="AA209:AH209" si="410">E$209</f>
        <v>0.26317122593718345</v>
      </c>
      <c r="AB209" s="798">
        <f t="shared" si="410"/>
        <v>0.51317122593718345</v>
      </c>
      <c r="AC209" s="798">
        <f t="shared" si="410"/>
        <v>0.76317122593718345</v>
      </c>
      <c r="AD209" s="798">
        <f t="shared" si="410"/>
        <v>1.0131712259371835</v>
      </c>
      <c r="AE209" s="798">
        <f t="shared" si="410"/>
        <v>1.2631712259371835</v>
      </c>
      <c r="AF209" s="798">
        <f t="shared" si="410"/>
        <v>1.5131712259371835</v>
      </c>
      <c r="AG209" s="798">
        <f t="shared" si="410"/>
        <v>1.7631712259371835</v>
      </c>
      <c r="AH209" s="798">
        <f t="shared" si="410"/>
        <v>2.0131712259371835</v>
      </c>
      <c r="AT209" s="772" t="s">
        <v>2614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27" t="s">
        <v>2591</v>
      </c>
      <c r="C210" s="801">
        <f>C211+$G$458</f>
        <v>72</v>
      </c>
      <c r="D210" s="620">
        <f>ROUND(Z210,$G$452)</f>
        <v>-1000</v>
      </c>
      <c r="E210" s="620">
        <f t="shared" ref="E210:E216" si="411">ROUND(AA210,$G$452)</f>
        <v>-700</v>
      </c>
      <c r="F210" s="620">
        <f t="shared" ref="F210:F216" si="412">ROUND(AB210,$G$452)</f>
        <v>-400</v>
      </c>
      <c r="G210" s="620">
        <f t="shared" ref="G210:G216" si="413">ROUND(AC210,$G$452)</f>
        <v>0</v>
      </c>
      <c r="H210" s="620">
        <f t="shared" ref="H210:H216" si="414">ROUND(AD210,$G$452)</f>
        <v>300</v>
      </c>
      <c r="I210" s="620">
        <f t="shared" ref="I210:I216" si="415">ROUND(AE210,$G$452)</f>
        <v>600</v>
      </c>
      <c r="J210" s="620">
        <f t="shared" ref="J210:J216" si="416">ROUND(AF210,$G$452)</f>
        <v>1000</v>
      </c>
      <c r="K210" s="620">
        <f t="shared" ref="K210:K216" si="417">ROUND(AG210,$G$452)</f>
        <v>1300</v>
      </c>
      <c r="L210" s="620">
        <f t="shared" ref="L210:L216" si="418">ROUND(AH210,$G$452)</f>
        <v>1600</v>
      </c>
      <c r="M210" s="417"/>
      <c r="N210" s="417"/>
      <c r="O210" s="417"/>
      <c r="P210" s="417"/>
      <c r="Q210" s="417"/>
      <c r="Z210" s="367">
        <f>Z170+$G$430-$AL170</f>
        <v>-1020.5997133178898</v>
      </c>
      <c r="AA210" s="367">
        <f t="shared" ref="AA210:AH210" si="419">AA170+$G$430-$AL170</f>
        <v>-690.28083576687004</v>
      </c>
      <c r="AB210" s="367">
        <f t="shared" si="419"/>
        <v>-359.96195821584843</v>
      </c>
      <c r="AC210" s="367">
        <f t="shared" si="419"/>
        <v>-29.64308066482954</v>
      </c>
      <c r="AD210" s="367">
        <f t="shared" si="419"/>
        <v>300.67579688619116</v>
      </c>
      <c r="AE210" s="367">
        <f t="shared" si="419"/>
        <v>630.99467443721187</v>
      </c>
      <c r="AF210" s="367">
        <f t="shared" si="419"/>
        <v>961.31355198823258</v>
      </c>
      <c r="AG210" s="367">
        <f t="shared" si="419"/>
        <v>1291.6324295392533</v>
      </c>
      <c r="AH210" s="367">
        <f t="shared" si="419"/>
        <v>1621.9513070902722</v>
      </c>
      <c r="AT210" s="804">
        <f>IF(Z210&lt;$G$449,0,MIN($G$446,1+IFERROR(INT((Z210-$G$449)/$G$464),0)))</f>
        <v>0</v>
      </c>
      <c r="AU210" s="804">
        <f t="shared" ref="AU210:AU216" si="420">IF(AA210&lt;$G$449,0,MIN($G$446,1+IFERROR(INT((AA210-$G$449)/$G$464),0)))</f>
        <v>0</v>
      </c>
      <c r="AV210" s="804">
        <f t="shared" ref="AV210:AV216" si="421">IF(AB210&lt;$G$449,0,MIN($G$446,1+IFERROR(INT((AB210-$G$449)/$G$464),0)))</f>
        <v>0</v>
      </c>
      <c r="AW210" s="804">
        <f t="shared" ref="AW210:AW216" si="422">IF(AC210&lt;$G$449,0,MIN($G$446,1+IFERROR(INT((AC210-$G$449)/$G$464),0)))</f>
        <v>0</v>
      </c>
      <c r="AX210" s="804">
        <f t="shared" ref="AX210:AX216" si="423">IF(AD210&lt;$G$449,0,MIN($G$446,1+IFERROR(INT((AD210-$G$449)/$G$464),0)))</f>
        <v>0</v>
      </c>
      <c r="AY210" s="804">
        <f t="shared" ref="AY210:AY216" si="424">IF(AE210&lt;$G$449,0,MIN($G$446,1+IFERROR(INT((AE210-$G$449)/$G$464),0)))</f>
        <v>0</v>
      </c>
      <c r="AZ210" s="804">
        <f t="shared" ref="AZ210:AZ216" si="425">IF(AF210&lt;$G$449,0,MIN($G$446,1+IFERROR(INT((AF210-$G$449)/$G$464),0)))</f>
        <v>0</v>
      </c>
      <c r="BA210" s="804">
        <f t="shared" ref="BA210:BA216" si="426">IF(AG210&lt;$G$449,0,MIN($G$446,1+IFERROR(INT((AG210-$G$449)/$G$464),0)))</f>
        <v>2</v>
      </c>
      <c r="BB210" s="804">
        <f t="shared" ref="BB210:BB216" si="427">IF(AH210&lt;$G$449,0,MIN($G$446,1+IFERROR(INT((AH210-$G$449)/$G$464),0)))</f>
        <v>4</v>
      </c>
    </row>
    <row r="211" spans="1:54" ht="15" customHeight="1">
      <c r="A211" s="417"/>
      <c r="B211" s="828"/>
      <c r="C211" s="801">
        <f>C212+$G$458</f>
        <v>68</v>
      </c>
      <c r="D211" s="470">
        <f t="shared" ref="D211:D216" si="428">ROUND(Z211,$G$452)</f>
        <v>-800</v>
      </c>
      <c r="E211" s="470">
        <f t="shared" si="411"/>
        <v>-500</v>
      </c>
      <c r="F211" s="470">
        <f t="shared" si="412"/>
        <v>-200</v>
      </c>
      <c r="G211" s="470">
        <f t="shared" si="413"/>
        <v>200</v>
      </c>
      <c r="H211" s="470">
        <f t="shared" si="414"/>
        <v>500</v>
      </c>
      <c r="I211" s="470">
        <f t="shared" si="415"/>
        <v>800</v>
      </c>
      <c r="J211" s="470">
        <f t="shared" si="416"/>
        <v>1200</v>
      </c>
      <c r="K211" s="470">
        <f t="shared" si="417"/>
        <v>1500</v>
      </c>
      <c r="L211" s="470">
        <f t="shared" si="418"/>
        <v>1800</v>
      </c>
      <c r="M211" s="417"/>
      <c r="N211" s="417"/>
      <c r="O211" s="417"/>
      <c r="P211" s="417"/>
      <c r="Q211" s="417"/>
      <c r="Z211" s="367">
        <f t="shared" ref="Z211:AH211" si="429">Z171+$G$430-$AL171</f>
        <v>-816.85851217349409</v>
      </c>
      <c r="AA211" s="367">
        <f t="shared" si="429"/>
        <v>-486.5396346224743</v>
      </c>
      <c r="AB211" s="367">
        <f t="shared" si="429"/>
        <v>-156.22075707145359</v>
      </c>
      <c r="AC211" s="367">
        <f t="shared" si="429"/>
        <v>174.09812047956621</v>
      </c>
      <c r="AD211" s="367">
        <f t="shared" si="429"/>
        <v>504.41699803058691</v>
      </c>
      <c r="AE211" s="367">
        <f t="shared" si="429"/>
        <v>834.73587558160762</v>
      </c>
      <c r="AF211" s="367">
        <f t="shared" si="429"/>
        <v>1165.0547531326283</v>
      </c>
      <c r="AG211" s="367">
        <f t="shared" si="429"/>
        <v>1495.373630683649</v>
      </c>
      <c r="AH211" s="367">
        <f t="shared" si="429"/>
        <v>1825.6925082346679</v>
      </c>
      <c r="AT211" s="804">
        <f t="shared" ref="AT211:AT216" si="430">IF(Z211&lt;$G$449,0,MIN($G$446,1+IFERROR(INT((Z211-$G$449)/$G$464),0)))</f>
        <v>0</v>
      </c>
      <c r="AU211" s="804">
        <f t="shared" si="420"/>
        <v>0</v>
      </c>
      <c r="AV211" s="804">
        <f t="shared" si="421"/>
        <v>0</v>
      </c>
      <c r="AW211" s="804">
        <f t="shared" si="422"/>
        <v>0</v>
      </c>
      <c r="AX211" s="804">
        <f t="shared" si="423"/>
        <v>0</v>
      </c>
      <c r="AY211" s="804">
        <f t="shared" si="424"/>
        <v>0</v>
      </c>
      <c r="AZ211" s="804">
        <f t="shared" si="425"/>
        <v>1</v>
      </c>
      <c r="BA211" s="804">
        <f t="shared" si="426"/>
        <v>3</v>
      </c>
      <c r="BB211" s="804">
        <f t="shared" si="427"/>
        <v>5</v>
      </c>
    </row>
    <row r="212" spans="1:54" ht="15" customHeight="1">
      <c r="A212" s="417"/>
      <c r="B212" s="828"/>
      <c r="C212" s="801">
        <f>C213+$G$458</f>
        <v>64</v>
      </c>
      <c r="D212" s="470">
        <f t="shared" si="428"/>
        <v>-600</v>
      </c>
      <c r="E212" s="470">
        <f t="shared" si="411"/>
        <v>-300</v>
      </c>
      <c r="F212" s="470">
        <f t="shared" si="412"/>
        <v>0</v>
      </c>
      <c r="G212" s="470">
        <f t="shared" si="413"/>
        <v>400</v>
      </c>
      <c r="H212" s="470">
        <f t="shared" si="414"/>
        <v>700</v>
      </c>
      <c r="I212" s="470">
        <f t="shared" si="415"/>
        <v>1000</v>
      </c>
      <c r="J212" s="470">
        <f t="shared" si="416"/>
        <v>1400</v>
      </c>
      <c r="K212" s="470">
        <f t="shared" si="417"/>
        <v>1700</v>
      </c>
      <c r="L212" s="470">
        <f t="shared" si="418"/>
        <v>2000</v>
      </c>
      <c r="M212" s="417"/>
      <c r="N212" s="417"/>
      <c r="O212" s="417"/>
      <c r="P212" s="417"/>
      <c r="Q212" s="417"/>
      <c r="Z212" s="367">
        <f t="shared" ref="Z212:AH212" si="431">Z172+$G$430-$AL172</f>
        <v>-613.11731102909926</v>
      </c>
      <c r="AA212" s="367">
        <f t="shared" si="431"/>
        <v>-282.79843347807946</v>
      </c>
      <c r="AB212" s="367">
        <f t="shared" si="431"/>
        <v>47.520444072941245</v>
      </c>
      <c r="AC212" s="367">
        <f t="shared" si="431"/>
        <v>377.83932162396195</v>
      </c>
      <c r="AD212" s="367">
        <f t="shared" si="431"/>
        <v>708.15819917498266</v>
      </c>
      <c r="AE212" s="367">
        <f t="shared" si="431"/>
        <v>1038.4770767260034</v>
      </c>
      <c r="AF212" s="367">
        <f t="shared" si="431"/>
        <v>1368.7959542770222</v>
      </c>
      <c r="AG212" s="367">
        <f t="shared" si="431"/>
        <v>1699.114831828043</v>
      </c>
      <c r="AH212" s="367">
        <f t="shared" si="431"/>
        <v>2029.4337093790637</v>
      </c>
      <c r="AT212" s="804">
        <f t="shared" si="430"/>
        <v>0</v>
      </c>
      <c r="AU212" s="804">
        <f t="shared" si="420"/>
        <v>0</v>
      </c>
      <c r="AV212" s="804">
        <f t="shared" si="421"/>
        <v>0</v>
      </c>
      <c r="AW212" s="804">
        <f t="shared" si="422"/>
        <v>0</v>
      </c>
      <c r="AX212" s="804">
        <f t="shared" si="423"/>
        <v>0</v>
      </c>
      <c r="AY212" s="804">
        <f t="shared" si="424"/>
        <v>1</v>
      </c>
      <c r="AZ212" s="804">
        <f t="shared" si="425"/>
        <v>2</v>
      </c>
      <c r="BA212" s="804">
        <f t="shared" si="426"/>
        <v>4</v>
      </c>
      <c r="BB212" s="804">
        <f t="shared" si="427"/>
        <v>6</v>
      </c>
    </row>
    <row r="213" spans="1:54" ht="15" customHeight="1">
      <c r="A213" s="417"/>
      <c r="B213" s="828"/>
      <c r="C213" s="801">
        <f>$G$457</f>
        <v>60</v>
      </c>
      <c r="D213" s="470">
        <f t="shared" si="428"/>
        <v>-400</v>
      </c>
      <c r="E213" s="470">
        <f t="shared" si="411"/>
        <v>-100</v>
      </c>
      <c r="F213" s="470">
        <f t="shared" si="412"/>
        <v>300</v>
      </c>
      <c r="G213" s="470">
        <f t="shared" si="413"/>
        <v>600</v>
      </c>
      <c r="H213" s="781">
        <f t="shared" si="414"/>
        <v>900</v>
      </c>
      <c r="I213" s="470">
        <f t="shared" si="415"/>
        <v>1200</v>
      </c>
      <c r="J213" s="470">
        <f t="shared" si="416"/>
        <v>1600</v>
      </c>
      <c r="K213" s="470">
        <f t="shared" si="417"/>
        <v>1900</v>
      </c>
      <c r="L213" s="470">
        <f t="shared" si="418"/>
        <v>2200</v>
      </c>
      <c r="M213" s="417"/>
      <c r="N213" s="417"/>
      <c r="O213" s="417"/>
      <c r="P213" s="417"/>
      <c r="Q213" s="417"/>
      <c r="Z213" s="367">
        <f t="shared" ref="Z213:AH213" si="432">Z173+$G$430-$AL173</f>
        <v>-409.37610988470624</v>
      </c>
      <c r="AA213" s="367">
        <f t="shared" si="432"/>
        <v>-79.057232333686443</v>
      </c>
      <c r="AB213" s="367">
        <f t="shared" si="432"/>
        <v>251.26164521733426</v>
      </c>
      <c r="AC213" s="367">
        <f t="shared" si="432"/>
        <v>581.58052276835406</v>
      </c>
      <c r="AD213" s="367">
        <f t="shared" si="432"/>
        <v>911.89940031937476</v>
      </c>
      <c r="AE213" s="367">
        <f t="shared" si="432"/>
        <v>1242.2182778703955</v>
      </c>
      <c r="AF213" s="367">
        <f t="shared" si="432"/>
        <v>1572.5371554214162</v>
      </c>
      <c r="AG213" s="367">
        <f t="shared" si="432"/>
        <v>1902.8560329724369</v>
      </c>
      <c r="AH213" s="367">
        <f t="shared" si="432"/>
        <v>2233.1749105234558</v>
      </c>
      <c r="AT213" s="804">
        <f t="shared" si="430"/>
        <v>0</v>
      </c>
      <c r="AU213" s="804">
        <f t="shared" si="420"/>
        <v>0</v>
      </c>
      <c r="AV213" s="804">
        <f t="shared" si="421"/>
        <v>0</v>
      </c>
      <c r="AW213" s="804">
        <f t="shared" si="422"/>
        <v>0</v>
      </c>
      <c r="AX213" s="804">
        <f t="shared" si="423"/>
        <v>0</v>
      </c>
      <c r="AY213" s="804">
        <f t="shared" si="424"/>
        <v>2</v>
      </c>
      <c r="AZ213" s="804">
        <f t="shared" si="425"/>
        <v>4</v>
      </c>
      <c r="BA213" s="804">
        <f t="shared" si="426"/>
        <v>5</v>
      </c>
      <c r="BB213" s="804">
        <f t="shared" si="427"/>
        <v>7</v>
      </c>
    </row>
    <row r="214" spans="1:54" ht="15" customHeight="1">
      <c r="A214" s="417"/>
      <c r="B214" s="828"/>
      <c r="C214" s="801">
        <f>C213-$G$458</f>
        <v>56</v>
      </c>
      <c r="D214" s="470">
        <f t="shared" si="428"/>
        <v>-200</v>
      </c>
      <c r="E214" s="470">
        <f t="shared" si="411"/>
        <v>100</v>
      </c>
      <c r="F214" s="470">
        <f t="shared" si="412"/>
        <v>500</v>
      </c>
      <c r="G214" s="470">
        <f t="shared" si="413"/>
        <v>800</v>
      </c>
      <c r="H214" s="470">
        <f t="shared" si="414"/>
        <v>1100</v>
      </c>
      <c r="I214" s="470">
        <f t="shared" si="415"/>
        <v>1400</v>
      </c>
      <c r="J214" s="470">
        <f t="shared" si="416"/>
        <v>1800</v>
      </c>
      <c r="K214" s="470">
        <f t="shared" si="417"/>
        <v>2100</v>
      </c>
      <c r="L214" s="470">
        <f t="shared" si="418"/>
        <v>2400</v>
      </c>
      <c r="M214" s="417"/>
      <c r="N214" s="417"/>
      <c r="O214" s="417"/>
      <c r="P214" s="417"/>
      <c r="Q214" s="417"/>
      <c r="Z214" s="367">
        <f t="shared" ref="Z214:AH214" si="433">Z174+$G$430-$AL174</f>
        <v>-205.6349087403114</v>
      </c>
      <c r="AA214" s="367">
        <f t="shared" si="433"/>
        <v>124.6839688107093</v>
      </c>
      <c r="AB214" s="367">
        <f t="shared" si="433"/>
        <v>455.00284636173001</v>
      </c>
      <c r="AC214" s="367">
        <f t="shared" si="433"/>
        <v>785.32172391275071</v>
      </c>
      <c r="AD214" s="367">
        <f t="shared" si="433"/>
        <v>1115.6406014637714</v>
      </c>
      <c r="AE214" s="367">
        <f t="shared" si="433"/>
        <v>1445.9594790147921</v>
      </c>
      <c r="AF214" s="367">
        <f t="shared" si="433"/>
        <v>1776.2783565658128</v>
      </c>
      <c r="AG214" s="367">
        <f t="shared" si="433"/>
        <v>2106.5972341168317</v>
      </c>
      <c r="AH214" s="367">
        <f t="shared" si="433"/>
        <v>2436.9161116678524</v>
      </c>
      <c r="AT214" s="804">
        <f t="shared" si="430"/>
        <v>0</v>
      </c>
      <c r="AU214" s="804">
        <f t="shared" si="420"/>
        <v>0</v>
      </c>
      <c r="AV214" s="804">
        <f t="shared" si="421"/>
        <v>0</v>
      </c>
      <c r="AW214" s="804">
        <f t="shared" si="422"/>
        <v>0</v>
      </c>
      <c r="AX214" s="804">
        <f t="shared" si="423"/>
        <v>1</v>
      </c>
      <c r="AY214" s="804">
        <f t="shared" si="424"/>
        <v>3</v>
      </c>
      <c r="AZ214" s="804">
        <f t="shared" si="425"/>
        <v>5</v>
      </c>
      <c r="BA214" s="804">
        <f t="shared" si="426"/>
        <v>6</v>
      </c>
      <c r="BB214" s="804">
        <f t="shared" si="427"/>
        <v>8</v>
      </c>
    </row>
    <row r="215" spans="1:54" ht="15" customHeight="1">
      <c r="A215" s="417"/>
      <c r="B215" s="828"/>
      <c r="C215" s="801">
        <f>C214-$G$458</f>
        <v>52</v>
      </c>
      <c r="D215" s="470">
        <f t="shared" si="428"/>
        <v>0</v>
      </c>
      <c r="E215" s="470">
        <f t="shared" si="411"/>
        <v>300</v>
      </c>
      <c r="F215" s="470">
        <f t="shared" si="412"/>
        <v>700</v>
      </c>
      <c r="G215" s="470">
        <f t="shared" si="413"/>
        <v>1000</v>
      </c>
      <c r="H215" s="470">
        <f t="shared" si="414"/>
        <v>1300</v>
      </c>
      <c r="I215" s="470">
        <f t="shared" si="415"/>
        <v>1600</v>
      </c>
      <c r="J215" s="470">
        <f t="shared" si="416"/>
        <v>2000</v>
      </c>
      <c r="K215" s="470">
        <f t="shared" si="417"/>
        <v>2300</v>
      </c>
      <c r="L215" s="470">
        <f t="shared" si="418"/>
        <v>2600</v>
      </c>
      <c r="M215" s="417"/>
      <c r="N215" s="417"/>
      <c r="O215" s="417"/>
      <c r="P215" s="417"/>
      <c r="Q215" s="417"/>
      <c r="Z215" s="367">
        <f t="shared" ref="Z215:AH215" si="434">Z175+$G$430-$AL175</f>
        <v>-1.8937075959174763</v>
      </c>
      <c r="AA215" s="367">
        <f t="shared" si="434"/>
        <v>328.42516995510232</v>
      </c>
      <c r="AB215" s="367">
        <f t="shared" si="434"/>
        <v>658.74404750612302</v>
      </c>
      <c r="AC215" s="367">
        <f t="shared" si="434"/>
        <v>989.06292505714373</v>
      </c>
      <c r="AD215" s="367">
        <f t="shared" si="434"/>
        <v>1319.3818026081644</v>
      </c>
      <c r="AE215" s="367">
        <f t="shared" si="434"/>
        <v>1649.7006801591851</v>
      </c>
      <c r="AF215" s="367">
        <f t="shared" si="434"/>
        <v>1980.019557710204</v>
      </c>
      <c r="AG215" s="367">
        <f t="shared" si="434"/>
        <v>2310.3384352612247</v>
      </c>
      <c r="AH215" s="367">
        <f t="shared" si="434"/>
        <v>2640.6573128122454</v>
      </c>
      <c r="AT215" s="804">
        <f t="shared" si="430"/>
        <v>0</v>
      </c>
      <c r="AU215" s="804">
        <f t="shared" si="420"/>
        <v>0</v>
      </c>
      <c r="AV215" s="804">
        <f t="shared" si="421"/>
        <v>0</v>
      </c>
      <c r="AW215" s="804">
        <f t="shared" si="422"/>
        <v>0</v>
      </c>
      <c r="AX215" s="804">
        <f t="shared" si="423"/>
        <v>2</v>
      </c>
      <c r="AY215" s="804">
        <f t="shared" si="424"/>
        <v>4</v>
      </c>
      <c r="AZ215" s="804">
        <f t="shared" si="425"/>
        <v>6</v>
      </c>
      <c r="BA215" s="804">
        <f t="shared" si="426"/>
        <v>8</v>
      </c>
      <c r="BB215" s="804">
        <f t="shared" si="427"/>
        <v>9</v>
      </c>
    </row>
    <row r="216" spans="1:54" ht="15" customHeight="1">
      <c r="A216" s="417"/>
      <c r="B216" s="829"/>
      <c r="C216" s="802">
        <f>C215-$G$458</f>
        <v>48</v>
      </c>
      <c r="D216" s="771">
        <f t="shared" si="428"/>
        <v>200</v>
      </c>
      <c r="E216" s="771">
        <f t="shared" si="411"/>
        <v>500</v>
      </c>
      <c r="F216" s="771">
        <f t="shared" si="412"/>
        <v>900</v>
      </c>
      <c r="G216" s="771">
        <f t="shared" si="413"/>
        <v>1200</v>
      </c>
      <c r="H216" s="771">
        <f t="shared" si="414"/>
        <v>1500</v>
      </c>
      <c r="I216" s="771">
        <f t="shared" si="415"/>
        <v>1900</v>
      </c>
      <c r="J216" s="771">
        <f t="shared" si="416"/>
        <v>2200</v>
      </c>
      <c r="K216" s="771">
        <f t="shared" si="417"/>
        <v>2500</v>
      </c>
      <c r="L216" s="771">
        <f t="shared" si="418"/>
        <v>2800</v>
      </c>
      <c r="M216" s="417"/>
      <c r="N216" s="417"/>
      <c r="O216" s="417"/>
      <c r="P216" s="417"/>
      <c r="Q216" s="417"/>
      <c r="Z216" s="367">
        <f t="shared" ref="Z216:AH216" si="435">Z176+$G$430-$AL176</f>
        <v>201.84749354847736</v>
      </c>
      <c r="AA216" s="367">
        <f t="shared" si="435"/>
        <v>532.16637109949806</v>
      </c>
      <c r="AB216" s="367">
        <f t="shared" si="435"/>
        <v>862.48524865051877</v>
      </c>
      <c r="AC216" s="367">
        <f t="shared" si="435"/>
        <v>1192.8041262015395</v>
      </c>
      <c r="AD216" s="367">
        <f t="shared" si="435"/>
        <v>1523.1230037525593</v>
      </c>
      <c r="AE216" s="367">
        <f t="shared" si="435"/>
        <v>1853.44188130358</v>
      </c>
      <c r="AF216" s="367">
        <f t="shared" si="435"/>
        <v>2183.7607588545998</v>
      </c>
      <c r="AG216" s="367">
        <f t="shared" si="435"/>
        <v>2514.0796364056205</v>
      </c>
      <c r="AH216" s="367">
        <f t="shared" si="435"/>
        <v>2844.3985139566412</v>
      </c>
      <c r="AT216" s="804">
        <f t="shared" si="430"/>
        <v>0</v>
      </c>
      <c r="AU216" s="804">
        <f t="shared" si="420"/>
        <v>0</v>
      </c>
      <c r="AV216" s="804">
        <f t="shared" si="421"/>
        <v>0</v>
      </c>
      <c r="AW216" s="804">
        <f t="shared" si="422"/>
        <v>2</v>
      </c>
      <c r="AX216" s="804">
        <f t="shared" si="423"/>
        <v>3</v>
      </c>
      <c r="AY216" s="804">
        <f t="shared" si="424"/>
        <v>5</v>
      </c>
      <c r="AZ216" s="804">
        <f t="shared" si="425"/>
        <v>7</v>
      </c>
      <c r="BA216" s="804">
        <f t="shared" si="426"/>
        <v>9</v>
      </c>
      <c r="BB216" s="804">
        <f t="shared" si="427"/>
        <v>10</v>
      </c>
    </row>
    <row r="217" spans="1:54" ht="15" hidden="1" customHeight="1" outlineLevel="1">
      <c r="A217" s="417"/>
      <c r="B217" s="423" t="s">
        <v>2606</v>
      </c>
      <c r="C217" s="784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2601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67" t="s">
        <v>2525</v>
      </c>
      <c r="E221" s="767"/>
      <c r="F221" s="767"/>
      <c r="G221" s="767"/>
      <c r="H221" s="767"/>
      <c r="I221" s="767"/>
      <c r="J221" s="767"/>
      <c r="K221" s="767"/>
      <c r="L221" s="767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68">
        <f>E222-$G$441</f>
        <v>1.3171225937183451E-2</v>
      </c>
      <c r="E222" s="768">
        <f>F222-$G$441</f>
        <v>0.26317122593718345</v>
      </c>
      <c r="F222" s="768">
        <f>G222-$G$441</f>
        <v>0.51317122593718345</v>
      </c>
      <c r="G222" s="768">
        <f>H222-$G$441</f>
        <v>0.76317122593718345</v>
      </c>
      <c r="H222" s="768">
        <f>$G$440</f>
        <v>1.0131712259371835</v>
      </c>
      <c r="I222" s="768">
        <f>H222+$G$441</f>
        <v>1.2631712259371835</v>
      </c>
      <c r="J222" s="768">
        <f>I222+$G$441</f>
        <v>1.5131712259371835</v>
      </c>
      <c r="K222" s="768">
        <f>J222+$G$441</f>
        <v>1.7631712259371835</v>
      </c>
      <c r="L222" s="768">
        <f>K222+$G$441</f>
        <v>2.0131712259371835</v>
      </c>
      <c r="M222" s="417"/>
      <c r="N222" s="417"/>
      <c r="O222" s="417"/>
      <c r="P222" s="417"/>
      <c r="Q222" s="417"/>
      <c r="AT222" s="772" t="s">
        <v>2614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27" t="s">
        <v>2591</v>
      </c>
      <c r="C223" s="801">
        <f>C224+$G$458</f>
        <v>72</v>
      </c>
      <c r="D223" s="490">
        <f>IFERROR(Z210/$AL170,0)</f>
        <v>-0.11680525436966294</v>
      </c>
      <c r="E223" s="490">
        <f t="shared" ref="E223:L223" si="436">IFERROR(AA210/$AL170,0)</f>
        <v>-7.9001030037659001E-2</v>
      </c>
      <c r="F223" s="490">
        <f t="shared" si="436"/>
        <v>-4.1196805705654857E-2</v>
      </c>
      <c r="G223" s="490">
        <f t="shared" si="436"/>
        <v>-3.3925813736510272E-3</v>
      </c>
      <c r="H223" s="490">
        <f t="shared" si="436"/>
        <v>3.4411642958353007E-2</v>
      </c>
      <c r="I223" s="490">
        <f t="shared" si="436"/>
        <v>7.2215867290357047E-2</v>
      </c>
      <c r="J223" s="490">
        <f t="shared" si="436"/>
        <v>0.11002009162236108</v>
      </c>
      <c r="K223" s="490">
        <f t="shared" si="436"/>
        <v>0.14782431595436513</v>
      </c>
      <c r="L223" s="490">
        <f t="shared" si="436"/>
        <v>0.18562854028636894</v>
      </c>
      <c r="M223" s="417"/>
      <c r="N223" s="417"/>
      <c r="O223" s="417"/>
      <c r="P223" s="417"/>
      <c r="Q223" s="417"/>
      <c r="AT223" s="804">
        <f>IF(Z210&lt;$G$449,0,MIN($G$446,1+IFERROR(INT((Z210-$G$449)/$G$464),0)))</f>
        <v>0</v>
      </c>
      <c r="AU223" s="804">
        <f t="shared" ref="AU223:BB223" si="437">IF(AA210&lt;$G$449,0,MIN($G$446,1+IFERROR(INT((AA210-$G$449)/$G$464),0)))</f>
        <v>0</v>
      </c>
      <c r="AV223" s="804">
        <f t="shared" si="437"/>
        <v>0</v>
      </c>
      <c r="AW223" s="804">
        <f t="shared" si="437"/>
        <v>0</v>
      </c>
      <c r="AX223" s="804">
        <f t="shared" si="437"/>
        <v>0</v>
      </c>
      <c r="AY223" s="804">
        <f t="shared" si="437"/>
        <v>0</v>
      </c>
      <c r="AZ223" s="804">
        <f t="shared" si="437"/>
        <v>0</v>
      </c>
      <c r="BA223" s="804">
        <f t="shared" si="437"/>
        <v>2</v>
      </c>
      <c r="BB223" s="804">
        <f t="shared" si="437"/>
        <v>4</v>
      </c>
    </row>
    <row r="224" spans="1:54" ht="15" customHeight="1">
      <c r="A224" s="417"/>
      <c r="B224" s="828"/>
      <c r="C224" s="801">
        <f>C225+$G$458</f>
        <v>68</v>
      </c>
      <c r="D224" s="490">
        <f t="shared" ref="D224:L224" si="438">IFERROR(Z211/$AL171,0)</f>
        <v>-9.8158503575778489E-2</v>
      </c>
      <c r="E224" s="490">
        <f t="shared" si="438"/>
        <v>-5.8465452404693419E-2</v>
      </c>
      <c r="F224" s="490">
        <f t="shared" si="438"/>
        <v>-1.8772401233608248E-2</v>
      </c>
      <c r="G224" s="490">
        <f t="shared" si="438"/>
        <v>2.0920649937476814E-2</v>
      </c>
      <c r="H224" s="490">
        <f t="shared" si="438"/>
        <v>6.0613701108561985E-2</v>
      </c>
      <c r="I224" s="490">
        <f t="shared" si="438"/>
        <v>0.10030675227964717</v>
      </c>
      <c r="J224" s="490">
        <f t="shared" si="438"/>
        <v>0.13999980345073232</v>
      </c>
      <c r="K224" s="490">
        <f t="shared" si="438"/>
        <v>0.1796928546218175</v>
      </c>
      <c r="L224" s="490">
        <f t="shared" si="438"/>
        <v>0.21938590579290246</v>
      </c>
      <c r="M224" s="417"/>
      <c r="N224" s="417"/>
      <c r="O224" s="417"/>
      <c r="P224" s="417"/>
      <c r="Q224" s="417"/>
      <c r="AT224" s="804">
        <f t="shared" ref="AT224:BB224" si="439">IF(Z211&lt;$G$449,0,MIN($G$446,1+IFERROR(INT((Z211-$G$449)/$G$464),0)))</f>
        <v>0</v>
      </c>
      <c r="AU224" s="804">
        <f t="shared" si="439"/>
        <v>0</v>
      </c>
      <c r="AV224" s="804">
        <f t="shared" si="439"/>
        <v>0</v>
      </c>
      <c r="AW224" s="804">
        <f t="shared" si="439"/>
        <v>0</v>
      </c>
      <c r="AX224" s="804">
        <f t="shared" si="439"/>
        <v>0</v>
      </c>
      <c r="AY224" s="804">
        <f t="shared" si="439"/>
        <v>0</v>
      </c>
      <c r="AZ224" s="804">
        <f t="shared" si="439"/>
        <v>1</v>
      </c>
      <c r="BA224" s="804">
        <f t="shared" si="439"/>
        <v>3</v>
      </c>
      <c r="BB224" s="804">
        <f t="shared" si="439"/>
        <v>5</v>
      </c>
    </row>
    <row r="225" spans="1:54" ht="15" customHeight="1">
      <c r="A225" s="417"/>
      <c r="B225" s="828"/>
      <c r="C225" s="801">
        <f>C226+$G$458</f>
        <v>64</v>
      </c>
      <c r="D225" s="490">
        <f t="shared" ref="D225:L225" si="440">IFERROR(Z212/$AL172,0)</f>
        <v>-7.7550450063855914E-2</v>
      </c>
      <c r="E225" s="490">
        <f t="shared" si="440"/>
        <v>-3.5769901451269903E-2</v>
      </c>
      <c r="F225" s="490">
        <f t="shared" si="440"/>
        <v>6.0106471613162174E-3</v>
      </c>
      <c r="G225" s="490">
        <f t="shared" si="440"/>
        <v>4.779119577390234E-2</v>
      </c>
      <c r="H225" s="490">
        <f t="shared" si="440"/>
        <v>8.9571744386488461E-2</v>
      </c>
      <c r="I225" s="490">
        <f t="shared" si="440"/>
        <v>0.13135229299907458</v>
      </c>
      <c r="J225" s="490">
        <f t="shared" si="440"/>
        <v>0.17313284161166048</v>
      </c>
      <c r="K225" s="490">
        <f t="shared" si="440"/>
        <v>0.2149133902242466</v>
      </c>
      <c r="L225" s="490">
        <f t="shared" si="440"/>
        <v>0.25669393883683272</v>
      </c>
      <c r="M225" s="417"/>
      <c r="N225" s="417"/>
      <c r="O225" s="417"/>
      <c r="P225" s="417"/>
      <c r="Q225" s="417"/>
      <c r="AT225" s="804">
        <f t="shared" ref="AT225:BB225" si="441">IF(Z212&lt;$G$449,0,MIN($G$446,1+IFERROR(INT((Z212-$G$449)/$G$464),0)))</f>
        <v>0</v>
      </c>
      <c r="AU225" s="804">
        <f t="shared" si="441"/>
        <v>0</v>
      </c>
      <c r="AV225" s="804">
        <f t="shared" si="441"/>
        <v>0</v>
      </c>
      <c r="AW225" s="804">
        <f t="shared" si="441"/>
        <v>0</v>
      </c>
      <c r="AX225" s="804">
        <f t="shared" si="441"/>
        <v>0</v>
      </c>
      <c r="AY225" s="804">
        <f t="shared" si="441"/>
        <v>1</v>
      </c>
      <c r="AZ225" s="804">
        <f t="shared" si="441"/>
        <v>2</v>
      </c>
      <c r="BA225" s="804">
        <f t="shared" si="441"/>
        <v>4</v>
      </c>
      <c r="BB225" s="804">
        <f t="shared" si="441"/>
        <v>6</v>
      </c>
    </row>
    <row r="226" spans="1:54" ht="15" customHeight="1">
      <c r="A226" s="417"/>
      <c r="B226" s="828"/>
      <c r="C226" s="801">
        <f>$G$457</f>
        <v>60</v>
      </c>
      <c r="D226" s="490">
        <f t="shared" ref="D226:L226" si="442">IFERROR(Z213/$AL173,0)</f>
        <v>-5.4654476034139969E-2</v>
      </c>
      <c r="E226" s="490">
        <f t="shared" si="442"/>
        <v>-1.0554674553734435E-2</v>
      </c>
      <c r="F226" s="490">
        <f t="shared" si="442"/>
        <v>3.354512692667122E-2</v>
      </c>
      <c r="G226" s="490">
        <f t="shared" si="442"/>
        <v>7.7644928407076749E-2</v>
      </c>
      <c r="H226" s="782">
        <f t="shared" si="442"/>
        <v>0.1217447298874824</v>
      </c>
      <c r="I226" s="490">
        <f t="shared" si="442"/>
        <v>0.16584453136788804</v>
      </c>
      <c r="J226" s="490">
        <f t="shared" si="442"/>
        <v>0.2099443328482937</v>
      </c>
      <c r="K226" s="490">
        <f t="shared" si="442"/>
        <v>0.25404413432869938</v>
      </c>
      <c r="L226" s="490">
        <f t="shared" si="442"/>
        <v>0.29814393580910475</v>
      </c>
      <c r="M226" s="417"/>
      <c r="N226" s="417"/>
      <c r="O226" s="417"/>
      <c r="P226" s="417"/>
      <c r="Q226" s="417"/>
      <c r="AT226" s="804">
        <f t="shared" ref="AT226:BB226" si="443">IF(Z213&lt;$G$449,0,MIN($G$446,1+IFERROR(INT((Z213-$G$449)/$G$464),0)))</f>
        <v>0</v>
      </c>
      <c r="AU226" s="804">
        <f t="shared" si="443"/>
        <v>0</v>
      </c>
      <c r="AV226" s="804">
        <f t="shared" si="443"/>
        <v>0</v>
      </c>
      <c r="AW226" s="804">
        <f t="shared" si="443"/>
        <v>0</v>
      </c>
      <c r="AX226" s="804">
        <f t="shared" si="443"/>
        <v>0</v>
      </c>
      <c r="AY226" s="804">
        <f t="shared" si="443"/>
        <v>2</v>
      </c>
      <c r="AZ226" s="804">
        <f t="shared" si="443"/>
        <v>4</v>
      </c>
      <c r="BA226" s="804">
        <f t="shared" si="443"/>
        <v>5</v>
      </c>
      <c r="BB226" s="804">
        <f t="shared" si="443"/>
        <v>7</v>
      </c>
    </row>
    <row r="227" spans="1:54" ht="15" customHeight="1">
      <c r="A227" s="417"/>
      <c r="B227" s="828"/>
      <c r="C227" s="801">
        <f>C226-$G$458</f>
        <v>56</v>
      </c>
      <c r="D227" s="490">
        <f t="shared" ref="D227:L227" si="444">IFERROR(Z214/$AL174,0)</f>
        <v>-2.9067178649336899E-2</v>
      </c>
      <c r="E227" s="490">
        <f t="shared" si="444"/>
        <v>1.7624493906849819E-2</v>
      </c>
      <c r="F227" s="490">
        <f t="shared" si="444"/>
        <v>6.4316166463036534E-2</v>
      </c>
      <c r="G227" s="490">
        <f t="shared" si="444"/>
        <v>0.11100783901922326</v>
      </c>
      <c r="H227" s="490">
        <f t="shared" si="444"/>
        <v>0.15769951157540998</v>
      </c>
      <c r="I227" s="490">
        <f t="shared" si="444"/>
        <v>0.20439118413159668</v>
      </c>
      <c r="J227" s="490">
        <f t="shared" si="444"/>
        <v>0.25108285668778341</v>
      </c>
      <c r="K227" s="490">
        <f t="shared" si="444"/>
        <v>0.29777452924396985</v>
      </c>
      <c r="L227" s="490">
        <f t="shared" si="444"/>
        <v>0.34446620180015658</v>
      </c>
      <c r="M227" s="417"/>
      <c r="N227" s="417"/>
      <c r="O227" s="417"/>
      <c r="P227" s="417"/>
      <c r="Q227" s="417"/>
      <c r="AT227" s="804">
        <f t="shared" ref="AT227:BB227" si="445">IF(Z214&lt;$G$449,0,MIN($G$446,1+IFERROR(INT((Z214-$G$449)/$G$464),0)))</f>
        <v>0</v>
      </c>
      <c r="AU227" s="804">
        <f t="shared" si="445"/>
        <v>0</v>
      </c>
      <c r="AV227" s="804">
        <f t="shared" si="445"/>
        <v>0</v>
      </c>
      <c r="AW227" s="804">
        <f t="shared" si="445"/>
        <v>0</v>
      </c>
      <c r="AX227" s="804">
        <f t="shared" si="445"/>
        <v>1</v>
      </c>
      <c r="AY227" s="804">
        <f t="shared" si="445"/>
        <v>3</v>
      </c>
      <c r="AZ227" s="804">
        <f t="shared" si="445"/>
        <v>5</v>
      </c>
      <c r="BA227" s="804">
        <f t="shared" si="445"/>
        <v>6</v>
      </c>
      <c r="BB227" s="804">
        <f t="shared" si="445"/>
        <v>8</v>
      </c>
    </row>
    <row r="228" spans="1:54" ht="15" customHeight="1">
      <c r="A228" s="417"/>
      <c r="B228" s="828"/>
      <c r="C228" s="801">
        <f>C227-$G$458</f>
        <v>52</v>
      </c>
      <c r="D228" s="490">
        <f t="shared" ref="D228:L228" si="446">IFERROR(Z215/$AL175,0)</f>
        <v>-2.8439667387412075E-4</v>
      </c>
      <c r="E228" s="490">
        <f t="shared" si="446"/>
        <v>4.9322834292440686E-2</v>
      </c>
      <c r="F228" s="490">
        <f t="shared" si="446"/>
        <v>9.893006525875564E-2</v>
      </c>
      <c r="G228" s="490">
        <f t="shared" si="446"/>
        <v>0.14853729622507059</v>
      </c>
      <c r="H228" s="490">
        <f t="shared" si="446"/>
        <v>0.19814452719138553</v>
      </c>
      <c r="I228" s="490">
        <f t="shared" si="446"/>
        <v>0.24775175815770048</v>
      </c>
      <c r="J228" s="490">
        <f t="shared" si="446"/>
        <v>0.29735898912401515</v>
      </c>
      <c r="K228" s="490">
        <f t="shared" si="446"/>
        <v>0.34696622009033007</v>
      </c>
      <c r="L228" s="490">
        <f t="shared" si="446"/>
        <v>0.39657345105664504</v>
      </c>
      <c r="M228" s="417"/>
      <c r="N228" s="417"/>
      <c r="O228" s="417"/>
      <c r="P228" s="417"/>
      <c r="Q228" s="417"/>
      <c r="AT228" s="804">
        <f t="shared" ref="AT228:BB228" si="447">IF(Z215&lt;$G$449,0,MIN($G$446,1+IFERROR(INT((Z215-$G$449)/$G$464),0)))</f>
        <v>0</v>
      </c>
      <c r="AU228" s="804">
        <f t="shared" si="447"/>
        <v>0</v>
      </c>
      <c r="AV228" s="804">
        <f t="shared" si="447"/>
        <v>0</v>
      </c>
      <c r="AW228" s="804">
        <f t="shared" si="447"/>
        <v>0</v>
      </c>
      <c r="AX228" s="804">
        <f t="shared" si="447"/>
        <v>2</v>
      </c>
      <c r="AY228" s="804">
        <f t="shared" si="447"/>
        <v>4</v>
      </c>
      <c r="AZ228" s="804">
        <f t="shared" si="447"/>
        <v>6</v>
      </c>
      <c r="BA228" s="804">
        <f t="shared" si="447"/>
        <v>8</v>
      </c>
      <c r="BB228" s="804">
        <f t="shared" si="447"/>
        <v>9</v>
      </c>
    </row>
    <row r="229" spans="1:54" ht="15" customHeight="1">
      <c r="A229" s="417"/>
      <c r="B229" s="829"/>
      <c r="C229" s="802">
        <f>C228-$G$458</f>
        <v>48</v>
      </c>
      <c r="D229" s="783">
        <f t="shared" ref="D229:L229" si="448">IFERROR(Z216/$AL176,0)</f>
        <v>3.233234286920008E-2</v>
      </c>
      <c r="E229" s="783">
        <f t="shared" si="448"/>
        <v>8.5243493844596882E-2</v>
      </c>
      <c r="F229" s="783">
        <f t="shared" si="448"/>
        <v>0.13815464481999368</v>
      </c>
      <c r="G229" s="783">
        <f t="shared" si="448"/>
        <v>0.19106579579539049</v>
      </c>
      <c r="H229" s="783">
        <f t="shared" si="448"/>
        <v>0.24397694677078716</v>
      </c>
      <c r="I229" s="783">
        <f t="shared" si="448"/>
        <v>0.29688809774618397</v>
      </c>
      <c r="J229" s="783">
        <f t="shared" si="448"/>
        <v>0.34979924872158064</v>
      </c>
      <c r="K229" s="783">
        <f t="shared" si="448"/>
        <v>0.40271039969697742</v>
      </c>
      <c r="L229" s="783">
        <f t="shared" si="448"/>
        <v>0.4556215506723742</v>
      </c>
      <c r="M229" s="417"/>
      <c r="N229" s="417"/>
      <c r="O229" s="417"/>
      <c r="P229" s="417"/>
      <c r="Q229" s="417"/>
      <c r="AT229" s="804">
        <f t="shared" ref="AT229:BB229" si="449">IF(Z216&lt;$G$449,0,MIN($G$446,1+IFERROR(INT((Z216-$G$449)/$G$464),0)))</f>
        <v>0</v>
      </c>
      <c r="AU229" s="804">
        <f t="shared" si="449"/>
        <v>0</v>
      </c>
      <c r="AV229" s="804">
        <f t="shared" si="449"/>
        <v>0</v>
      </c>
      <c r="AW229" s="804">
        <f t="shared" si="449"/>
        <v>2</v>
      </c>
      <c r="AX229" s="804">
        <f t="shared" si="449"/>
        <v>3</v>
      </c>
      <c r="AY229" s="804">
        <f t="shared" si="449"/>
        <v>5</v>
      </c>
      <c r="AZ229" s="804">
        <f t="shared" si="449"/>
        <v>7</v>
      </c>
      <c r="BA229" s="804">
        <f t="shared" si="449"/>
        <v>9</v>
      </c>
      <c r="BB229" s="804">
        <f t="shared" si="449"/>
        <v>10</v>
      </c>
    </row>
    <row r="230" spans="1:54" ht="15" hidden="1" customHeight="1" outlineLevel="1">
      <c r="A230" s="417"/>
      <c r="B230" s="423" t="s">
        <v>2603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2602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67" t="s">
        <v>2525</v>
      </c>
      <c r="E234" s="767"/>
      <c r="F234" s="767"/>
      <c r="G234" s="767"/>
      <c r="H234" s="767"/>
      <c r="I234" s="767"/>
      <c r="J234" s="767"/>
      <c r="K234" s="767"/>
      <c r="L234" s="767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68">
        <f>E235-$G$441</f>
        <v>1.3171225937183451E-2</v>
      </c>
      <c r="E235" s="768">
        <f>F235-$G$441</f>
        <v>0.26317122593718345</v>
      </c>
      <c r="F235" s="768">
        <f>G235-$G$441</f>
        <v>0.51317122593718345</v>
      </c>
      <c r="G235" s="768">
        <f>H235-$G$441</f>
        <v>0.76317122593718345</v>
      </c>
      <c r="H235" s="768">
        <f>$G$440</f>
        <v>1.0131712259371835</v>
      </c>
      <c r="I235" s="768">
        <f>H235+$G$441</f>
        <v>1.2631712259371835</v>
      </c>
      <c r="J235" s="768">
        <f>I235+$G$441</f>
        <v>1.5131712259371835</v>
      </c>
      <c r="K235" s="768">
        <f>J235+$G$441</f>
        <v>1.7631712259371835</v>
      </c>
      <c r="L235" s="768">
        <f>K235+$G$441</f>
        <v>2.0131712259371835</v>
      </c>
      <c r="M235" s="417"/>
      <c r="N235" s="417"/>
      <c r="O235" s="417"/>
      <c r="P235" s="417"/>
      <c r="Q235" s="417"/>
      <c r="AT235" s="772" t="s">
        <v>2614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27" t="s">
        <v>2591</v>
      </c>
      <c r="C236" s="801">
        <f>C237+$G$458</f>
        <v>72</v>
      </c>
      <c r="D236" s="631">
        <f>D196-$AM170</f>
        <v>7.9505581022452088E-3</v>
      </c>
      <c r="E236" s="631">
        <f t="shared" ref="E236:L236" si="450">E196-$AM170</f>
        <v>1.9389580403862405E-2</v>
      </c>
      <c r="F236" s="631">
        <f t="shared" si="450"/>
        <v>3.0426995561663617E-2</v>
      </c>
      <c r="G236" s="631">
        <f t="shared" si="450"/>
        <v>4.1093199844612238E-2</v>
      </c>
      <c r="H236" s="631">
        <f t="shared" si="450"/>
        <v>5.1415154672957986E-2</v>
      </c>
      <c r="I236" s="631">
        <f t="shared" si="450"/>
        <v>6.1416893028580555E-2</v>
      </c>
      <c r="J236" s="631">
        <f t="shared" si="450"/>
        <v>7.1119935084647867E-2</v>
      </c>
      <c r="K236" s="631">
        <f t="shared" si="450"/>
        <v>8.054363192620162E-2</v>
      </c>
      <c r="L236" s="631">
        <f t="shared" si="450"/>
        <v>8.9705452046005663E-2</v>
      </c>
      <c r="M236" s="417"/>
      <c r="N236" s="417"/>
      <c r="O236" s="417"/>
      <c r="P236" s="417"/>
      <c r="Q236" s="417"/>
      <c r="AT236" s="804">
        <f>IF(Z210&lt;$G$449,0,MIN($G$446,1+IFERROR(INT((Z210-$G$449)/$G$464),0)))</f>
        <v>0</v>
      </c>
      <c r="AU236" s="804">
        <f t="shared" ref="AU236:BB236" si="451">IF(AA210&lt;$G$449,0,MIN($G$446,1+IFERROR(INT((AA210-$G$449)/$G$464),0)))</f>
        <v>0</v>
      </c>
      <c r="AV236" s="804">
        <f t="shared" si="451"/>
        <v>0</v>
      </c>
      <c r="AW236" s="804">
        <f t="shared" si="451"/>
        <v>0</v>
      </c>
      <c r="AX236" s="804">
        <f t="shared" si="451"/>
        <v>0</v>
      </c>
      <c r="AY236" s="804">
        <f t="shared" si="451"/>
        <v>0</v>
      </c>
      <c r="AZ236" s="804">
        <f t="shared" si="451"/>
        <v>0</v>
      </c>
      <c r="BA236" s="804">
        <f t="shared" si="451"/>
        <v>2</v>
      </c>
      <c r="BB236" s="804">
        <f t="shared" si="451"/>
        <v>4</v>
      </c>
    </row>
    <row r="237" spans="1:54" ht="15" customHeight="1">
      <c r="A237" s="417"/>
      <c r="B237" s="828"/>
      <c r="C237" s="801">
        <f>C238+$G$458</f>
        <v>68</v>
      </c>
      <c r="D237" s="631">
        <f t="shared" ref="D237:L237" si="452">D197-$AM171</f>
        <v>1.2396756991368996E-2</v>
      </c>
      <c r="E237" s="631">
        <f t="shared" si="452"/>
        <v>2.4111460078209079E-2</v>
      </c>
      <c r="F237" s="631">
        <f t="shared" si="452"/>
        <v>3.540295008336436E-2</v>
      </c>
      <c r="G237" s="631">
        <f t="shared" si="452"/>
        <v>4.6304147654508743E-2</v>
      </c>
      <c r="H237" s="631">
        <f t="shared" si="452"/>
        <v>5.6844154315205619E-2</v>
      </c>
      <c r="I237" s="631">
        <f t="shared" si="452"/>
        <v>6.704882992522565E-2</v>
      </c>
      <c r="J237" s="631">
        <f t="shared" si="452"/>
        <v>7.6941264066699988E-2</v>
      </c>
      <c r="K237" s="631">
        <f t="shared" si="452"/>
        <v>8.654216398470993E-2</v>
      </c>
      <c r="L237" s="631">
        <f t="shared" si="452"/>
        <v>9.5870176398626494E-2</v>
      </c>
      <c r="M237" s="417"/>
      <c r="N237" s="417"/>
      <c r="O237" s="417"/>
      <c r="P237" s="417"/>
      <c r="Q237" s="417"/>
      <c r="AT237" s="804">
        <f t="shared" ref="AT237:BB237" si="453">IF(Z211&lt;$G$449,0,MIN($G$446,1+IFERROR(INT((Z211-$G$449)/$G$464),0)))</f>
        <v>0</v>
      </c>
      <c r="AU237" s="804">
        <f t="shared" si="453"/>
        <v>0</v>
      </c>
      <c r="AV237" s="804">
        <f t="shared" si="453"/>
        <v>0</v>
      </c>
      <c r="AW237" s="804">
        <f t="shared" si="453"/>
        <v>0</v>
      </c>
      <c r="AX237" s="804">
        <f t="shared" si="453"/>
        <v>0</v>
      </c>
      <c r="AY237" s="804">
        <f t="shared" si="453"/>
        <v>0</v>
      </c>
      <c r="AZ237" s="804">
        <f t="shared" si="453"/>
        <v>1</v>
      </c>
      <c r="BA237" s="804">
        <f t="shared" si="453"/>
        <v>3</v>
      </c>
      <c r="BB237" s="804">
        <f t="shared" si="453"/>
        <v>5</v>
      </c>
    </row>
    <row r="238" spans="1:54" ht="15" customHeight="1">
      <c r="A238" s="417"/>
      <c r="B238" s="828"/>
      <c r="C238" s="801">
        <f>C239+$G$458</f>
        <v>64</v>
      </c>
      <c r="D238" s="631">
        <f t="shared" ref="D238:L238" si="454">D198-$AM172</f>
        <v>1.7143570626936722E-2</v>
      </c>
      <c r="E238" s="631">
        <f t="shared" si="454"/>
        <v>2.9149370883964743E-2</v>
      </c>
      <c r="F238" s="631">
        <f t="shared" si="454"/>
        <v>4.0708487684419481E-2</v>
      </c>
      <c r="G238" s="631">
        <f t="shared" si="454"/>
        <v>5.1856659397542915E-2</v>
      </c>
      <c r="H238" s="631">
        <f t="shared" si="454"/>
        <v>6.2625365011682144E-2</v>
      </c>
      <c r="I238" s="631">
        <f t="shared" si="454"/>
        <v>7.3042485060132334E-2</v>
      </c>
      <c r="J238" s="631">
        <f t="shared" si="454"/>
        <v>8.3132838066139358E-2</v>
      </c>
      <c r="K238" s="631">
        <f t="shared" si="454"/>
        <v>9.2918619786172663E-2</v>
      </c>
      <c r="L238" s="631">
        <f t="shared" si="454"/>
        <v>0.10241976569306765</v>
      </c>
      <c r="M238" s="417"/>
      <c r="N238" s="417"/>
      <c r="O238" s="417"/>
      <c r="P238" s="417"/>
      <c r="Q238" s="417"/>
      <c r="AT238" s="804">
        <f t="shared" ref="AT238:BB238" si="455">IF(Z212&lt;$G$449,0,MIN($G$446,1+IFERROR(INT((Z212-$G$449)/$G$464),0)))</f>
        <v>0</v>
      </c>
      <c r="AU238" s="804">
        <f t="shared" si="455"/>
        <v>0</v>
      </c>
      <c r="AV238" s="804">
        <f t="shared" si="455"/>
        <v>0</v>
      </c>
      <c r="AW238" s="804">
        <f t="shared" si="455"/>
        <v>0</v>
      </c>
      <c r="AX238" s="804">
        <f t="shared" si="455"/>
        <v>0</v>
      </c>
      <c r="AY238" s="804">
        <f t="shared" si="455"/>
        <v>1</v>
      </c>
      <c r="AZ238" s="804">
        <f t="shared" si="455"/>
        <v>2</v>
      </c>
      <c r="BA238" s="804">
        <f t="shared" si="455"/>
        <v>4</v>
      </c>
      <c r="BB238" s="804">
        <f t="shared" si="455"/>
        <v>6</v>
      </c>
    </row>
    <row r="239" spans="1:54" ht="15" customHeight="1">
      <c r="A239" s="417"/>
      <c r="B239" s="828"/>
      <c r="C239" s="801">
        <f>$G$457</f>
        <v>60</v>
      </c>
      <c r="D239" s="631">
        <f t="shared" ref="D239:L239" si="456">D199-$AM173</f>
        <v>2.2227405448852045E-2</v>
      </c>
      <c r="E239" s="631">
        <f t="shared" si="456"/>
        <v>3.454110361822571E-2</v>
      </c>
      <c r="F239" s="631">
        <f t="shared" si="456"/>
        <v>4.6382558151778275E-2</v>
      </c>
      <c r="G239" s="631">
        <f t="shared" si="456"/>
        <v>5.7790662919647851E-2</v>
      </c>
      <c r="H239" s="789">
        <f t="shared" si="456"/>
        <v>6.8799546004345791E-2</v>
      </c>
      <c r="I239" s="631">
        <f t="shared" si="456"/>
        <v>7.9439329132062531E-2</v>
      </c>
      <c r="J239" s="631">
        <f t="shared" si="456"/>
        <v>8.9736740370169876E-2</v>
      </c>
      <c r="K239" s="631">
        <f t="shared" si="456"/>
        <v>9.97156130278396E-2</v>
      </c>
      <c r="L239" s="631">
        <f t="shared" si="456"/>
        <v>0.10939729537102094</v>
      </c>
      <c r="M239" s="417"/>
      <c r="N239" s="417"/>
      <c r="O239" s="417"/>
      <c r="P239" s="417"/>
      <c r="Q239" s="417"/>
      <c r="AT239" s="804">
        <f t="shared" ref="AT239:BB239" si="457">IF(Z213&lt;$G$449,0,MIN($G$446,1+IFERROR(INT((Z213-$G$449)/$G$464),0)))</f>
        <v>0</v>
      </c>
      <c r="AU239" s="804">
        <f t="shared" si="457"/>
        <v>0</v>
      </c>
      <c r="AV239" s="804">
        <f t="shared" si="457"/>
        <v>0</v>
      </c>
      <c r="AW239" s="804">
        <f t="shared" si="457"/>
        <v>0</v>
      </c>
      <c r="AX239" s="804">
        <f t="shared" si="457"/>
        <v>0</v>
      </c>
      <c r="AY239" s="804">
        <f t="shared" si="457"/>
        <v>2</v>
      </c>
      <c r="AZ239" s="804">
        <f t="shared" si="457"/>
        <v>4</v>
      </c>
      <c r="BA239" s="804">
        <f t="shared" si="457"/>
        <v>5</v>
      </c>
      <c r="BB239" s="804">
        <f t="shared" si="457"/>
        <v>7</v>
      </c>
    </row>
    <row r="240" spans="1:54" ht="15" customHeight="1">
      <c r="A240" s="417"/>
      <c r="B240" s="828"/>
      <c r="C240" s="801">
        <f>C239-$G$458</f>
        <v>56</v>
      </c>
      <c r="D240" s="631">
        <f t="shared" ref="D240:L240" si="458">D200-$AM174</f>
        <v>2.7691185546960151E-2</v>
      </c>
      <c r="E240" s="631">
        <f t="shared" si="458"/>
        <v>4.0331141069147147E-2</v>
      </c>
      <c r="F240" s="631">
        <f t="shared" si="458"/>
        <v>5.2470942050499847E-2</v>
      </c>
      <c r="G240" s="631">
        <f t="shared" si="458"/>
        <v>6.4153028480693708E-2</v>
      </c>
      <c r="H240" s="631">
        <f t="shared" si="458"/>
        <v>7.5414489599689549E-2</v>
      </c>
      <c r="I240" s="631">
        <f t="shared" si="458"/>
        <v>8.6287940156027476E-2</v>
      </c>
      <c r="J240" s="631">
        <f t="shared" si="458"/>
        <v>9.6802222862095055E-2</v>
      </c>
      <c r="K240" s="631">
        <f t="shared" si="458"/>
        <v>0.10698297705479631</v>
      </c>
      <c r="L240" s="631">
        <f t="shared" si="458"/>
        <v>0.11685310319539788</v>
      </c>
      <c r="M240" s="417"/>
      <c r="N240" s="417"/>
      <c r="O240" s="417"/>
      <c r="P240" s="417"/>
      <c r="Q240" s="417"/>
      <c r="AT240" s="804">
        <f t="shared" ref="AT240:BB240" si="459">IF(Z214&lt;$G$449,0,MIN($G$446,1+IFERROR(INT((Z214-$G$449)/$G$464),0)))</f>
        <v>0</v>
      </c>
      <c r="AU240" s="804">
        <f t="shared" si="459"/>
        <v>0</v>
      </c>
      <c r="AV240" s="804">
        <f t="shared" si="459"/>
        <v>0</v>
      </c>
      <c r="AW240" s="804">
        <f t="shared" si="459"/>
        <v>0</v>
      </c>
      <c r="AX240" s="804">
        <f t="shared" si="459"/>
        <v>1</v>
      </c>
      <c r="AY240" s="804">
        <f t="shared" si="459"/>
        <v>3</v>
      </c>
      <c r="AZ240" s="804">
        <f t="shared" si="459"/>
        <v>5</v>
      </c>
      <c r="BA240" s="804">
        <f t="shared" si="459"/>
        <v>6</v>
      </c>
      <c r="BB240" s="804">
        <f t="shared" si="459"/>
        <v>8</v>
      </c>
    </row>
    <row r="241" spans="1:54" ht="15" customHeight="1">
      <c r="A241" s="417"/>
      <c r="B241" s="828"/>
      <c r="C241" s="801">
        <f>C240-$G$458</f>
        <v>52</v>
      </c>
      <c r="D241" s="631">
        <f t="shared" ref="D241:L241" si="460">D201-$AM175</f>
        <v>3.3585946619303142E-2</v>
      </c>
      <c r="E241" s="631">
        <f t="shared" si="460"/>
        <v>4.657228066598007E-2</v>
      </c>
      <c r="F241" s="631">
        <f t="shared" si="460"/>
        <v>5.9027895054952317E-2</v>
      </c>
      <c r="G241" s="631">
        <f t="shared" si="460"/>
        <v>7.0999229682931597E-2</v>
      </c>
      <c r="H241" s="631">
        <f t="shared" si="460"/>
        <v>8.2526694953560353E-2</v>
      </c>
      <c r="I241" s="631">
        <f t="shared" si="460"/>
        <v>9.364568731497358E-2</v>
      </c>
      <c r="J241" s="631">
        <f t="shared" si="460"/>
        <v>0.10438739787280404</v>
      </c>
      <c r="K241" s="631">
        <f t="shared" si="460"/>
        <v>0.11477946295859853</v>
      </c>
      <c r="L241" s="631">
        <f t="shared" si="460"/>
        <v>0.12484649252410129</v>
      </c>
      <c r="M241" s="417"/>
      <c r="N241" s="417"/>
      <c r="O241" s="417"/>
      <c r="P241" s="417"/>
      <c r="Q241" s="417"/>
      <c r="AT241" s="804">
        <f t="shared" ref="AT241:BB241" si="461">IF(Z215&lt;$G$449,0,MIN($G$446,1+IFERROR(INT((Z215-$G$449)/$G$464),0)))</f>
        <v>0</v>
      </c>
      <c r="AU241" s="804">
        <f t="shared" si="461"/>
        <v>0</v>
      </c>
      <c r="AV241" s="804">
        <f t="shared" si="461"/>
        <v>0</v>
      </c>
      <c r="AW241" s="804">
        <f t="shared" si="461"/>
        <v>0</v>
      </c>
      <c r="AX241" s="804">
        <f t="shared" si="461"/>
        <v>2</v>
      </c>
      <c r="AY241" s="804">
        <f t="shared" si="461"/>
        <v>4</v>
      </c>
      <c r="AZ241" s="804">
        <f t="shared" si="461"/>
        <v>6</v>
      </c>
      <c r="BA241" s="804">
        <f t="shared" si="461"/>
        <v>8</v>
      </c>
      <c r="BB241" s="804">
        <f t="shared" si="461"/>
        <v>9</v>
      </c>
    </row>
    <row r="242" spans="1:54" ht="15" customHeight="1">
      <c r="A242" s="417"/>
      <c r="B242" s="829"/>
      <c r="C242" s="802">
        <f>C241-$G$458</f>
        <v>48</v>
      </c>
      <c r="D242" s="790">
        <f t="shared" ref="D242:L242" si="462">D202-$AM176</f>
        <v>3.9972939425266807E-2</v>
      </c>
      <c r="E242" s="790">
        <f t="shared" si="462"/>
        <v>5.3327772533797946E-2</v>
      </c>
      <c r="F242" s="790">
        <f t="shared" si="462"/>
        <v>6.6118311916054662E-2</v>
      </c>
      <c r="G242" s="790">
        <f t="shared" si="462"/>
        <v>7.8395527113105157E-2</v>
      </c>
      <c r="H242" s="790">
        <f t="shared" si="462"/>
        <v>9.0203566840364902E-2</v>
      </c>
      <c r="I242" s="790">
        <f t="shared" si="462"/>
        <v>0.1015809414932789</v>
      </c>
      <c r="J242" s="790">
        <f t="shared" si="462"/>
        <v>0.11256145794810912</v>
      </c>
      <c r="K242" s="790">
        <f t="shared" si="462"/>
        <v>0.12317496674433515</v>
      </c>
      <c r="L242" s="790">
        <f t="shared" si="462"/>
        <v>0.13344796533017678</v>
      </c>
      <c r="M242" s="417"/>
      <c r="N242" s="417"/>
      <c r="O242" s="417"/>
      <c r="P242" s="417"/>
      <c r="Q242" s="417"/>
      <c r="AT242" s="804">
        <f t="shared" ref="AT242:BB242" si="463">IF(Z216&lt;$G$449,0,MIN($G$446,1+IFERROR(INT((Z216-$G$449)/$G$464),0)))</f>
        <v>0</v>
      </c>
      <c r="AU242" s="804">
        <f t="shared" si="463"/>
        <v>0</v>
      </c>
      <c r="AV242" s="804">
        <f t="shared" si="463"/>
        <v>0</v>
      </c>
      <c r="AW242" s="804">
        <f t="shared" si="463"/>
        <v>2</v>
      </c>
      <c r="AX242" s="804">
        <f t="shared" si="463"/>
        <v>3</v>
      </c>
      <c r="AY242" s="804">
        <f t="shared" si="463"/>
        <v>5</v>
      </c>
      <c r="AZ242" s="804">
        <f t="shared" si="463"/>
        <v>7</v>
      </c>
      <c r="BA242" s="804">
        <f t="shared" si="463"/>
        <v>9</v>
      </c>
      <c r="BB242" s="804">
        <f t="shared" si="463"/>
        <v>10</v>
      </c>
    </row>
    <row r="243" spans="1:54" ht="15" hidden="1" customHeight="1" outlineLevel="1">
      <c r="A243" s="417"/>
      <c r="B243" s="423" t="s">
        <v>2604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5" customHeight="1">
      <c r="A245" s="417"/>
      <c r="B245" s="795" t="str">
        <f>"Ben's Return Profile Based on Partnering — Keystone Multiple × Net Client Wins ("&amp;TEXT($G$436,"0%")&amp;" Rollover)"</f>
        <v>Ben's Return Profile Based on Partnering — Keystone Multiple × Net Client Wins (30% Rollover)</v>
      </c>
      <c r="C245" s="796"/>
      <c r="D245" s="796"/>
      <c r="E245" s="796"/>
      <c r="F245" s="796"/>
      <c r="G245" s="796"/>
      <c r="H245" s="796"/>
      <c r="I245" s="796"/>
      <c r="J245" s="796"/>
      <c r="K245" s="796"/>
      <c r="L245" s="796"/>
      <c r="M245" s="417"/>
      <c r="N245" s="417"/>
      <c r="O245" s="417"/>
      <c r="P245" s="417"/>
      <c r="Q245" s="417"/>
    </row>
    <row r="246" spans="1:54" ht="15" customHeight="1">
      <c r="A246" s="417"/>
      <c r="B246" s="148" t="s">
        <v>2755</v>
      </c>
      <c r="C246" s="417"/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</row>
    <row r="247" spans="1:54" ht="2.1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7"/>
      <c r="O247" s="417"/>
      <c r="P247" s="417"/>
      <c r="Q247" s="417"/>
    </row>
    <row r="248" spans="1:54" ht="12.75" customHeight="1">
      <c r="A248" s="417"/>
      <c r="B248" s="454"/>
      <c r="C248" s="454"/>
      <c r="D248" s="767" t="s">
        <v>2751</v>
      </c>
      <c r="E248" s="767"/>
      <c r="F248" s="767"/>
      <c r="G248" s="767"/>
      <c r="H248" s="767"/>
      <c r="I248" s="767"/>
      <c r="J248" s="767"/>
      <c r="K248" s="767"/>
      <c r="L248" s="767"/>
      <c r="M248" s="417"/>
      <c r="N248" s="417"/>
      <c r="O248" s="417"/>
      <c r="P248" s="417"/>
      <c r="Q248" s="417"/>
      <c r="Z248" s="786" t="str">
        <f>"Helper: Unrounded Net Return — Multiple × Net Client Wins ("&amp;TEXT($G$436,"0%")&amp;" Rollover)"</f>
        <v>Helper: Unrounded Net Return — Multiple × Net Client Wins (30% Rollover)</v>
      </c>
      <c r="AA248" s="746"/>
      <c r="AB248" s="746"/>
      <c r="AC248" s="746"/>
      <c r="AD248" s="746"/>
      <c r="AE248" s="746"/>
      <c r="AF248" s="746"/>
      <c r="AG248" s="746"/>
      <c r="AH248" s="746"/>
      <c r="AJ248" s="803" t="s">
        <v>2592</v>
      </c>
      <c r="AK248" s="803" t="s">
        <v>2752</v>
      </c>
      <c r="AL248" s="803" t="s">
        <v>2594</v>
      </c>
      <c r="AM248" s="803" t="s">
        <v>2595</v>
      </c>
    </row>
    <row r="249" spans="1:54" ht="12.75" customHeight="1">
      <c r="A249" s="417"/>
      <c r="B249" s="454"/>
      <c r="C249" s="454"/>
      <c r="D249" s="815">
        <f>E249-$G$466</f>
        <v>1</v>
      </c>
      <c r="E249" s="815">
        <f>F249-$G$466</f>
        <v>1.25</v>
      </c>
      <c r="F249" s="815">
        <f>G249-$G$466</f>
        <v>1.5</v>
      </c>
      <c r="G249" s="815">
        <f>H249-$G$466</f>
        <v>1.75</v>
      </c>
      <c r="H249" s="815">
        <f>$G$465</f>
        <v>2</v>
      </c>
      <c r="I249" s="815">
        <f>H249+$G$466</f>
        <v>2.25</v>
      </c>
      <c r="J249" s="815">
        <f>I249+$G$466</f>
        <v>2.5</v>
      </c>
      <c r="K249" s="815">
        <f>J249+$G$466</f>
        <v>2.75</v>
      </c>
      <c r="L249" s="815">
        <f>K249+$G$466</f>
        <v>3</v>
      </c>
      <c r="M249" s="417"/>
      <c r="N249" s="417"/>
      <c r="O249" s="417"/>
      <c r="P249" s="417"/>
      <c r="Q249" s="417"/>
      <c r="Z249" s="816">
        <f t="shared" ref="Z249:AF249" si="464">D$249</f>
        <v>1</v>
      </c>
      <c r="AA249" s="816">
        <f t="shared" si="464"/>
        <v>1.25</v>
      </c>
      <c r="AB249" s="816">
        <f t="shared" si="464"/>
        <v>1.5</v>
      </c>
      <c r="AC249" s="816">
        <f t="shared" si="464"/>
        <v>1.75</v>
      </c>
      <c r="AD249" s="816">
        <f t="shared" si="464"/>
        <v>2</v>
      </c>
      <c r="AE249" s="816">
        <f t="shared" si="464"/>
        <v>2.25</v>
      </c>
      <c r="AF249" s="816">
        <f t="shared" si="464"/>
        <v>2.5</v>
      </c>
      <c r="AG249" s="816">
        <f t="shared" ref="AG249:AH249" si="465">K$249</f>
        <v>2.75</v>
      </c>
      <c r="AH249" s="816">
        <f t="shared" si="465"/>
        <v>3</v>
      </c>
      <c r="AJ249" s="746"/>
      <c r="AK249" s="746"/>
      <c r="AL249" s="746"/>
      <c r="AM249" s="746"/>
      <c r="AT249" s="772" t="s">
        <v>2614</v>
      </c>
      <c r="AU249" s="427"/>
      <c r="AV249" s="427"/>
      <c r="AW249" s="427"/>
      <c r="AX249" s="427"/>
      <c r="AY249" s="427"/>
      <c r="AZ249" s="427"/>
      <c r="BA249" s="427"/>
      <c r="BB249" s="427"/>
    </row>
    <row r="250" spans="1:54" ht="15" customHeight="1">
      <c r="A250" s="417"/>
      <c r="B250" s="827" t="s">
        <v>2591</v>
      </c>
      <c r="C250" s="801">
        <f>C251+$G$458</f>
        <v>72</v>
      </c>
      <c r="D250" s="620">
        <f>ROUND(Z250,$G$452)</f>
        <v>3200</v>
      </c>
      <c r="E250" s="620">
        <f t="shared" ref="E250:E256" si="466">ROUND(AA250,$G$452)</f>
        <v>3900</v>
      </c>
      <c r="F250" s="620">
        <f t="shared" ref="F250:F256" si="467">ROUND(AB250,$G$452)</f>
        <v>4600</v>
      </c>
      <c r="G250" s="620">
        <f t="shared" ref="G250:G256" si="468">ROUND(AC250,$G$452)</f>
        <v>5300</v>
      </c>
      <c r="H250" s="620">
        <f t="shared" ref="H250:H256" si="469">ROUND(AD250,$G$452)</f>
        <v>6000</v>
      </c>
      <c r="I250" s="620">
        <f t="shared" ref="I250:I256" si="470">ROUND(AE250,$G$452)</f>
        <v>6800</v>
      </c>
      <c r="J250" s="620">
        <f t="shared" ref="J250:J256" si="471">ROUND(AF250,$G$452)</f>
        <v>7500</v>
      </c>
      <c r="K250" s="620">
        <f t="shared" ref="K250:K256" si="472">ROUND(AG250,$G$452)</f>
        <v>8200</v>
      </c>
      <c r="L250" s="620">
        <f t="shared" ref="L250:L256" si="473">ROUND(AH250,$G$452)</f>
        <v>8900</v>
      </c>
      <c r="M250" s="417"/>
      <c r="N250" s="417"/>
      <c r="O250" s="417"/>
      <c r="P250" s="417"/>
      <c r="Q250" s="417"/>
      <c r="Z250" s="367">
        <f t="shared" ref="Z250:AF256" si="474">$O$18+$G$435+$N$18*$AK250*Z$249+$R$18*($Q$18*(1+$G$437)+$AK250*Z$249*(1-$N$18))-$G$430</f>
        <v>3174.1239044348022</v>
      </c>
      <c r="AA250" s="367">
        <f t="shared" si="474"/>
        <v>3890.1664208739203</v>
      </c>
      <c r="AB250" s="367">
        <f t="shared" si="474"/>
        <v>4606.2089373130384</v>
      </c>
      <c r="AC250" s="367">
        <f t="shared" si="474"/>
        <v>5322.2514537521565</v>
      </c>
      <c r="AD250" s="367">
        <f t="shared" si="474"/>
        <v>6038.2939701912746</v>
      </c>
      <c r="AE250" s="367">
        <f t="shared" si="474"/>
        <v>6754.3364866303928</v>
      </c>
      <c r="AF250" s="367">
        <f t="shared" si="474"/>
        <v>7470.3790030695127</v>
      </c>
      <c r="AG250" s="367">
        <f t="shared" ref="AG250:AH256" si="475">$O$18+$G$435+$N$18*$AK250*AG$249+$R$18*($Q$18*(1+$G$437)+$AK250*AG$249*(1-$N$18))-$G$430</f>
        <v>8186.421519508629</v>
      </c>
      <c r="AH250" s="367">
        <f t="shared" si="475"/>
        <v>8902.4640359477471</v>
      </c>
      <c r="AJ250" s="367">
        <f t="shared" ref="AJ250:AJ256" si="476">$C250</f>
        <v>72</v>
      </c>
      <c r="AK250" s="367">
        <f t="shared" ref="AK250:AK256" si="477">$G$453+AJ250*$G$445*$G$454</f>
        <v>8985.8712979660995</v>
      </c>
      <c r="AL250" s="367">
        <f>($G$453+(AJ250-$G$459)*$G$445*$G$460)*$G$461*$G$462</f>
        <v>8737.6181733050835</v>
      </c>
      <c r="AM250" s="800">
        <f>IFERROR((AL250/$G$430)^(1/$G$445)-1,0)</f>
        <v>0.23838123203554318</v>
      </c>
      <c r="AT250" s="804">
        <f t="shared" ref="AT250:AZ256" si="478">IF(Z290&lt;$G$449,0,MIN($G$446,1+IFERROR(INT((Z290-$G$449)/$G$467),0)))</f>
        <v>0</v>
      </c>
      <c r="AU250" s="804">
        <f t="shared" si="478"/>
        <v>0</v>
      </c>
      <c r="AV250" s="804">
        <f t="shared" si="478"/>
        <v>0</v>
      </c>
      <c r="AW250" s="804">
        <f t="shared" si="478"/>
        <v>0</v>
      </c>
      <c r="AX250" s="804">
        <f t="shared" si="478"/>
        <v>0</v>
      </c>
      <c r="AY250" s="804">
        <f t="shared" si="478"/>
        <v>1</v>
      </c>
      <c r="AZ250" s="804">
        <f t="shared" si="478"/>
        <v>3</v>
      </c>
      <c r="BA250" s="804">
        <f t="shared" ref="BA250:BB250" si="479">IF(AG290&lt;$G$449,0,MIN($G$446,1+IFERROR(INT((AG290-$G$449)/$G$467),0)))</f>
        <v>6</v>
      </c>
      <c r="BB250" s="804">
        <f t="shared" si="479"/>
        <v>8</v>
      </c>
    </row>
    <row r="251" spans="1:54" ht="15" customHeight="1">
      <c r="A251" s="417"/>
      <c r="B251" s="828"/>
      <c r="C251" s="801">
        <f>C252+$G$458</f>
        <v>68</v>
      </c>
      <c r="D251" s="470">
        <f t="shared" ref="D251:D256" si="480">ROUND(Z251,$G$452)</f>
        <v>3100</v>
      </c>
      <c r="E251" s="470">
        <f t="shared" si="466"/>
        <v>3800</v>
      </c>
      <c r="F251" s="470">
        <f t="shared" si="467"/>
        <v>4400</v>
      </c>
      <c r="G251" s="470">
        <f t="shared" si="468"/>
        <v>5100</v>
      </c>
      <c r="H251" s="470">
        <f t="shared" si="469"/>
        <v>5800</v>
      </c>
      <c r="I251" s="470">
        <f t="shared" si="470"/>
        <v>6500</v>
      </c>
      <c r="J251" s="470">
        <f t="shared" si="471"/>
        <v>7200</v>
      </c>
      <c r="K251" s="470">
        <f t="shared" si="472"/>
        <v>7900</v>
      </c>
      <c r="L251" s="470">
        <f t="shared" si="473"/>
        <v>8600</v>
      </c>
      <c r="M251" s="417"/>
      <c r="N251" s="417"/>
      <c r="O251" s="417"/>
      <c r="P251" s="417"/>
      <c r="Q251" s="417"/>
      <c r="Z251" s="367">
        <f t="shared" si="474"/>
        <v>3068.1010925776209</v>
      </c>
      <c r="AA251" s="367">
        <f t="shared" si="474"/>
        <v>3757.6379060524432</v>
      </c>
      <c r="AB251" s="367">
        <f t="shared" si="474"/>
        <v>4447.1747195272656</v>
      </c>
      <c r="AC251" s="367">
        <f t="shared" si="474"/>
        <v>5136.7115330020897</v>
      </c>
      <c r="AD251" s="367">
        <f t="shared" si="474"/>
        <v>5826.248346476912</v>
      </c>
      <c r="AE251" s="367">
        <f t="shared" si="474"/>
        <v>6515.7851599517362</v>
      </c>
      <c r="AF251" s="367">
        <f t="shared" si="474"/>
        <v>7205.3219734265585</v>
      </c>
      <c r="AG251" s="367">
        <f t="shared" si="475"/>
        <v>7894.8587869013809</v>
      </c>
      <c r="AH251" s="367">
        <f t="shared" si="475"/>
        <v>8584.3956003762032</v>
      </c>
      <c r="AJ251" s="367">
        <f t="shared" si="476"/>
        <v>68</v>
      </c>
      <c r="AK251" s="367">
        <f t="shared" si="477"/>
        <v>8653.2418380790932</v>
      </c>
      <c r="AL251" s="367">
        <f t="shared" ref="AL251:AL256" si="481">($G$453+(AJ251-$G$459)*$G$445*$G$460)*$G$461*$G$462</f>
        <v>8321.8313484463251</v>
      </c>
      <c r="AM251" s="800">
        <f t="shared" ref="AM251:AM256" si="482">IFERROR((AL251/$G$430)^(1/$G$445)-1,0)</f>
        <v>0.22636438906489675</v>
      </c>
      <c r="AT251" s="804">
        <f t="shared" si="478"/>
        <v>0</v>
      </c>
      <c r="AU251" s="804">
        <f t="shared" si="478"/>
        <v>0</v>
      </c>
      <c r="AV251" s="804">
        <f t="shared" si="478"/>
        <v>0</v>
      </c>
      <c r="AW251" s="804">
        <f t="shared" si="478"/>
        <v>0</v>
      </c>
      <c r="AX251" s="804">
        <f t="shared" si="478"/>
        <v>0</v>
      </c>
      <c r="AY251" s="804">
        <f t="shared" si="478"/>
        <v>1</v>
      </c>
      <c r="AZ251" s="804">
        <f t="shared" si="478"/>
        <v>4</v>
      </c>
      <c r="BA251" s="804">
        <f t="shared" ref="BA251:BB251" si="483">IF(AG291&lt;$G$449,0,MIN($G$446,1+IFERROR(INT((AG291-$G$449)/$G$467),0)))</f>
        <v>6</v>
      </c>
      <c r="BB251" s="804">
        <f t="shared" si="483"/>
        <v>9</v>
      </c>
    </row>
    <row r="252" spans="1:54" ht="15" customHeight="1">
      <c r="A252" s="417"/>
      <c r="B252" s="828"/>
      <c r="C252" s="801">
        <f>C253+$G$458</f>
        <v>64</v>
      </c>
      <c r="D252" s="470">
        <f t="shared" si="480"/>
        <v>3000</v>
      </c>
      <c r="E252" s="470">
        <f t="shared" si="466"/>
        <v>3600</v>
      </c>
      <c r="F252" s="470">
        <f t="shared" si="467"/>
        <v>4300</v>
      </c>
      <c r="G252" s="470">
        <f t="shared" si="468"/>
        <v>5000</v>
      </c>
      <c r="H252" s="470">
        <f t="shared" si="469"/>
        <v>5600</v>
      </c>
      <c r="I252" s="470">
        <f t="shared" si="470"/>
        <v>6300</v>
      </c>
      <c r="J252" s="470">
        <f t="shared" si="471"/>
        <v>6900</v>
      </c>
      <c r="K252" s="470">
        <f t="shared" si="472"/>
        <v>7600</v>
      </c>
      <c r="L252" s="470">
        <f t="shared" si="473"/>
        <v>8300</v>
      </c>
      <c r="M252" s="417"/>
      <c r="N252" s="417"/>
      <c r="O252" s="417"/>
      <c r="P252" s="417"/>
      <c r="Q252" s="417"/>
      <c r="Z252" s="367">
        <f t="shared" si="474"/>
        <v>2962.0782807204396</v>
      </c>
      <c r="AA252" s="367">
        <f t="shared" si="474"/>
        <v>3625.109391230968</v>
      </c>
      <c r="AB252" s="367">
        <f t="shared" si="474"/>
        <v>4288.1405017414945</v>
      </c>
      <c r="AC252" s="367">
        <f t="shared" si="474"/>
        <v>4951.1716122520229</v>
      </c>
      <c r="AD252" s="367">
        <f t="shared" si="474"/>
        <v>5614.2027227625513</v>
      </c>
      <c r="AE252" s="367">
        <f t="shared" si="474"/>
        <v>6277.2338332730797</v>
      </c>
      <c r="AF252" s="367">
        <f t="shared" si="474"/>
        <v>6940.2649437836062</v>
      </c>
      <c r="AG252" s="367">
        <f t="shared" si="475"/>
        <v>7603.2960542941346</v>
      </c>
      <c r="AH252" s="367">
        <f t="shared" si="475"/>
        <v>8266.3271648046612</v>
      </c>
      <c r="AJ252" s="367">
        <f t="shared" si="476"/>
        <v>64</v>
      </c>
      <c r="AK252" s="367">
        <f t="shared" si="477"/>
        <v>8320.6123781920887</v>
      </c>
      <c r="AL252" s="367">
        <f t="shared" si="481"/>
        <v>7906.0445235875686</v>
      </c>
      <c r="AM252" s="800">
        <f t="shared" si="482"/>
        <v>0.21385720427347321</v>
      </c>
      <c r="AT252" s="804">
        <f t="shared" si="478"/>
        <v>0</v>
      </c>
      <c r="AU252" s="804">
        <f t="shared" si="478"/>
        <v>0</v>
      </c>
      <c r="AV252" s="804">
        <f t="shared" si="478"/>
        <v>0</v>
      </c>
      <c r="AW252" s="804">
        <f t="shared" si="478"/>
        <v>0</v>
      </c>
      <c r="AX252" s="804">
        <f t="shared" si="478"/>
        <v>0</v>
      </c>
      <c r="AY252" s="804">
        <f t="shared" si="478"/>
        <v>2</v>
      </c>
      <c r="AZ252" s="804">
        <f t="shared" si="478"/>
        <v>4</v>
      </c>
      <c r="BA252" s="804">
        <f t="shared" ref="BA252:BB252" si="484">IF(AG292&lt;$G$449,0,MIN($G$446,1+IFERROR(INT((AG292-$G$449)/$G$467),0)))</f>
        <v>7</v>
      </c>
      <c r="BB252" s="804">
        <f t="shared" si="484"/>
        <v>9</v>
      </c>
    </row>
    <row r="253" spans="1:54" ht="15" customHeight="1">
      <c r="A253" s="417"/>
      <c r="B253" s="828"/>
      <c r="C253" s="801">
        <f>$G$457</f>
        <v>60</v>
      </c>
      <c r="D253" s="470">
        <f t="shared" si="480"/>
        <v>2900</v>
      </c>
      <c r="E253" s="470">
        <f t="shared" si="466"/>
        <v>3500</v>
      </c>
      <c r="F253" s="470">
        <f t="shared" si="467"/>
        <v>4100</v>
      </c>
      <c r="G253" s="470">
        <f t="shared" si="468"/>
        <v>4800</v>
      </c>
      <c r="H253" s="781">
        <f t="shared" si="469"/>
        <v>5400</v>
      </c>
      <c r="I253" s="470">
        <f t="shared" si="470"/>
        <v>6000</v>
      </c>
      <c r="J253" s="470">
        <f t="shared" si="471"/>
        <v>6700</v>
      </c>
      <c r="K253" s="470">
        <f t="shared" si="472"/>
        <v>7300</v>
      </c>
      <c r="L253" s="470">
        <f t="shared" si="473"/>
        <v>7900</v>
      </c>
      <c r="M253" s="417"/>
      <c r="N253" s="417"/>
      <c r="O253" s="417"/>
      <c r="P253" s="417"/>
      <c r="Q253" s="417"/>
      <c r="Z253" s="367">
        <f t="shared" si="474"/>
        <v>2856.0554688632583</v>
      </c>
      <c r="AA253" s="367">
        <f t="shared" si="474"/>
        <v>3492.5808764094909</v>
      </c>
      <c r="AB253" s="367">
        <f t="shared" si="474"/>
        <v>4129.1062839557217</v>
      </c>
      <c r="AC253" s="367">
        <f t="shared" si="474"/>
        <v>4765.6316915019543</v>
      </c>
      <c r="AD253" s="367">
        <f t="shared" si="474"/>
        <v>5402.1570990481869</v>
      </c>
      <c r="AE253" s="367">
        <f t="shared" si="474"/>
        <v>6038.6825065944195</v>
      </c>
      <c r="AF253" s="367">
        <f t="shared" si="474"/>
        <v>6675.2079141406521</v>
      </c>
      <c r="AG253" s="367">
        <f t="shared" si="475"/>
        <v>7311.7333216868828</v>
      </c>
      <c r="AH253" s="367">
        <f t="shared" si="475"/>
        <v>7948.2587292331154</v>
      </c>
      <c r="AJ253" s="367">
        <f t="shared" si="476"/>
        <v>60</v>
      </c>
      <c r="AK253" s="367">
        <f t="shared" si="477"/>
        <v>7987.9829183050824</v>
      </c>
      <c r="AL253" s="367">
        <f t="shared" si="481"/>
        <v>7490.2576987288121</v>
      </c>
      <c r="AM253" s="800">
        <f t="shared" si="482"/>
        <v>0.20081222595661186</v>
      </c>
      <c r="AT253" s="804">
        <f t="shared" si="478"/>
        <v>0</v>
      </c>
      <c r="AU253" s="804">
        <f t="shared" si="478"/>
        <v>0</v>
      </c>
      <c r="AV253" s="804">
        <f t="shared" si="478"/>
        <v>0</v>
      </c>
      <c r="AW253" s="804">
        <f t="shared" si="478"/>
        <v>0</v>
      </c>
      <c r="AX253" s="804">
        <f t="shared" si="478"/>
        <v>0</v>
      </c>
      <c r="AY253" s="804">
        <f t="shared" si="478"/>
        <v>2</v>
      </c>
      <c r="AZ253" s="804">
        <f t="shared" si="478"/>
        <v>5</v>
      </c>
      <c r="BA253" s="804">
        <f t="shared" ref="BA253:BB253" si="485">IF(AG293&lt;$G$449,0,MIN($G$446,1+IFERROR(INT((AG293-$G$449)/$G$467),0)))</f>
        <v>7</v>
      </c>
      <c r="BB253" s="804">
        <f t="shared" si="485"/>
        <v>9</v>
      </c>
    </row>
    <row r="254" spans="1:54" ht="15" customHeight="1">
      <c r="A254" s="417"/>
      <c r="B254" s="828"/>
      <c r="C254" s="801">
        <f>C253-$G$458</f>
        <v>56</v>
      </c>
      <c r="D254" s="470">
        <f t="shared" si="480"/>
        <v>2800</v>
      </c>
      <c r="E254" s="470">
        <f t="shared" si="466"/>
        <v>3400</v>
      </c>
      <c r="F254" s="470">
        <f t="shared" si="467"/>
        <v>4000</v>
      </c>
      <c r="G254" s="470">
        <f t="shared" si="468"/>
        <v>4600</v>
      </c>
      <c r="H254" s="470">
        <f t="shared" si="469"/>
        <v>5200</v>
      </c>
      <c r="I254" s="470">
        <f t="shared" si="470"/>
        <v>5800</v>
      </c>
      <c r="J254" s="470">
        <f t="shared" si="471"/>
        <v>6400</v>
      </c>
      <c r="K254" s="470">
        <f t="shared" si="472"/>
        <v>7000</v>
      </c>
      <c r="L254" s="470">
        <f t="shared" si="473"/>
        <v>7600</v>
      </c>
      <c r="M254" s="417"/>
      <c r="N254" s="417"/>
      <c r="O254" s="417"/>
      <c r="P254" s="417"/>
      <c r="Q254" s="417"/>
      <c r="Z254" s="367">
        <f t="shared" si="474"/>
        <v>2750.032657006077</v>
      </c>
      <c r="AA254" s="367">
        <f t="shared" si="474"/>
        <v>3360.0523615880138</v>
      </c>
      <c r="AB254" s="367">
        <f t="shared" si="474"/>
        <v>3970.0720661699506</v>
      </c>
      <c r="AC254" s="367">
        <f t="shared" si="474"/>
        <v>4580.0917707518875</v>
      </c>
      <c r="AD254" s="367">
        <f t="shared" si="474"/>
        <v>5190.1114753338261</v>
      </c>
      <c r="AE254" s="367">
        <f t="shared" si="474"/>
        <v>5800.1311799157629</v>
      </c>
      <c r="AF254" s="367">
        <f t="shared" si="474"/>
        <v>6410.1508844976997</v>
      </c>
      <c r="AG254" s="367">
        <f t="shared" si="475"/>
        <v>7020.1705890796366</v>
      </c>
      <c r="AH254" s="367">
        <f t="shared" si="475"/>
        <v>7630.1902936615734</v>
      </c>
      <c r="AJ254" s="367">
        <f t="shared" si="476"/>
        <v>56</v>
      </c>
      <c r="AK254" s="367">
        <f t="shared" si="477"/>
        <v>7655.3534584180779</v>
      </c>
      <c r="AL254" s="367">
        <f t="shared" si="481"/>
        <v>7074.4708738700547</v>
      </c>
      <c r="AM254" s="800">
        <f t="shared" si="482"/>
        <v>0.18717445096254881</v>
      </c>
      <c r="AT254" s="804">
        <f t="shared" si="478"/>
        <v>0</v>
      </c>
      <c r="AU254" s="804">
        <f t="shared" si="478"/>
        <v>0</v>
      </c>
      <c r="AV254" s="804">
        <f t="shared" si="478"/>
        <v>0</v>
      </c>
      <c r="AW254" s="804">
        <f t="shared" si="478"/>
        <v>0</v>
      </c>
      <c r="AX254" s="804">
        <f t="shared" si="478"/>
        <v>1</v>
      </c>
      <c r="AY254" s="804">
        <f t="shared" si="478"/>
        <v>3</v>
      </c>
      <c r="AZ254" s="804">
        <f t="shared" si="478"/>
        <v>5</v>
      </c>
      <c r="BA254" s="804">
        <f t="shared" ref="BA254:BB254" si="486">IF(AG294&lt;$G$449,0,MIN($G$446,1+IFERROR(INT((AG294-$G$449)/$G$467),0)))</f>
        <v>8</v>
      </c>
      <c r="BB254" s="804">
        <f t="shared" si="486"/>
        <v>10</v>
      </c>
    </row>
    <row r="255" spans="1:54" ht="15" customHeight="1">
      <c r="A255" s="417"/>
      <c r="B255" s="828"/>
      <c r="C255" s="801">
        <f>C254-$G$458</f>
        <v>52</v>
      </c>
      <c r="D255" s="470">
        <f t="shared" si="480"/>
        <v>2600</v>
      </c>
      <c r="E255" s="470">
        <f t="shared" si="466"/>
        <v>3200</v>
      </c>
      <c r="F255" s="470">
        <f t="shared" si="467"/>
        <v>3800</v>
      </c>
      <c r="G255" s="470">
        <f t="shared" si="468"/>
        <v>4400</v>
      </c>
      <c r="H255" s="470">
        <f t="shared" si="469"/>
        <v>5000</v>
      </c>
      <c r="I255" s="470">
        <f t="shared" si="470"/>
        <v>5600</v>
      </c>
      <c r="J255" s="470">
        <f t="shared" si="471"/>
        <v>6100</v>
      </c>
      <c r="K255" s="470">
        <f t="shared" si="472"/>
        <v>6700</v>
      </c>
      <c r="L255" s="470">
        <f t="shared" si="473"/>
        <v>7300</v>
      </c>
      <c r="M255" s="417"/>
      <c r="N255" s="417"/>
      <c r="O255" s="417"/>
      <c r="P255" s="417"/>
      <c r="Q255" s="417"/>
      <c r="Z255" s="367">
        <f t="shared" si="474"/>
        <v>2644.0098451488957</v>
      </c>
      <c r="AA255" s="367">
        <f t="shared" si="474"/>
        <v>3227.5238467665376</v>
      </c>
      <c r="AB255" s="367">
        <f t="shared" si="474"/>
        <v>3811.0378483841796</v>
      </c>
      <c r="AC255" s="367">
        <f t="shared" si="474"/>
        <v>4394.5518500018206</v>
      </c>
      <c r="AD255" s="367">
        <f t="shared" si="474"/>
        <v>4978.0658516194635</v>
      </c>
      <c r="AE255" s="367">
        <f t="shared" si="474"/>
        <v>5561.5798532371045</v>
      </c>
      <c r="AF255" s="367">
        <f t="shared" si="474"/>
        <v>6145.0938548547456</v>
      </c>
      <c r="AG255" s="367">
        <f t="shared" si="475"/>
        <v>6728.6078564723884</v>
      </c>
      <c r="AH255" s="367">
        <f t="shared" si="475"/>
        <v>7312.1218580900295</v>
      </c>
      <c r="AJ255" s="367">
        <f t="shared" si="476"/>
        <v>52</v>
      </c>
      <c r="AK255" s="367">
        <f t="shared" si="477"/>
        <v>7322.7239985310716</v>
      </c>
      <c r="AL255" s="367">
        <f t="shared" si="481"/>
        <v>6658.6840490112991</v>
      </c>
      <c r="AM255" s="800">
        <f t="shared" si="482"/>
        <v>0.17287959485981652</v>
      </c>
      <c r="AT255" s="804">
        <f t="shared" si="478"/>
        <v>0</v>
      </c>
      <c r="AU255" s="804">
        <f t="shared" si="478"/>
        <v>0</v>
      </c>
      <c r="AV255" s="804">
        <f t="shared" si="478"/>
        <v>0</v>
      </c>
      <c r="AW255" s="804">
        <f t="shared" si="478"/>
        <v>0</v>
      </c>
      <c r="AX255" s="804">
        <f t="shared" si="478"/>
        <v>2</v>
      </c>
      <c r="AY255" s="804">
        <f t="shared" si="478"/>
        <v>4</v>
      </c>
      <c r="AZ255" s="804">
        <f t="shared" si="478"/>
        <v>6</v>
      </c>
      <c r="BA255" s="804">
        <f t="shared" ref="BA255:BB255" si="487">IF(AG295&lt;$G$449,0,MIN($G$446,1+IFERROR(INT((AG295-$G$449)/$G$467),0)))</f>
        <v>8</v>
      </c>
      <c r="BB255" s="804">
        <f t="shared" si="487"/>
        <v>10</v>
      </c>
    </row>
    <row r="256" spans="1:54" ht="15" customHeight="1">
      <c r="A256" s="417"/>
      <c r="B256" s="829"/>
      <c r="C256" s="802">
        <f>C255-$G$458</f>
        <v>48</v>
      </c>
      <c r="D256" s="771">
        <f t="shared" si="480"/>
        <v>2500</v>
      </c>
      <c r="E256" s="771">
        <f t="shared" si="466"/>
        <v>3100</v>
      </c>
      <c r="F256" s="771">
        <f t="shared" si="467"/>
        <v>3700</v>
      </c>
      <c r="G256" s="771">
        <f t="shared" si="468"/>
        <v>4200</v>
      </c>
      <c r="H256" s="771">
        <f t="shared" si="469"/>
        <v>4800</v>
      </c>
      <c r="I256" s="771">
        <f t="shared" si="470"/>
        <v>5300</v>
      </c>
      <c r="J256" s="771">
        <f t="shared" si="471"/>
        <v>5900</v>
      </c>
      <c r="K256" s="771">
        <f t="shared" si="472"/>
        <v>6400</v>
      </c>
      <c r="L256" s="771">
        <f t="shared" si="473"/>
        <v>7000</v>
      </c>
      <c r="M256" s="417"/>
      <c r="N256" s="417"/>
      <c r="O256" s="417"/>
      <c r="P256" s="417"/>
      <c r="Q256" s="417"/>
      <c r="Z256" s="367">
        <f t="shared" si="474"/>
        <v>2537.9870332917144</v>
      </c>
      <c r="AA256" s="367">
        <f t="shared" si="474"/>
        <v>3094.9953319450615</v>
      </c>
      <c r="AB256" s="367">
        <f t="shared" si="474"/>
        <v>3652.0036305984067</v>
      </c>
      <c r="AC256" s="367">
        <f t="shared" si="474"/>
        <v>4209.0119292517538</v>
      </c>
      <c r="AD256" s="367">
        <f t="shared" si="474"/>
        <v>4766.0202279051</v>
      </c>
      <c r="AE256" s="367">
        <f t="shared" si="474"/>
        <v>5323.0285265584462</v>
      </c>
      <c r="AF256" s="367">
        <f t="shared" si="474"/>
        <v>5880.0368252117933</v>
      </c>
      <c r="AG256" s="367">
        <f t="shared" si="475"/>
        <v>6437.0451238651403</v>
      </c>
      <c r="AH256" s="367">
        <f t="shared" si="475"/>
        <v>6994.0534225184856</v>
      </c>
      <c r="AJ256" s="367">
        <f t="shared" si="476"/>
        <v>48</v>
      </c>
      <c r="AK256" s="367">
        <f t="shared" si="477"/>
        <v>6990.0945386440662</v>
      </c>
      <c r="AL256" s="367">
        <f t="shared" si="481"/>
        <v>6242.8972241525407</v>
      </c>
      <c r="AM256" s="800">
        <f t="shared" si="482"/>
        <v>0.15785182924075603</v>
      </c>
      <c r="AT256" s="804">
        <f t="shared" si="478"/>
        <v>0</v>
      </c>
      <c r="AU256" s="804">
        <f t="shared" si="478"/>
        <v>0</v>
      </c>
      <c r="AV256" s="804">
        <f t="shared" si="478"/>
        <v>0</v>
      </c>
      <c r="AW256" s="804">
        <f t="shared" si="478"/>
        <v>0</v>
      </c>
      <c r="AX256" s="804">
        <f t="shared" si="478"/>
        <v>2</v>
      </c>
      <c r="AY256" s="804">
        <f t="shared" si="478"/>
        <v>4</v>
      </c>
      <c r="AZ256" s="804">
        <f t="shared" si="478"/>
        <v>6</v>
      </c>
      <c r="BA256" s="804">
        <f t="shared" ref="BA256:BB256" si="488">IF(AG296&lt;$G$449,0,MIN($G$446,1+IFERROR(INT((AG296-$G$449)/$G$467),0)))</f>
        <v>8</v>
      </c>
      <c r="BB256" s="804">
        <f t="shared" si="488"/>
        <v>10</v>
      </c>
    </row>
    <row r="257" spans="1:54" ht="3.95" hidden="1" customHeight="1">
      <c r="A257" s="417"/>
      <c r="B257" s="423" t="str">
        <f>"Ben's Yr 5 value less Keystone today (G430); Keystone Yr 5 value = Yr 5 revenue (helper AK) × column multiple; Topkey growth held at model (G437); rollover fixed at "&amp;TEXT($G$436,"0%")</f>
        <v>Ben's Yr 5 value less Keystone today (G430); Keystone Yr 5 value = Yr 5 revenue (helper AK) × column multiple; Topkey growth held at model (G437); rollover fixed at 30%</v>
      </c>
      <c r="C257" s="784"/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7"/>
      <c r="O257" s="417"/>
      <c r="P257" s="417"/>
      <c r="Q257" s="417"/>
    </row>
    <row r="258" spans="1:54" ht="3.9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7"/>
      <c r="O258" s="417"/>
      <c r="P258" s="417"/>
      <c r="Q258" s="417"/>
    </row>
    <row r="259" spans="1:54" ht="15" customHeight="1">
      <c r="A259" s="417"/>
      <c r="B259" s="148" t="s">
        <v>2756</v>
      </c>
      <c r="C259" s="417"/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7"/>
      <c r="O259" s="417"/>
      <c r="P259" s="417"/>
      <c r="Q259" s="417"/>
    </row>
    <row r="260" spans="1:54" ht="2.1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7"/>
      <c r="O260" s="417"/>
      <c r="P260" s="417"/>
      <c r="Q260" s="417"/>
    </row>
    <row r="261" spans="1:54" ht="12.75" customHeight="1">
      <c r="A261" s="417"/>
      <c r="B261" s="454"/>
      <c r="C261" s="454"/>
      <c r="D261" s="767" t="s">
        <v>2751</v>
      </c>
      <c r="E261" s="767"/>
      <c r="F261" s="767"/>
      <c r="G261" s="767"/>
      <c r="H261" s="767"/>
      <c r="I261" s="767"/>
      <c r="J261" s="767"/>
      <c r="K261" s="767"/>
      <c r="L261" s="767"/>
      <c r="M261" s="417"/>
      <c r="N261" s="417"/>
      <c r="O261" s="417"/>
      <c r="P261" s="417"/>
      <c r="Q261" s="417"/>
    </row>
    <row r="262" spans="1:54" ht="12.75" customHeight="1">
      <c r="A262" s="417"/>
      <c r="B262" s="454"/>
      <c r="C262" s="454"/>
      <c r="D262" s="815">
        <f>E262-$G$466</f>
        <v>1</v>
      </c>
      <c r="E262" s="815">
        <f>F262-$G$466</f>
        <v>1.25</v>
      </c>
      <c r="F262" s="815">
        <f>G262-$G$466</f>
        <v>1.5</v>
      </c>
      <c r="G262" s="815">
        <f>H262-$G$466</f>
        <v>1.75</v>
      </c>
      <c r="H262" s="815">
        <f>$G$465</f>
        <v>2</v>
      </c>
      <c r="I262" s="815">
        <f>H262+$G$466</f>
        <v>2.25</v>
      </c>
      <c r="J262" s="815">
        <f>I262+$G$466</f>
        <v>2.5</v>
      </c>
      <c r="K262" s="815">
        <f>J262+$G$466</f>
        <v>2.75</v>
      </c>
      <c r="L262" s="815">
        <f>K262+$G$466</f>
        <v>3</v>
      </c>
      <c r="M262" s="417"/>
      <c r="N262" s="417"/>
      <c r="O262" s="417"/>
      <c r="P262" s="417"/>
      <c r="Q262" s="417"/>
      <c r="AT262" s="772" t="s">
        <v>2614</v>
      </c>
      <c r="AU262" s="427"/>
      <c r="AV262" s="427"/>
      <c r="AW262" s="427"/>
      <c r="AX262" s="427"/>
      <c r="AY262" s="427"/>
      <c r="AZ262" s="427"/>
      <c r="BA262" s="427"/>
      <c r="BB262" s="427"/>
    </row>
    <row r="263" spans="1:54" ht="15" customHeight="1">
      <c r="A263" s="417"/>
      <c r="B263" s="827" t="s">
        <v>2591</v>
      </c>
      <c r="C263" s="801">
        <f>C264+$G$458</f>
        <v>72</v>
      </c>
      <c r="D263" s="490">
        <f>IFERROR(Z250/$G$430,0)</f>
        <v>1.0580413014782675</v>
      </c>
      <c r="E263" s="490">
        <f t="shared" ref="E263:E269" si="489">IFERROR(AA250/$G$430,0)</f>
        <v>1.2967221402913067</v>
      </c>
      <c r="F263" s="490">
        <f t="shared" ref="F263:F269" si="490">IFERROR(AB250/$G$430,0)</f>
        <v>1.5354029791043462</v>
      </c>
      <c r="G263" s="490">
        <f t="shared" ref="G263:G269" si="491">IFERROR(AC250/$G$430,0)</f>
        <v>1.7740838179173855</v>
      </c>
      <c r="H263" s="490">
        <f t="shared" ref="H263:H269" si="492">IFERROR(AD250/$G$430,0)</f>
        <v>2.0127646567304249</v>
      </c>
      <c r="I263" s="490">
        <f t="shared" ref="I263:I269" si="493">IFERROR(AE250/$G$430,0)</f>
        <v>2.2514454955434644</v>
      </c>
      <c r="J263" s="490">
        <f t="shared" ref="J263:J269" si="494">IFERROR(AF250/$G$430,0)</f>
        <v>2.4901263343565043</v>
      </c>
      <c r="K263" s="490">
        <f t="shared" ref="K263:K269" si="495">IFERROR(AG250/$G$430,0)</f>
        <v>2.7288071731695429</v>
      </c>
      <c r="L263" s="490">
        <f t="shared" ref="L263:L269" si="496">IFERROR(AH250/$G$430,0)</f>
        <v>2.9674880119825824</v>
      </c>
      <c r="M263" s="417"/>
      <c r="N263" s="417"/>
      <c r="O263" s="417"/>
      <c r="P263" s="417"/>
      <c r="Q263" s="417"/>
      <c r="AT263" s="804">
        <f t="shared" ref="AT263:AZ269" si="497">IF(Z290&lt;$G$449,0,MIN($G$446,1+IFERROR(INT((Z290-$G$449)/$G$467),0)))</f>
        <v>0</v>
      </c>
      <c r="AU263" s="804">
        <f t="shared" si="497"/>
        <v>0</v>
      </c>
      <c r="AV263" s="804">
        <f t="shared" si="497"/>
        <v>0</v>
      </c>
      <c r="AW263" s="804">
        <f t="shared" si="497"/>
        <v>0</v>
      </c>
      <c r="AX263" s="804">
        <f t="shared" si="497"/>
        <v>0</v>
      </c>
      <c r="AY263" s="804">
        <f t="shared" si="497"/>
        <v>1</v>
      </c>
      <c r="AZ263" s="804">
        <f t="shared" si="497"/>
        <v>3</v>
      </c>
      <c r="BA263" s="804">
        <f t="shared" ref="BA263:BB263" si="498">IF(AG290&lt;$G$449,0,MIN($G$446,1+IFERROR(INT((AG290-$G$449)/$G$467),0)))</f>
        <v>6</v>
      </c>
      <c r="BB263" s="804">
        <f t="shared" si="498"/>
        <v>8</v>
      </c>
    </row>
    <row r="264" spans="1:54" ht="15" customHeight="1">
      <c r="A264" s="417"/>
      <c r="B264" s="828"/>
      <c r="C264" s="801">
        <f>C265+$G$458</f>
        <v>68</v>
      </c>
      <c r="D264" s="490">
        <f t="shared" ref="D264:D269" si="499">IFERROR(Z251/$G$430,0)</f>
        <v>1.0227003641925403</v>
      </c>
      <c r="E264" s="490">
        <f t="shared" si="489"/>
        <v>1.2525459686841478</v>
      </c>
      <c r="F264" s="490">
        <f t="shared" si="490"/>
        <v>1.4823915731757551</v>
      </c>
      <c r="G264" s="490">
        <f t="shared" si="491"/>
        <v>1.7122371776673633</v>
      </c>
      <c r="H264" s="490">
        <f t="shared" si="492"/>
        <v>1.9420827821589708</v>
      </c>
      <c r="I264" s="490">
        <f t="shared" si="493"/>
        <v>2.1719283866505785</v>
      </c>
      <c r="J264" s="490">
        <f t="shared" si="494"/>
        <v>2.401773991142186</v>
      </c>
      <c r="K264" s="490">
        <f t="shared" si="495"/>
        <v>2.6316195956337936</v>
      </c>
      <c r="L264" s="490">
        <f t="shared" si="496"/>
        <v>2.8614652001254011</v>
      </c>
      <c r="M264" s="417"/>
      <c r="N264" s="417"/>
      <c r="O264" s="417"/>
      <c r="P264" s="417"/>
      <c r="Q264" s="417"/>
      <c r="AT264" s="804">
        <f t="shared" si="497"/>
        <v>0</v>
      </c>
      <c r="AU264" s="804">
        <f t="shared" si="497"/>
        <v>0</v>
      </c>
      <c r="AV264" s="804">
        <f t="shared" si="497"/>
        <v>0</v>
      </c>
      <c r="AW264" s="804">
        <f t="shared" si="497"/>
        <v>0</v>
      </c>
      <c r="AX264" s="804">
        <f t="shared" si="497"/>
        <v>0</v>
      </c>
      <c r="AY264" s="804">
        <f t="shared" si="497"/>
        <v>1</v>
      </c>
      <c r="AZ264" s="804">
        <f t="shared" si="497"/>
        <v>4</v>
      </c>
      <c r="BA264" s="804">
        <f t="shared" ref="BA264:BB264" si="500">IF(AG291&lt;$G$449,0,MIN($G$446,1+IFERROR(INT((AG291-$G$449)/$G$467),0)))</f>
        <v>6</v>
      </c>
      <c r="BB264" s="804">
        <f t="shared" si="500"/>
        <v>9</v>
      </c>
    </row>
    <row r="265" spans="1:54" ht="15" customHeight="1">
      <c r="A265" s="417"/>
      <c r="B265" s="828"/>
      <c r="C265" s="801">
        <f>C266+$G$458</f>
        <v>64</v>
      </c>
      <c r="D265" s="490">
        <f t="shared" si="499"/>
        <v>0.98735942690681322</v>
      </c>
      <c r="E265" s="490">
        <f t="shared" si="489"/>
        <v>1.2083697970769893</v>
      </c>
      <c r="F265" s="490">
        <f t="shared" si="490"/>
        <v>1.4293801672471649</v>
      </c>
      <c r="G265" s="490">
        <f t="shared" si="491"/>
        <v>1.6503905374173409</v>
      </c>
      <c r="H265" s="490">
        <f t="shared" si="492"/>
        <v>1.8714009075875171</v>
      </c>
      <c r="I265" s="490">
        <f t="shared" si="493"/>
        <v>2.0924112777576931</v>
      </c>
      <c r="J265" s="490">
        <f t="shared" si="494"/>
        <v>2.3134216479278686</v>
      </c>
      <c r="K265" s="490">
        <f t="shared" si="495"/>
        <v>2.5344320180980451</v>
      </c>
      <c r="L265" s="490">
        <f t="shared" si="496"/>
        <v>2.7554423882682202</v>
      </c>
      <c r="M265" s="417"/>
      <c r="N265" s="417"/>
      <c r="O265" s="417"/>
      <c r="P265" s="417"/>
      <c r="Q265" s="417"/>
      <c r="AT265" s="804">
        <f t="shared" si="497"/>
        <v>0</v>
      </c>
      <c r="AU265" s="804">
        <f t="shared" si="497"/>
        <v>0</v>
      </c>
      <c r="AV265" s="804">
        <f t="shared" si="497"/>
        <v>0</v>
      </c>
      <c r="AW265" s="804">
        <f t="shared" si="497"/>
        <v>0</v>
      </c>
      <c r="AX265" s="804">
        <f t="shared" si="497"/>
        <v>0</v>
      </c>
      <c r="AY265" s="804">
        <f t="shared" si="497"/>
        <v>2</v>
      </c>
      <c r="AZ265" s="804">
        <f t="shared" si="497"/>
        <v>4</v>
      </c>
      <c r="BA265" s="804">
        <f t="shared" ref="BA265:BB265" si="501">IF(AG292&lt;$G$449,0,MIN($G$446,1+IFERROR(INT((AG292-$G$449)/$G$467),0)))</f>
        <v>7</v>
      </c>
      <c r="BB265" s="804">
        <f t="shared" si="501"/>
        <v>9</v>
      </c>
    </row>
    <row r="266" spans="1:54" ht="15" customHeight="1">
      <c r="A266" s="417"/>
      <c r="B266" s="828"/>
      <c r="C266" s="801">
        <f>$G$457</f>
        <v>60</v>
      </c>
      <c r="D266" s="490">
        <f t="shared" si="499"/>
        <v>0.95201848962108604</v>
      </c>
      <c r="E266" s="490">
        <f t="shared" si="489"/>
        <v>1.1641936254698302</v>
      </c>
      <c r="F266" s="490">
        <f t="shared" si="490"/>
        <v>1.376368761318574</v>
      </c>
      <c r="G266" s="490">
        <f t="shared" si="491"/>
        <v>1.588543897167318</v>
      </c>
      <c r="H266" s="782">
        <f t="shared" si="492"/>
        <v>1.8007190330160623</v>
      </c>
      <c r="I266" s="490">
        <f t="shared" si="493"/>
        <v>2.0128941688648063</v>
      </c>
      <c r="J266" s="490">
        <f t="shared" si="494"/>
        <v>2.2250693047135508</v>
      </c>
      <c r="K266" s="490">
        <f t="shared" si="495"/>
        <v>2.4372444405622944</v>
      </c>
      <c r="L266" s="490">
        <f t="shared" si="496"/>
        <v>2.6494195764110384</v>
      </c>
      <c r="M266" s="417"/>
      <c r="N266" s="417"/>
      <c r="O266" s="417"/>
      <c r="P266" s="417"/>
      <c r="Q266" s="417"/>
      <c r="AT266" s="804">
        <f t="shared" si="497"/>
        <v>0</v>
      </c>
      <c r="AU266" s="804">
        <f t="shared" si="497"/>
        <v>0</v>
      </c>
      <c r="AV266" s="804">
        <f t="shared" si="497"/>
        <v>0</v>
      </c>
      <c r="AW266" s="804">
        <f t="shared" si="497"/>
        <v>0</v>
      </c>
      <c r="AX266" s="804">
        <f t="shared" si="497"/>
        <v>0</v>
      </c>
      <c r="AY266" s="804">
        <f t="shared" si="497"/>
        <v>2</v>
      </c>
      <c r="AZ266" s="804">
        <f t="shared" si="497"/>
        <v>5</v>
      </c>
      <c r="BA266" s="804">
        <f t="shared" ref="BA266:BB266" si="502">IF(AG293&lt;$G$449,0,MIN($G$446,1+IFERROR(INT((AG293-$G$449)/$G$467),0)))</f>
        <v>7</v>
      </c>
      <c r="BB266" s="804">
        <f t="shared" si="502"/>
        <v>9</v>
      </c>
    </row>
    <row r="267" spans="1:54" ht="15" customHeight="1">
      <c r="A267" s="417"/>
      <c r="B267" s="828"/>
      <c r="C267" s="801">
        <f>C266-$G$458</f>
        <v>56</v>
      </c>
      <c r="D267" s="490">
        <f t="shared" si="499"/>
        <v>0.91667755233535897</v>
      </c>
      <c r="E267" s="490">
        <f t="shared" si="489"/>
        <v>1.1200174538626713</v>
      </c>
      <c r="F267" s="490">
        <f t="shared" si="490"/>
        <v>1.3233573553899836</v>
      </c>
      <c r="G267" s="490">
        <f t="shared" si="491"/>
        <v>1.5266972569172959</v>
      </c>
      <c r="H267" s="490">
        <f t="shared" si="492"/>
        <v>1.7300371584446086</v>
      </c>
      <c r="I267" s="490">
        <f t="shared" si="493"/>
        <v>1.9333770599719209</v>
      </c>
      <c r="J267" s="490">
        <f t="shared" si="494"/>
        <v>2.1367169614992334</v>
      </c>
      <c r="K267" s="490">
        <f t="shared" si="495"/>
        <v>2.3400568630265455</v>
      </c>
      <c r="L267" s="490">
        <f t="shared" si="496"/>
        <v>2.543396764553858</v>
      </c>
      <c r="M267" s="417"/>
      <c r="N267" s="417"/>
      <c r="O267" s="417"/>
      <c r="P267" s="417"/>
      <c r="Q267" s="417"/>
      <c r="AT267" s="804">
        <f t="shared" si="497"/>
        <v>0</v>
      </c>
      <c r="AU267" s="804">
        <f t="shared" si="497"/>
        <v>0</v>
      </c>
      <c r="AV267" s="804">
        <f t="shared" si="497"/>
        <v>0</v>
      </c>
      <c r="AW267" s="804">
        <f t="shared" si="497"/>
        <v>0</v>
      </c>
      <c r="AX267" s="804">
        <f t="shared" si="497"/>
        <v>1</v>
      </c>
      <c r="AY267" s="804">
        <f t="shared" si="497"/>
        <v>3</v>
      </c>
      <c r="AZ267" s="804">
        <f t="shared" si="497"/>
        <v>5</v>
      </c>
      <c r="BA267" s="804">
        <f t="shared" ref="BA267:BB267" si="503">IF(AG294&lt;$G$449,0,MIN($G$446,1+IFERROR(INT((AG294-$G$449)/$G$467),0)))</f>
        <v>8</v>
      </c>
      <c r="BB267" s="804">
        <f t="shared" si="503"/>
        <v>10</v>
      </c>
    </row>
    <row r="268" spans="1:54" ht="15" customHeight="1">
      <c r="A268" s="417"/>
      <c r="B268" s="828"/>
      <c r="C268" s="801">
        <f>C267-$G$458</f>
        <v>52</v>
      </c>
      <c r="D268" s="490">
        <f t="shared" si="499"/>
        <v>0.8813366150496319</v>
      </c>
      <c r="E268" s="490">
        <f t="shared" si="489"/>
        <v>1.0758412822555126</v>
      </c>
      <c r="F268" s="490">
        <f t="shared" si="490"/>
        <v>1.2703459494613931</v>
      </c>
      <c r="G268" s="490">
        <f t="shared" si="491"/>
        <v>1.4648506166672735</v>
      </c>
      <c r="H268" s="490">
        <f t="shared" si="492"/>
        <v>1.6593552838731545</v>
      </c>
      <c r="I268" s="490">
        <f t="shared" si="493"/>
        <v>1.8538599510790348</v>
      </c>
      <c r="J268" s="490">
        <f t="shared" si="494"/>
        <v>2.0483646182849151</v>
      </c>
      <c r="K268" s="490">
        <f t="shared" si="495"/>
        <v>2.2428692854907961</v>
      </c>
      <c r="L268" s="490">
        <f t="shared" si="496"/>
        <v>2.4373739526966767</v>
      </c>
      <c r="M268" s="417"/>
      <c r="N268" s="417"/>
      <c r="O268" s="417"/>
      <c r="P268" s="417"/>
      <c r="Q268" s="417"/>
      <c r="AT268" s="804">
        <f t="shared" si="497"/>
        <v>0</v>
      </c>
      <c r="AU268" s="804">
        <f t="shared" si="497"/>
        <v>0</v>
      </c>
      <c r="AV268" s="804">
        <f t="shared" si="497"/>
        <v>0</v>
      </c>
      <c r="AW268" s="804">
        <f t="shared" si="497"/>
        <v>0</v>
      </c>
      <c r="AX268" s="804">
        <f t="shared" si="497"/>
        <v>2</v>
      </c>
      <c r="AY268" s="804">
        <f t="shared" si="497"/>
        <v>4</v>
      </c>
      <c r="AZ268" s="804">
        <f t="shared" si="497"/>
        <v>6</v>
      </c>
      <c r="BA268" s="804">
        <f t="shared" ref="BA268:BB268" si="504">IF(AG295&lt;$G$449,0,MIN($G$446,1+IFERROR(INT((AG295-$G$449)/$G$467),0)))</f>
        <v>8</v>
      </c>
      <c r="BB268" s="804">
        <f t="shared" si="504"/>
        <v>10</v>
      </c>
    </row>
    <row r="269" spans="1:54" ht="15" customHeight="1">
      <c r="A269" s="417"/>
      <c r="B269" s="829"/>
      <c r="C269" s="802">
        <f>C268-$G$458</f>
        <v>48</v>
      </c>
      <c r="D269" s="783">
        <f t="shared" si="499"/>
        <v>0.84599567776390483</v>
      </c>
      <c r="E269" s="783">
        <f t="shared" si="489"/>
        <v>1.0316651106483539</v>
      </c>
      <c r="F269" s="783">
        <f t="shared" si="490"/>
        <v>1.2173345435328022</v>
      </c>
      <c r="G269" s="783">
        <f t="shared" si="491"/>
        <v>1.4030039764172513</v>
      </c>
      <c r="H269" s="783">
        <f t="shared" si="492"/>
        <v>1.5886734093017001</v>
      </c>
      <c r="I269" s="783">
        <f t="shared" si="493"/>
        <v>1.7743428421861487</v>
      </c>
      <c r="J269" s="783">
        <f t="shared" si="494"/>
        <v>1.9600122750705977</v>
      </c>
      <c r="K269" s="783">
        <f t="shared" si="495"/>
        <v>2.1456817079550468</v>
      </c>
      <c r="L269" s="783">
        <f t="shared" si="496"/>
        <v>2.3313511408394954</v>
      </c>
      <c r="M269" s="417"/>
      <c r="N269" s="417"/>
      <c r="O269" s="417"/>
      <c r="P269" s="417"/>
      <c r="Q269" s="417"/>
      <c r="AT269" s="804">
        <f t="shared" si="497"/>
        <v>0</v>
      </c>
      <c r="AU269" s="804">
        <f t="shared" si="497"/>
        <v>0</v>
      </c>
      <c r="AV269" s="804">
        <f t="shared" si="497"/>
        <v>0</v>
      </c>
      <c r="AW269" s="804">
        <f t="shared" si="497"/>
        <v>0</v>
      </c>
      <c r="AX269" s="804">
        <f t="shared" si="497"/>
        <v>2</v>
      </c>
      <c r="AY269" s="804">
        <f t="shared" si="497"/>
        <v>4</v>
      </c>
      <c r="AZ269" s="804">
        <f t="shared" si="497"/>
        <v>6</v>
      </c>
      <c r="BA269" s="804">
        <f t="shared" ref="BA269:BB269" si="505">IF(AG296&lt;$G$449,0,MIN($G$446,1+IFERROR(INT((AG296-$G$449)/$G$467),0)))</f>
        <v>8</v>
      </c>
      <c r="BB269" s="804">
        <f t="shared" si="505"/>
        <v>10</v>
      </c>
    </row>
    <row r="270" spans="1:54" ht="3.95" hidden="1" customHeight="1">
      <c r="A270" s="417"/>
      <c r="B270" s="423" t="str">
        <f>"Ben's Year 5 total value ÷ Keystone value today (G430), less 1; Topkey growth held at model (G437); rollover fixed at "&amp;TEXT($G$436,"0%")</f>
        <v>Ben's Year 5 total value ÷ Keystone value today (G430), less 1; Topkey growth held at model (G437); rollover fixed at 30%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7"/>
      <c r="O270" s="417"/>
      <c r="P270" s="417"/>
      <c r="Q270" s="417"/>
    </row>
    <row r="271" spans="1:54" ht="3.95" customHeight="1">
      <c r="A271" s="417"/>
      <c r="M271" s="417"/>
      <c r="N271" s="417"/>
      <c r="O271" s="417"/>
      <c r="P271" s="417"/>
      <c r="Q271" s="417"/>
    </row>
    <row r="272" spans="1:54" ht="15" customHeight="1">
      <c r="A272" s="417"/>
      <c r="B272" s="148" t="s">
        <v>2757</v>
      </c>
      <c r="C272" s="417"/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7"/>
      <c r="O272" s="417"/>
      <c r="P272" s="417"/>
      <c r="Q272" s="417"/>
    </row>
    <row r="273" spans="1:109" ht="2.1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7"/>
      <c r="O273" s="417"/>
      <c r="P273" s="417"/>
      <c r="Q273" s="417"/>
    </row>
    <row r="274" spans="1:109" ht="12.75" customHeight="1">
      <c r="A274" s="417"/>
      <c r="B274" s="454"/>
      <c r="C274" s="454"/>
      <c r="D274" s="767" t="s">
        <v>2751</v>
      </c>
      <c r="E274" s="767"/>
      <c r="F274" s="767"/>
      <c r="G274" s="767"/>
      <c r="H274" s="767"/>
      <c r="I274" s="767"/>
      <c r="J274" s="767"/>
      <c r="K274" s="767"/>
      <c r="L274" s="767"/>
      <c r="M274" s="417"/>
      <c r="N274" s="417"/>
      <c r="O274" s="417"/>
      <c r="P274" s="417"/>
      <c r="Q274" s="417"/>
      <c r="BD274" s="772" t="s">
        <v>2803</v>
      </c>
      <c r="BE274" s="772"/>
      <c r="BF274" s="772"/>
      <c r="BG274" s="772"/>
      <c r="BH274" s="772"/>
      <c r="BI274" s="772"/>
      <c r="BJ274" s="772" t="s">
        <v>2804</v>
      </c>
      <c r="BK274" s="772"/>
      <c r="BL274" s="772"/>
      <c r="BM274" s="772"/>
      <c r="BN274" s="772"/>
      <c r="BO274" s="772"/>
      <c r="BP274" s="772" t="s">
        <v>2805</v>
      </c>
      <c r="BQ274" s="772"/>
      <c r="BR274" s="772"/>
      <c r="BS274" s="772"/>
      <c r="BT274" s="772"/>
      <c r="BU274" s="772"/>
      <c r="BV274" s="772" t="s">
        <v>2806</v>
      </c>
      <c r="BW274" s="772"/>
      <c r="BX274" s="772"/>
      <c r="BY274" s="772"/>
      <c r="BZ274" s="772"/>
      <c r="CA274" s="772"/>
      <c r="CB274" s="772" t="s">
        <v>2807</v>
      </c>
      <c r="CC274" s="772"/>
      <c r="CD274" s="772"/>
      <c r="CE274" s="772"/>
      <c r="CF274" s="772"/>
      <c r="CG274" s="772"/>
      <c r="CH274" s="772" t="s">
        <v>2808</v>
      </c>
      <c r="CI274" s="772"/>
      <c r="CJ274" s="772"/>
      <c r="CK274" s="772"/>
      <c r="CL274" s="772"/>
      <c r="CM274" s="772"/>
      <c r="CN274" s="772" t="s">
        <v>2809</v>
      </c>
      <c r="CO274" s="772"/>
      <c r="CP274" s="772"/>
      <c r="CQ274" s="772"/>
      <c r="CR274" s="772"/>
      <c r="CS274" s="772"/>
      <c r="CT274" s="772" t="s">
        <v>2810</v>
      </c>
      <c r="CU274" s="772"/>
      <c r="CV274" s="772"/>
      <c r="CW274" s="772"/>
      <c r="CX274" s="772"/>
      <c r="CY274" s="772"/>
      <c r="CZ274" s="772" t="s">
        <v>2811</v>
      </c>
      <c r="DA274" s="772"/>
      <c r="DB274" s="772"/>
      <c r="DC274" s="772"/>
      <c r="DD274" s="772"/>
      <c r="DE274" s="772"/>
    </row>
    <row r="275" spans="1:109" ht="12.75" customHeight="1">
      <c r="A275" s="417"/>
      <c r="B275" s="454"/>
      <c r="C275" s="454"/>
      <c r="D275" s="815">
        <f>E275-$G$466</f>
        <v>1</v>
      </c>
      <c r="E275" s="815">
        <f>F275-$G$466</f>
        <v>1.25</v>
      </c>
      <c r="F275" s="815">
        <f>G275-$G$466</f>
        <v>1.5</v>
      </c>
      <c r="G275" s="815">
        <f>H275-$G$466</f>
        <v>1.75</v>
      </c>
      <c r="H275" s="815">
        <f>$G$465</f>
        <v>2</v>
      </c>
      <c r="I275" s="815">
        <f>H275+$G$466</f>
        <v>2.25</v>
      </c>
      <c r="J275" s="815">
        <f>I275+$G$466</f>
        <v>2.5</v>
      </c>
      <c r="K275" s="815">
        <f>J275+$G$466</f>
        <v>2.75</v>
      </c>
      <c r="L275" s="815">
        <f>K275+$G$466</f>
        <v>3</v>
      </c>
      <c r="M275" s="417"/>
      <c r="N275" s="417"/>
      <c r="O275" s="417"/>
      <c r="P275" s="417"/>
      <c r="Q275" s="417"/>
      <c r="AT275" s="772" t="s">
        <v>2614</v>
      </c>
      <c r="AU275" s="427"/>
      <c r="AV275" s="427"/>
      <c r="AW275" s="427"/>
      <c r="AX275" s="427"/>
      <c r="AY275" s="427"/>
      <c r="AZ275" s="427"/>
      <c r="BA275" s="427"/>
      <c r="BB275" s="427"/>
      <c r="BD275" s="818">
        <f>$S$9</f>
        <v>0</v>
      </c>
      <c r="BE275" s="818">
        <f>$T$9</f>
        <v>1</v>
      </c>
      <c r="BF275" s="818">
        <f>$U$9</f>
        <v>2</v>
      </c>
      <c r="BG275" s="818">
        <f>$V$9</f>
        <v>3</v>
      </c>
      <c r="BH275" s="818">
        <f>$W$9</f>
        <v>4</v>
      </c>
      <c r="BI275" s="818">
        <f>$X$9</f>
        <v>5</v>
      </c>
      <c r="BJ275" s="818">
        <f>$S$9</f>
        <v>0</v>
      </c>
      <c r="BK275" s="818">
        <f>$T$9</f>
        <v>1</v>
      </c>
      <c r="BL275" s="818">
        <f>$U$9</f>
        <v>2</v>
      </c>
      <c r="BM275" s="818">
        <f>$V$9</f>
        <v>3</v>
      </c>
      <c r="BN275" s="818">
        <f>$W$9</f>
        <v>4</v>
      </c>
      <c r="BO275" s="818">
        <f>$X$9</f>
        <v>5</v>
      </c>
      <c r="BP275" s="818">
        <f>$S$9</f>
        <v>0</v>
      </c>
      <c r="BQ275" s="818">
        <f>$T$9</f>
        <v>1</v>
      </c>
      <c r="BR275" s="818">
        <f>$U$9</f>
        <v>2</v>
      </c>
      <c r="BS275" s="818">
        <f>$V$9</f>
        <v>3</v>
      </c>
      <c r="BT275" s="818">
        <f>$W$9</f>
        <v>4</v>
      </c>
      <c r="BU275" s="818">
        <f>$X$9</f>
        <v>5</v>
      </c>
      <c r="BV275" s="818">
        <f>$S$9</f>
        <v>0</v>
      </c>
      <c r="BW275" s="818">
        <f>$T$9</f>
        <v>1</v>
      </c>
      <c r="BX275" s="818">
        <f>$U$9</f>
        <v>2</v>
      </c>
      <c r="BY275" s="818">
        <f>$V$9</f>
        <v>3</v>
      </c>
      <c r="BZ275" s="818">
        <f>$W$9</f>
        <v>4</v>
      </c>
      <c r="CA275" s="818">
        <f>$X$9</f>
        <v>5</v>
      </c>
      <c r="CB275" s="818">
        <f>$S$9</f>
        <v>0</v>
      </c>
      <c r="CC275" s="818">
        <f>$T$9</f>
        <v>1</v>
      </c>
      <c r="CD275" s="818">
        <f>$U$9</f>
        <v>2</v>
      </c>
      <c r="CE275" s="818">
        <f>$V$9</f>
        <v>3</v>
      </c>
      <c r="CF275" s="818">
        <f>$W$9</f>
        <v>4</v>
      </c>
      <c r="CG275" s="818">
        <f>$X$9</f>
        <v>5</v>
      </c>
      <c r="CH275" s="818">
        <f>$S$9</f>
        <v>0</v>
      </c>
      <c r="CI275" s="818">
        <f>$T$9</f>
        <v>1</v>
      </c>
      <c r="CJ275" s="818">
        <f>$U$9</f>
        <v>2</v>
      </c>
      <c r="CK275" s="818">
        <f>$V$9</f>
        <v>3</v>
      </c>
      <c r="CL275" s="818">
        <f>$W$9</f>
        <v>4</v>
      </c>
      <c r="CM275" s="818">
        <f>$X$9</f>
        <v>5</v>
      </c>
      <c r="CN275" s="818">
        <f>$S$9</f>
        <v>0</v>
      </c>
      <c r="CO275" s="818">
        <f>$T$9</f>
        <v>1</v>
      </c>
      <c r="CP275" s="818">
        <f>$U$9</f>
        <v>2</v>
      </c>
      <c r="CQ275" s="818">
        <f>$V$9</f>
        <v>3</v>
      </c>
      <c r="CR275" s="818">
        <f>$W$9</f>
        <v>4</v>
      </c>
      <c r="CS275" s="818">
        <f>$X$9</f>
        <v>5</v>
      </c>
      <c r="CT275" s="818">
        <f>$S$9</f>
        <v>0</v>
      </c>
      <c r="CU275" s="818">
        <f>$T$9</f>
        <v>1</v>
      </c>
      <c r="CV275" s="818">
        <f>$U$9</f>
        <v>2</v>
      </c>
      <c r="CW275" s="818">
        <f>$V$9</f>
        <v>3</v>
      </c>
      <c r="CX275" s="818">
        <f>$W$9</f>
        <v>4</v>
      </c>
      <c r="CY275" s="818">
        <f>$X$9</f>
        <v>5</v>
      </c>
      <c r="CZ275" s="818">
        <f>$S$9</f>
        <v>0</v>
      </c>
      <c r="DA275" s="818">
        <f>$T$9</f>
        <v>1</v>
      </c>
      <c r="DB275" s="818">
        <f>$U$9</f>
        <v>2</v>
      </c>
      <c r="DC275" s="818">
        <f>$V$9</f>
        <v>3</v>
      </c>
      <c r="DD275" s="818">
        <f>$W$9</f>
        <v>4</v>
      </c>
      <c r="DE275" s="818">
        <f>$X$9</f>
        <v>5</v>
      </c>
    </row>
    <row r="276" spans="1:109" ht="15" customHeight="1">
      <c r="A276" s="417"/>
      <c r="B276" s="827" t="s">
        <v>2591</v>
      </c>
      <c r="C276" s="801">
        <f>C277+$G$458</f>
        <v>72</v>
      </c>
      <c r="D276" s="631">
        <f t="shared" ref="D276:D282" si="506">IFERROR(IRR(BD276:BI276),0)</f>
        <v>0.18642177730693721</v>
      </c>
      <c r="E276" s="631">
        <f t="shared" ref="E276:E282" si="507">IFERROR(IRR(BJ276:BO276),0)</f>
        <v>0.21569788735434403</v>
      </c>
      <c r="F276" s="631">
        <f t="shared" ref="F276:F282" si="508">IFERROR(IRR(BP276:BU276),0)</f>
        <v>0.24239859375671302</v>
      </c>
      <c r="G276" s="631">
        <f t="shared" ref="G276:G282" si="509">IFERROR(IRR(BV276:CA276),0)</f>
        <v>0.26698359947700911</v>
      </c>
      <c r="H276" s="631">
        <f t="shared" ref="H276:H282" si="510">IFERROR(IRR(CB276:CG276),0)</f>
        <v>0.28979638670850116</v>
      </c>
      <c r="I276" s="631">
        <f t="shared" ref="I276:I282" si="511">IFERROR(IRR(CH276:CM276),0)</f>
        <v>0.3111008158283739</v>
      </c>
      <c r="J276" s="631">
        <f t="shared" ref="J276:J282" si="512">IFERROR(IRR(CN276:CS276),0)</f>
        <v>0.33110427233965689</v>
      </c>
      <c r="K276" s="631">
        <f t="shared" ref="K276:K282" si="513">IFERROR(IRR(CT276:CY276),0)</f>
        <v>0.34997291408213993</v>
      </c>
      <c r="L276" s="631">
        <f t="shared" ref="L276:L282" si="514">IFERROR(IRR(CZ276:DE276),0)</f>
        <v>0.36784206145965559</v>
      </c>
      <c r="M276" s="417"/>
      <c r="N276" s="417"/>
      <c r="O276" s="417"/>
      <c r="P276" s="417"/>
      <c r="Q276" s="417"/>
      <c r="AT276" s="804">
        <f t="shared" ref="AT276:AZ282" si="515">IF(Z290&lt;$G$449,0,MIN($G$446,1+IFERROR(INT((Z290-$G$449)/$G$467),0)))</f>
        <v>0</v>
      </c>
      <c r="AU276" s="804">
        <f t="shared" si="515"/>
        <v>0</v>
      </c>
      <c r="AV276" s="804">
        <f t="shared" si="515"/>
        <v>0</v>
      </c>
      <c r="AW276" s="804">
        <f t="shared" si="515"/>
        <v>0</v>
      </c>
      <c r="AX276" s="804">
        <f t="shared" si="515"/>
        <v>0</v>
      </c>
      <c r="AY276" s="804">
        <f t="shared" si="515"/>
        <v>1</v>
      </c>
      <c r="AZ276" s="804">
        <f t="shared" si="515"/>
        <v>3</v>
      </c>
      <c r="BA276" s="804">
        <f t="shared" ref="BA276:BB276" si="516">IF(AG290&lt;$G$449,0,MIN($G$446,1+IFERROR(INT((AG290-$G$449)/$G$467),0)))</f>
        <v>6</v>
      </c>
      <c r="BB276" s="804">
        <f t="shared" si="516"/>
        <v>8</v>
      </c>
      <c r="BD276" s="428">
        <f t="shared" ref="BD276:BD282" si="517">(BD$275=0)*($O$18-$G$430)+(BD$275=$G$444)*$G$435+(BD$275=$G$445)*(Z250+$G$430-$O$18-$G$435)</f>
        <v>-2350</v>
      </c>
      <c r="BE276" s="428">
        <f t="shared" ref="BE276:BE282" si="518">(BE$275=0)*($O$18-$G$430)+(BE$275=$G$444)*$G$435+(BE$275=$G$445)*(Z250+$G$430-$O$18-$G$435)</f>
        <v>0</v>
      </c>
      <c r="BF276" s="428">
        <f t="shared" ref="BF276:BF282" si="519">(BF$275=0)*($O$18-$G$430)+(BF$275=$G$444)*$G$435+(BF$275=$G$445)*(Z250+$G$430-$O$18-$G$435)</f>
        <v>0</v>
      </c>
      <c r="BG276" s="428">
        <f t="shared" ref="BG276:BG282" si="520">(BG$275=0)*($O$18-$G$430)+(BG$275=$G$444)*$G$435+(BG$275=$G$445)*(Z250+$G$430-$O$18-$G$435)</f>
        <v>0</v>
      </c>
      <c r="BH276" s="428">
        <f t="shared" ref="BH276:BH282" si="521">(BH$275=0)*($O$18-$G$430)+(BH$275=$G$444)*$G$435+(BH$275=$G$445)*(Z250+$G$430-$O$18-$G$435)</f>
        <v>0</v>
      </c>
      <c r="BI276" s="428">
        <f t="shared" ref="BI276:BJ282" si="522">(BI$275=0)*($O$18-$G$430)+(BI$275=$G$444)*$G$435+(BI$275=$G$445)*(Z250+$G$430-$O$18-$G$435)</f>
        <v>5524.1239044348022</v>
      </c>
      <c r="BJ276" s="428">
        <f t="shared" si="522"/>
        <v>-2350</v>
      </c>
      <c r="BK276" s="428">
        <f t="shared" ref="BK276:BK282" si="523">(BK$275=0)*($O$18-$G$430)+(BK$275=$G$444)*$G$435+(BK$275=$G$445)*(AA250+$G$430-$O$18-$G$435)</f>
        <v>0</v>
      </c>
      <c r="BL276" s="428">
        <f t="shared" ref="BL276:BL282" si="524">(BL$275=0)*($O$18-$G$430)+(BL$275=$G$444)*$G$435+(BL$275=$G$445)*(AA250+$G$430-$O$18-$G$435)</f>
        <v>0</v>
      </c>
      <c r="BM276" s="428">
        <f t="shared" ref="BM276:BM282" si="525">(BM$275=0)*($O$18-$G$430)+(BM$275=$G$444)*$G$435+(BM$275=$G$445)*(AA250+$G$430-$O$18-$G$435)</f>
        <v>0</v>
      </c>
      <c r="BN276" s="428">
        <f t="shared" ref="BN276:BN282" si="526">(BN$275=0)*($O$18-$G$430)+(BN$275=$G$444)*$G$435+(BN$275=$G$445)*(AA250+$G$430-$O$18-$G$435)</f>
        <v>0</v>
      </c>
      <c r="BO276" s="428">
        <f t="shared" ref="BO276:BP282" si="527">(BO$275=0)*($O$18-$G$430)+(BO$275=$G$444)*$G$435+(BO$275=$G$445)*(AA250+$G$430-$O$18-$G$435)</f>
        <v>6240.1664208739203</v>
      </c>
      <c r="BP276" s="428">
        <f t="shared" si="527"/>
        <v>-2350</v>
      </c>
      <c r="BQ276" s="428">
        <f t="shared" ref="BQ276:BQ282" si="528">(BQ$275=0)*($O$18-$G$430)+(BQ$275=$G$444)*$G$435+(BQ$275=$G$445)*(AB250+$G$430-$O$18-$G$435)</f>
        <v>0</v>
      </c>
      <c r="BR276" s="428">
        <f t="shared" ref="BR276:BR282" si="529">(BR$275=0)*($O$18-$G$430)+(BR$275=$G$444)*$G$435+(BR$275=$G$445)*(AB250+$G$430-$O$18-$G$435)</f>
        <v>0</v>
      </c>
      <c r="BS276" s="428">
        <f t="shared" ref="BS276:BS282" si="530">(BS$275=0)*($O$18-$G$430)+(BS$275=$G$444)*$G$435+(BS$275=$G$445)*(AB250+$G$430-$O$18-$G$435)</f>
        <v>0</v>
      </c>
      <c r="BT276" s="428">
        <f t="shared" ref="BT276:BT282" si="531">(BT$275=0)*($O$18-$G$430)+(BT$275=$G$444)*$G$435+(BT$275=$G$445)*(AB250+$G$430-$O$18-$G$435)</f>
        <v>0</v>
      </c>
      <c r="BU276" s="428">
        <f t="shared" ref="BU276:BV282" si="532">(BU$275=0)*($O$18-$G$430)+(BU$275=$G$444)*$G$435+(BU$275=$G$445)*(AB250+$G$430-$O$18-$G$435)</f>
        <v>6956.2089373130384</v>
      </c>
      <c r="BV276" s="428">
        <f t="shared" si="532"/>
        <v>-2350</v>
      </c>
      <c r="BW276" s="428">
        <f t="shared" ref="BW276:BW282" si="533">(BW$275=0)*($O$18-$G$430)+(BW$275=$G$444)*$G$435+(BW$275=$G$445)*(AC250+$G$430-$O$18-$G$435)</f>
        <v>0</v>
      </c>
      <c r="BX276" s="428">
        <f t="shared" ref="BX276:BX282" si="534">(BX$275=0)*($O$18-$G$430)+(BX$275=$G$444)*$G$435+(BX$275=$G$445)*(AC250+$G$430-$O$18-$G$435)</f>
        <v>0</v>
      </c>
      <c r="BY276" s="428">
        <f t="shared" ref="BY276:BY282" si="535">(BY$275=0)*($O$18-$G$430)+(BY$275=$G$444)*$G$435+(BY$275=$G$445)*(AC250+$G$430-$O$18-$G$435)</f>
        <v>0</v>
      </c>
      <c r="BZ276" s="428">
        <f t="shared" ref="BZ276:BZ282" si="536">(BZ$275=0)*($O$18-$G$430)+(BZ$275=$G$444)*$G$435+(BZ$275=$G$445)*(AC250+$G$430-$O$18-$G$435)</f>
        <v>0</v>
      </c>
      <c r="CA276" s="428">
        <f t="shared" ref="CA276:CB282" si="537">(CA$275=0)*($O$18-$G$430)+(CA$275=$G$444)*$G$435+(CA$275=$G$445)*(AC250+$G$430-$O$18-$G$435)</f>
        <v>7672.2514537521565</v>
      </c>
      <c r="CB276" s="428">
        <f t="shared" si="537"/>
        <v>-2350</v>
      </c>
      <c r="CC276" s="428">
        <f t="shared" ref="CC276:CC282" si="538">(CC$275=0)*($O$18-$G$430)+(CC$275=$G$444)*$G$435+(CC$275=$G$445)*(AD250+$G$430-$O$18-$G$435)</f>
        <v>0</v>
      </c>
      <c r="CD276" s="428">
        <f t="shared" ref="CD276:CD282" si="539">(CD$275=0)*($O$18-$G$430)+(CD$275=$G$444)*$G$435+(CD$275=$G$445)*(AD250+$G$430-$O$18-$G$435)</f>
        <v>0</v>
      </c>
      <c r="CE276" s="428">
        <f t="shared" ref="CE276:CE282" si="540">(CE$275=0)*($O$18-$G$430)+(CE$275=$G$444)*$G$435+(CE$275=$G$445)*(AD250+$G$430-$O$18-$G$435)</f>
        <v>0</v>
      </c>
      <c r="CF276" s="428">
        <f t="shared" ref="CF276:CF282" si="541">(CF$275=0)*($O$18-$G$430)+(CF$275=$G$444)*$G$435+(CF$275=$G$445)*(AD250+$G$430-$O$18-$G$435)</f>
        <v>0</v>
      </c>
      <c r="CG276" s="428">
        <f t="shared" ref="CG276:CH282" si="542">(CG$275=0)*($O$18-$G$430)+(CG$275=$G$444)*$G$435+(CG$275=$G$445)*(AD250+$G$430-$O$18-$G$435)</f>
        <v>8388.2939701912746</v>
      </c>
      <c r="CH276" s="428">
        <f t="shared" si="542"/>
        <v>-2350</v>
      </c>
      <c r="CI276" s="428">
        <f t="shared" ref="CI276:CI282" si="543">(CI$275=0)*($O$18-$G$430)+(CI$275=$G$444)*$G$435+(CI$275=$G$445)*(AE250+$G$430-$O$18-$G$435)</f>
        <v>0</v>
      </c>
      <c r="CJ276" s="428">
        <f t="shared" ref="CJ276:CJ282" si="544">(CJ$275=0)*($O$18-$G$430)+(CJ$275=$G$444)*$G$435+(CJ$275=$G$445)*(AE250+$G$430-$O$18-$G$435)</f>
        <v>0</v>
      </c>
      <c r="CK276" s="428">
        <f t="shared" ref="CK276:CK282" si="545">(CK$275=0)*($O$18-$G$430)+(CK$275=$G$444)*$G$435+(CK$275=$G$445)*(AE250+$G$430-$O$18-$G$435)</f>
        <v>0</v>
      </c>
      <c r="CL276" s="428">
        <f t="shared" ref="CL276:CL282" si="546">(CL$275=0)*($O$18-$G$430)+(CL$275=$G$444)*$G$435+(CL$275=$G$445)*(AE250+$G$430-$O$18-$G$435)</f>
        <v>0</v>
      </c>
      <c r="CM276" s="428">
        <f t="shared" ref="CM276:CN282" si="547">(CM$275=0)*($O$18-$G$430)+(CM$275=$G$444)*$G$435+(CM$275=$G$445)*(AE250+$G$430-$O$18-$G$435)</f>
        <v>9104.3364866303928</v>
      </c>
      <c r="CN276" s="428">
        <f t="shared" si="547"/>
        <v>-2350</v>
      </c>
      <c r="CO276" s="428">
        <f t="shared" ref="CO276:CO282" si="548">(CO$275=0)*($O$18-$G$430)+(CO$275=$G$444)*$G$435+(CO$275=$G$445)*(AF250+$G$430-$O$18-$G$435)</f>
        <v>0</v>
      </c>
      <c r="CP276" s="428">
        <f t="shared" ref="CP276:CP282" si="549">(CP$275=0)*($O$18-$G$430)+(CP$275=$G$444)*$G$435+(CP$275=$G$445)*(AF250+$G$430-$O$18-$G$435)</f>
        <v>0</v>
      </c>
      <c r="CQ276" s="428">
        <f t="shared" ref="CQ276:CQ282" si="550">(CQ$275=0)*($O$18-$G$430)+(CQ$275=$G$444)*$G$435+(CQ$275=$G$445)*(AF250+$G$430-$O$18-$G$435)</f>
        <v>0</v>
      </c>
      <c r="CR276" s="428">
        <f t="shared" ref="CR276:CR282" si="551">(CR$275=0)*($O$18-$G$430)+(CR$275=$G$444)*$G$435+(CR$275=$G$445)*(AF250+$G$430-$O$18-$G$435)</f>
        <v>0</v>
      </c>
      <c r="CS276" s="428">
        <f t="shared" ref="CS276:CT282" si="552">(CS$275=0)*($O$18-$G$430)+(CS$275=$G$444)*$G$435+(CS$275=$G$445)*(AF250+$G$430-$O$18-$G$435)</f>
        <v>9820.3790030695127</v>
      </c>
      <c r="CT276" s="428">
        <f t="shared" si="552"/>
        <v>-2350</v>
      </c>
      <c r="CU276" s="428">
        <f t="shared" ref="CU276:CU282" si="553">(CU$275=0)*($O$18-$G$430)+(CU$275=$G$444)*$G$435+(CU$275=$G$445)*(AG250+$G$430-$O$18-$G$435)</f>
        <v>0</v>
      </c>
      <c r="CV276" s="428">
        <f t="shared" ref="CV276:CV282" si="554">(CV$275=0)*($O$18-$G$430)+(CV$275=$G$444)*$G$435+(CV$275=$G$445)*(AG250+$G$430-$O$18-$G$435)</f>
        <v>0</v>
      </c>
      <c r="CW276" s="428">
        <f t="shared" ref="CW276:CW282" si="555">(CW$275=0)*($O$18-$G$430)+(CW$275=$G$444)*$G$435+(CW$275=$G$445)*(AG250+$G$430-$O$18-$G$435)</f>
        <v>0</v>
      </c>
      <c r="CX276" s="428">
        <f t="shared" ref="CX276:CX282" si="556">(CX$275=0)*($O$18-$G$430)+(CX$275=$G$444)*$G$435+(CX$275=$G$445)*(AG250+$G$430-$O$18-$G$435)</f>
        <v>0</v>
      </c>
      <c r="CY276" s="428">
        <f t="shared" ref="CY276:CZ282" si="557">(CY$275=0)*($O$18-$G$430)+(CY$275=$G$444)*$G$435+(CY$275=$G$445)*(AG250+$G$430-$O$18-$G$435)</f>
        <v>10536.421519508629</v>
      </c>
      <c r="CZ276" s="428">
        <f t="shared" si="557"/>
        <v>-2350</v>
      </c>
      <c r="DA276" s="428">
        <f t="shared" ref="DA276:DA282" si="558">(DA$275=0)*($O$18-$G$430)+(DA$275=$G$444)*$G$435+(DA$275=$G$445)*(AH250+$G$430-$O$18-$G$435)</f>
        <v>0</v>
      </c>
      <c r="DB276" s="428">
        <f t="shared" ref="DB276:DB282" si="559">(DB$275=0)*($O$18-$G$430)+(DB$275=$G$444)*$G$435+(DB$275=$G$445)*(AH250+$G$430-$O$18-$G$435)</f>
        <v>0</v>
      </c>
      <c r="DC276" s="428">
        <f t="shared" ref="DC276:DC282" si="560">(DC$275=0)*($O$18-$G$430)+(DC$275=$G$444)*$G$435+(DC$275=$G$445)*(AH250+$G$430-$O$18-$G$435)</f>
        <v>0</v>
      </c>
      <c r="DD276" s="428">
        <f t="shared" ref="DD276:DD282" si="561">(DD$275=0)*($O$18-$G$430)+(DD$275=$G$444)*$G$435+(DD$275=$G$445)*(AH250+$G$430-$O$18-$G$435)</f>
        <v>0</v>
      </c>
      <c r="DE276" s="428">
        <f t="shared" ref="DE276:DE282" si="562">(DE$275=0)*($O$18-$G$430)+(DE$275=$G$444)*$G$435+(DE$275=$G$445)*(AH250+$G$430-$O$18-$G$435)</f>
        <v>11252.464035947747</v>
      </c>
    </row>
    <row r="277" spans="1:109" ht="15" customHeight="1">
      <c r="A277" s="417"/>
      <c r="B277" s="828"/>
      <c r="C277" s="801">
        <f>C278+$G$458</f>
        <v>68</v>
      </c>
      <c r="D277" s="631">
        <f t="shared" si="506"/>
        <v>0.18183228114697569</v>
      </c>
      <c r="E277" s="631">
        <f t="shared" si="507"/>
        <v>0.21048965960125776</v>
      </c>
      <c r="F277" s="631">
        <f t="shared" si="508"/>
        <v>0.23666512714390997</v>
      </c>
      <c r="G277" s="631">
        <f t="shared" si="509"/>
        <v>0.26079549257039392</v>
      </c>
      <c r="H277" s="631">
        <f t="shared" si="510"/>
        <v>0.28320854338010237</v>
      </c>
      <c r="I277" s="631">
        <f t="shared" si="511"/>
        <v>0.30415697413075082</v>
      </c>
      <c r="J277" s="631">
        <f t="shared" si="512"/>
        <v>0.32383997997466696</v>
      </c>
      <c r="K277" s="631">
        <f t="shared" si="513"/>
        <v>0.34241755499488602</v>
      </c>
      <c r="L277" s="631">
        <f t="shared" si="514"/>
        <v>0.36002027875146969</v>
      </c>
      <c r="M277" s="417"/>
      <c r="N277" s="417"/>
      <c r="O277" s="417"/>
      <c r="P277" s="417"/>
      <c r="Q277" s="417"/>
      <c r="AT277" s="804">
        <f t="shared" si="515"/>
        <v>0</v>
      </c>
      <c r="AU277" s="804">
        <f t="shared" si="515"/>
        <v>0</v>
      </c>
      <c r="AV277" s="804">
        <f t="shared" si="515"/>
        <v>0</v>
      </c>
      <c r="AW277" s="804">
        <f t="shared" si="515"/>
        <v>0</v>
      </c>
      <c r="AX277" s="804">
        <f t="shared" si="515"/>
        <v>0</v>
      </c>
      <c r="AY277" s="804">
        <f t="shared" si="515"/>
        <v>1</v>
      </c>
      <c r="AZ277" s="804">
        <f t="shared" si="515"/>
        <v>4</v>
      </c>
      <c r="BA277" s="804">
        <f t="shared" ref="BA277:BB277" si="563">IF(AG291&lt;$G$449,0,MIN($G$446,1+IFERROR(INT((AG291-$G$449)/$G$467),0)))</f>
        <v>6</v>
      </c>
      <c r="BB277" s="804">
        <f t="shared" si="563"/>
        <v>9</v>
      </c>
      <c r="BD277" s="428">
        <f t="shared" si="517"/>
        <v>-2350</v>
      </c>
      <c r="BE277" s="428">
        <f t="shared" si="518"/>
        <v>0</v>
      </c>
      <c r="BF277" s="428">
        <f t="shared" si="519"/>
        <v>0</v>
      </c>
      <c r="BG277" s="428">
        <f t="shared" si="520"/>
        <v>0</v>
      </c>
      <c r="BH277" s="428">
        <f t="shared" si="521"/>
        <v>0</v>
      </c>
      <c r="BI277" s="428">
        <f t="shared" si="522"/>
        <v>5418.1010925776209</v>
      </c>
      <c r="BJ277" s="428">
        <f t="shared" si="522"/>
        <v>-2350</v>
      </c>
      <c r="BK277" s="428">
        <f t="shared" si="523"/>
        <v>0</v>
      </c>
      <c r="BL277" s="428">
        <f t="shared" si="524"/>
        <v>0</v>
      </c>
      <c r="BM277" s="428">
        <f t="shared" si="525"/>
        <v>0</v>
      </c>
      <c r="BN277" s="428">
        <f t="shared" si="526"/>
        <v>0</v>
      </c>
      <c r="BO277" s="428">
        <f t="shared" si="527"/>
        <v>6107.6379060524432</v>
      </c>
      <c r="BP277" s="428">
        <f t="shared" si="527"/>
        <v>-2350</v>
      </c>
      <c r="BQ277" s="428">
        <f t="shared" si="528"/>
        <v>0</v>
      </c>
      <c r="BR277" s="428">
        <f t="shared" si="529"/>
        <v>0</v>
      </c>
      <c r="BS277" s="428">
        <f t="shared" si="530"/>
        <v>0</v>
      </c>
      <c r="BT277" s="428">
        <f t="shared" si="531"/>
        <v>0</v>
      </c>
      <c r="BU277" s="428">
        <f t="shared" si="532"/>
        <v>6797.1747195272656</v>
      </c>
      <c r="BV277" s="428">
        <f t="shared" si="532"/>
        <v>-2350</v>
      </c>
      <c r="BW277" s="428">
        <f t="shared" si="533"/>
        <v>0</v>
      </c>
      <c r="BX277" s="428">
        <f t="shared" si="534"/>
        <v>0</v>
      </c>
      <c r="BY277" s="428">
        <f t="shared" si="535"/>
        <v>0</v>
      </c>
      <c r="BZ277" s="428">
        <f t="shared" si="536"/>
        <v>0</v>
      </c>
      <c r="CA277" s="428">
        <f t="shared" si="537"/>
        <v>7486.7115330020897</v>
      </c>
      <c r="CB277" s="428">
        <f t="shared" si="537"/>
        <v>-2350</v>
      </c>
      <c r="CC277" s="428">
        <f t="shared" si="538"/>
        <v>0</v>
      </c>
      <c r="CD277" s="428">
        <f t="shared" si="539"/>
        <v>0</v>
      </c>
      <c r="CE277" s="428">
        <f t="shared" si="540"/>
        <v>0</v>
      </c>
      <c r="CF277" s="428">
        <f t="shared" si="541"/>
        <v>0</v>
      </c>
      <c r="CG277" s="428">
        <f t="shared" si="542"/>
        <v>8176.248346476912</v>
      </c>
      <c r="CH277" s="428">
        <f t="shared" si="542"/>
        <v>-2350</v>
      </c>
      <c r="CI277" s="428">
        <f t="shared" si="543"/>
        <v>0</v>
      </c>
      <c r="CJ277" s="428">
        <f t="shared" si="544"/>
        <v>0</v>
      </c>
      <c r="CK277" s="428">
        <f t="shared" si="545"/>
        <v>0</v>
      </c>
      <c r="CL277" s="428">
        <f t="shared" si="546"/>
        <v>0</v>
      </c>
      <c r="CM277" s="428">
        <f t="shared" si="547"/>
        <v>8865.7851599517362</v>
      </c>
      <c r="CN277" s="428">
        <f t="shared" si="547"/>
        <v>-2350</v>
      </c>
      <c r="CO277" s="428">
        <f t="shared" si="548"/>
        <v>0</v>
      </c>
      <c r="CP277" s="428">
        <f t="shared" si="549"/>
        <v>0</v>
      </c>
      <c r="CQ277" s="428">
        <f t="shared" si="550"/>
        <v>0</v>
      </c>
      <c r="CR277" s="428">
        <f t="shared" si="551"/>
        <v>0</v>
      </c>
      <c r="CS277" s="428">
        <f t="shared" si="552"/>
        <v>9555.3219734265585</v>
      </c>
      <c r="CT277" s="428">
        <f t="shared" si="552"/>
        <v>-2350</v>
      </c>
      <c r="CU277" s="428">
        <f t="shared" si="553"/>
        <v>0</v>
      </c>
      <c r="CV277" s="428">
        <f t="shared" si="554"/>
        <v>0</v>
      </c>
      <c r="CW277" s="428">
        <f t="shared" si="555"/>
        <v>0</v>
      </c>
      <c r="CX277" s="428">
        <f t="shared" si="556"/>
        <v>0</v>
      </c>
      <c r="CY277" s="428">
        <f t="shared" si="557"/>
        <v>10244.858786901381</v>
      </c>
      <c r="CZ277" s="428">
        <f t="shared" si="557"/>
        <v>-2350</v>
      </c>
      <c r="DA277" s="428">
        <f t="shared" si="558"/>
        <v>0</v>
      </c>
      <c r="DB277" s="428">
        <f t="shared" si="559"/>
        <v>0</v>
      </c>
      <c r="DC277" s="428">
        <f t="shared" si="560"/>
        <v>0</v>
      </c>
      <c r="DD277" s="428">
        <f t="shared" si="561"/>
        <v>0</v>
      </c>
      <c r="DE277" s="428">
        <f t="shared" si="562"/>
        <v>10934.395600376203</v>
      </c>
    </row>
    <row r="278" spans="1:109" ht="15" customHeight="1">
      <c r="A278" s="417"/>
      <c r="B278" s="828"/>
      <c r="C278" s="801">
        <f>C279+$G$458</f>
        <v>64</v>
      </c>
      <c r="D278" s="631">
        <f t="shared" si="506"/>
        <v>0.17717036638678096</v>
      </c>
      <c r="E278" s="631">
        <f t="shared" si="507"/>
        <v>0.20519022256051489</v>
      </c>
      <c r="F278" s="631">
        <f t="shared" si="508"/>
        <v>0.23082331867834172</v>
      </c>
      <c r="G278" s="631">
        <f t="shared" si="509"/>
        <v>0.25448345772694658</v>
      </c>
      <c r="H278" s="631">
        <f t="shared" si="510"/>
        <v>0.27648256928515536</v>
      </c>
      <c r="I278" s="631">
        <f t="shared" si="511"/>
        <v>0.29706201616080952</v>
      </c>
      <c r="J278" s="631">
        <f t="shared" si="512"/>
        <v>0.31641265147372488</v>
      </c>
      <c r="K278" s="631">
        <f t="shared" si="513"/>
        <v>0.33468817258369943</v>
      </c>
      <c r="L278" s="631">
        <f t="shared" si="514"/>
        <v>0.35201430379800969</v>
      </c>
      <c r="M278" s="417"/>
      <c r="N278" s="417"/>
      <c r="O278" s="417"/>
      <c r="P278" s="417"/>
      <c r="Q278" s="417"/>
      <c r="AT278" s="804">
        <f t="shared" si="515"/>
        <v>0</v>
      </c>
      <c r="AU278" s="804">
        <f t="shared" si="515"/>
        <v>0</v>
      </c>
      <c r="AV278" s="804">
        <f t="shared" si="515"/>
        <v>0</v>
      </c>
      <c r="AW278" s="804">
        <f t="shared" si="515"/>
        <v>0</v>
      </c>
      <c r="AX278" s="804">
        <f t="shared" si="515"/>
        <v>0</v>
      </c>
      <c r="AY278" s="804">
        <f t="shared" si="515"/>
        <v>2</v>
      </c>
      <c r="AZ278" s="804">
        <f t="shared" si="515"/>
        <v>4</v>
      </c>
      <c r="BA278" s="804">
        <f t="shared" ref="BA278:BB278" si="564">IF(AG292&lt;$G$449,0,MIN($G$446,1+IFERROR(INT((AG292-$G$449)/$G$467),0)))</f>
        <v>7</v>
      </c>
      <c r="BB278" s="804">
        <f t="shared" si="564"/>
        <v>9</v>
      </c>
      <c r="BD278" s="428">
        <f t="shared" si="517"/>
        <v>-2350</v>
      </c>
      <c r="BE278" s="428">
        <f t="shared" si="518"/>
        <v>0</v>
      </c>
      <c r="BF278" s="428">
        <f t="shared" si="519"/>
        <v>0</v>
      </c>
      <c r="BG278" s="428">
        <f t="shared" si="520"/>
        <v>0</v>
      </c>
      <c r="BH278" s="428">
        <f t="shared" si="521"/>
        <v>0</v>
      </c>
      <c r="BI278" s="428">
        <f t="shared" si="522"/>
        <v>5312.0782807204396</v>
      </c>
      <c r="BJ278" s="428">
        <f t="shared" si="522"/>
        <v>-2350</v>
      </c>
      <c r="BK278" s="428">
        <f t="shared" si="523"/>
        <v>0</v>
      </c>
      <c r="BL278" s="428">
        <f t="shared" si="524"/>
        <v>0</v>
      </c>
      <c r="BM278" s="428">
        <f t="shared" si="525"/>
        <v>0</v>
      </c>
      <c r="BN278" s="428">
        <f t="shared" si="526"/>
        <v>0</v>
      </c>
      <c r="BO278" s="428">
        <f t="shared" si="527"/>
        <v>5975.109391230968</v>
      </c>
      <c r="BP278" s="428">
        <f t="shared" si="527"/>
        <v>-2350</v>
      </c>
      <c r="BQ278" s="428">
        <f t="shared" si="528"/>
        <v>0</v>
      </c>
      <c r="BR278" s="428">
        <f t="shared" si="529"/>
        <v>0</v>
      </c>
      <c r="BS278" s="428">
        <f t="shared" si="530"/>
        <v>0</v>
      </c>
      <c r="BT278" s="428">
        <f t="shared" si="531"/>
        <v>0</v>
      </c>
      <c r="BU278" s="428">
        <f t="shared" si="532"/>
        <v>6638.1405017414945</v>
      </c>
      <c r="BV278" s="428">
        <f t="shared" si="532"/>
        <v>-2350</v>
      </c>
      <c r="BW278" s="428">
        <f t="shared" si="533"/>
        <v>0</v>
      </c>
      <c r="BX278" s="428">
        <f t="shared" si="534"/>
        <v>0</v>
      </c>
      <c r="BY278" s="428">
        <f t="shared" si="535"/>
        <v>0</v>
      </c>
      <c r="BZ278" s="428">
        <f t="shared" si="536"/>
        <v>0</v>
      </c>
      <c r="CA278" s="428">
        <f t="shared" si="537"/>
        <v>7301.1716122520229</v>
      </c>
      <c r="CB278" s="428">
        <f t="shared" si="537"/>
        <v>-2350</v>
      </c>
      <c r="CC278" s="428">
        <f t="shared" si="538"/>
        <v>0</v>
      </c>
      <c r="CD278" s="428">
        <f t="shared" si="539"/>
        <v>0</v>
      </c>
      <c r="CE278" s="428">
        <f t="shared" si="540"/>
        <v>0</v>
      </c>
      <c r="CF278" s="428">
        <f t="shared" si="541"/>
        <v>0</v>
      </c>
      <c r="CG278" s="428">
        <f t="shared" si="542"/>
        <v>7964.2027227625513</v>
      </c>
      <c r="CH278" s="428">
        <f t="shared" si="542"/>
        <v>-2350</v>
      </c>
      <c r="CI278" s="428">
        <f t="shared" si="543"/>
        <v>0</v>
      </c>
      <c r="CJ278" s="428">
        <f t="shared" si="544"/>
        <v>0</v>
      </c>
      <c r="CK278" s="428">
        <f t="shared" si="545"/>
        <v>0</v>
      </c>
      <c r="CL278" s="428">
        <f t="shared" si="546"/>
        <v>0</v>
      </c>
      <c r="CM278" s="428">
        <f t="shared" si="547"/>
        <v>8627.2338332730797</v>
      </c>
      <c r="CN278" s="428">
        <f t="shared" si="547"/>
        <v>-2350</v>
      </c>
      <c r="CO278" s="428">
        <f t="shared" si="548"/>
        <v>0</v>
      </c>
      <c r="CP278" s="428">
        <f t="shared" si="549"/>
        <v>0</v>
      </c>
      <c r="CQ278" s="428">
        <f t="shared" si="550"/>
        <v>0</v>
      </c>
      <c r="CR278" s="428">
        <f t="shared" si="551"/>
        <v>0</v>
      </c>
      <c r="CS278" s="428">
        <f t="shared" si="552"/>
        <v>9290.2649437836062</v>
      </c>
      <c r="CT278" s="428">
        <f t="shared" si="552"/>
        <v>-2350</v>
      </c>
      <c r="CU278" s="428">
        <f t="shared" si="553"/>
        <v>0</v>
      </c>
      <c r="CV278" s="428">
        <f t="shared" si="554"/>
        <v>0</v>
      </c>
      <c r="CW278" s="428">
        <f t="shared" si="555"/>
        <v>0</v>
      </c>
      <c r="CX278" s="428">
        <f t="shared" si="556"/>
        <v>0</v>
      </c>
      <c r="CY278" s="428">
        <f t="shared" si="557"/>
        <v>9953.2960542941346</v>
      </c>
      <c r="CZ278" s="428">
        <f t="shared" si="557"/>
        <v>-2350</v>
      </c>
      <c r="DA278" s="428">
        <f t="shared" si="558"/>
        <v>0</v>
      </c>
      <c r="DB278" s="428">
        <f t="shared" si="559"/>
        <v>0</v>
      </c>
      <c r="DC278" s="428">
        <f t="shared" si="560"/>
        <v>0</v>
      </c>
      <c r="DD278" s="428">
        <f t="shared" si="561"/>
        <v>0</v>
      </c>
      <c r="DE278" s="428">
        <f t="shared" si="562"/>
        <v>10616.327164804661</v>
      </c>
    </row>
    <row r="279" spans="1:109" ht="15" customHeight="1">
      <c r="A279" s="417"/>
      <c r="B279" s="828"/>
      <c r="C279" s="801">
        <f>$G$457</f>
        <v>60</v>
      </c>
      <c r="D279" s="631">
        <f t="shared" si="506"/>
        <v>0.17243341009559332</v>
      </c>
      <c r="E279" s="631">
        <f t="shared" si="507"/>
        <v>0.19979590167476013</v>
      </c>
      <c r="F279" s="631">
        <f t="shared" si="508"/>
        <v>0.22486845028862823</v>
      </c>
      <c r="G279" s="631">
        <f t="shared" si="509"/>
        <v>0.24804176695894498</v>
      </c>
      <c r="H279" s="789">
        <f t="shared" si="510"/>
        <v>0.26961177196095765</v>
      </c>
      <c r="I279" s="631">
        <f t="shared" si="511"/>
        <v>0.28980833487259727</v>
      </c>
      <c r="J279" s="631">
        <f t="shared" si="512"/>
        <v>0.30881381551539566</v>
      </c>
      <c r="K279" s="631">
        <f t="shared" si="513"/>
        <v>0.32677548000866929</v>
      </c>
      <c r="L279" s="631">
        <f t="shared" si="514"/>
        <v>0.34381408037098704</v>
      </c>
      <c r="M279" s="417"/>
      <c r="N279" s="417"/>
      <c r="O279" s="417"/>
      <c r="P279" s="417"/>
      <c r="Q279" s="417"/>
      <c r="AT279" s="804">
        <f t="shared" si="515"/>
        <v>0</v>
      </c>
      <c r="AU279" s="804">
        <f t="shared" si="515"/>
        <v>0</v>
      </c>
      <c r="AV279" s="804">
        <f t="shared" si="515"/>
        <v>0</v>
      </c>
      <c r="AW279" s="804">
        <f t="shared" si="515"/>
        <v>0</v>
      </c>
      <c r="AX279" s="804">
        <f t="shared" si="515"/>
        <v>0</v>
      </c>
      <c r="AY279" s="804">
        <f t="shared" si="515"/>
        <v>2</v>
      </c>
      <c r="AZ279" s="804">
        <f t="shared" si="515"/>
        <v>5</v>
      </c>
      <c r="BA279" s="804">
        <f t="shared" ref="BA279:BB279" si="565">IF(AG293&lt;$G$449,0,MIN($G$446,1+IFERROR(INT((AG293-$G$449)/$G$467),0)))</f>
        <v>7</v>
      </c>
      <c r="BB279" s="804">
        <f t="shared" si="565"/>
        <v>9</v>
      </c>
      <c r="BD279" s="428">
        <f t="shared" si="517"/>
        <v>-2350</v>
      </c>
      <c r="BE279" s="428">
        <f t="shared" si="518"/>
        <v>0</v>
      </c>
      <c r="BF279" s="428">
        <f t="shared" si="519"/>
        <v>0</v>
      </c>
      <c r="BG279" s="428">
        <f t="shared" si="520"/>
        <v>0</v>
      </c>
      <c r="BH279" s="428">
        <f t="shared" si="521"/>
        <v>0</v>
      </c>
      <c r="BI279" s="428">
        <f t="shared" si="522"/>
        <v>5206.0554688632583</v>
      </c>
      <c r="BJ279" s="428">
        <f t="shared" si="522"/>
        <v>-2350</v>
      </c>
      <c r="BK279" s="428">
        <f t="shared" si="523"/>
        <v>0</v>
      </c>
      <c r="BL279" s="428">
        <f t="shared" si="524"/>
        <v>0</v>
      </c>
      <c r="BM279" s="428">
        <f t="shared" si="525"/>
        <v>0</v>
      </c>
      <c r="BN279" s="428">
        <f t="shared" si="526"/>
        <v>0</v>
      </c>
      <c r="BO279" s="428">
        <f t="shared" si="527"/>
        <v>5842.5808764094909</v>
      </c>
      <c r="BP279" s="428">
        <f t="shared" si="527"/>
        <v>-2350</v>
      </c>
      <c r="BQ279" s="428">
        <f t="shared" si="528"/>
        <v>0</v>
      </c>
      <c r="BR279" s="428">
        <f t="shared" si="529"/>
        <v>0</v>
      </c>
      <c r="BS279" s="428">
        <f t="shared" si="530"/>
        <v>0</v>
      </c>
      <c r="BT279" s="428">
        <f t="shared" si="531"/>
        <v>0</v>
      </c>
      <c r="BU279" s="428">
        <f t="shared" si="532"/>
        <v>6479.1062839557217</v>
      </c>
      <c r="BV279" s="428">
        <f t="shared" si="532"/>
        <v>-2350</v>
      </c>
      <c r="BW279" s="428">
        <f t="shared" si="533"/>
        <v>0</v>
      </c>
      <c r="BX279" s="428">
        <f t="shared" si="534"/>
        <v>0</v>
      </c>
      <c r="BY279" s="428">
        <f t="shared" si="535"/>
        <v>0</v>
      </c>
      <c r="BZ279" s="428">
        <f t="shared" si="536"/>
        <v>0</v>
      </c>
      <c r="CA279" s="428">
        <f t="shared" si="537"/>
        <v>7115.6316915019543</v>
      </c>
      <c r="CB279" s="428">
        <f t="shared" si="537"/>
        <v>-2350</v>
      </c>
      <c r="CC279" s="428">
        <f t="shared" si="538"/>
        <v>0</v>
      </c>
      <c r="CD279" s="428">
        <f t="shared" si="539"/>
        <v>0</v>
      </c>
      <c r="CE279" s="428">
        <f t="shared" si="540"/>
        <v>0</v>
      </c>
      <c r="CF279" s="428">
        <f t="shared" si="541"/>
        <v>0</v>
      </c>
      <c r="CG279" s="428">
        <f t="shared" si="542"/>
        <v>7752.1570990481869</v>
      </c>
      <c r="CH279" s="428">
        <f t="shared" si="542"/>
        <v>-2350</v>
      </c>
      <c r="CI279" s="428">
        <f t="shared" si="543"/>
        <v>0</v>
      </c>
      <c r="CJ279" s="428">
        <f t="shared" si="544"/>
        <v>0</v>
      </c>
      <c r="CK279" s="428">
        <f t="shared" si="545"/>
        <v>0</v>
      </c>
      <c r="CL279" s="428">
        <f t="shared" si="546"/>
        <v>0</v>
      </c>
      <c r="CM279" s="428">
        <f t="shared" si="547"/>
        <v>8388.6825065944195</v>
      </c>
      <c r="CN279" s="428">
        <f t="shared" si="547"/>
        <v>-2350</v>
      </c>
      <c r="CO279" s="428">
        <f t="shared" si="548"/>
        <v>0</v>
      </c>
      <c r="CP279" s="428">
        <f t="shared" si="549"/>
        <v>0</v>
      </c>
      <c r="CQ279" s="428">
        <f t="shared" si="550"/>
        <v>0</v>
      </c>
      <c r="CR279" s="428">
        <f t="shared" si="551"/>
        <v>0</v>
      </c>
      <c r="CS279" s="428">
        <f t="shared" si="552"/>
        <v>9025.2079141406521</v>
      </c>
      <c r="CT279" s="428">
        <f t="shared" si="552"/>
        <v>-2350</v>
      </c>
      <c r="CU279" s="428">
        <f t="shared" si="553"/>
        <v>0</v>
      </c>
      <c r="CV279" s="428">
        <f t="shared" si="554"/>
        <v>0</v>
      </c>
      <c r="CW279" s="428">
        <f t="shared" si="555"/>
        <v>0</v>
      </c>
      <c r="CX279" s="428">
        <f t="shared" si="556"/>
        <v>0</v>
      </c>
      <c r="CY279" s="428">
        <f t="shared" si="557"/>
        <v>9661.7333216868828</v>
      </c>
      <c r="CZ279" s="428">
        <f t="shared" si="557"/>
        <v>-2350</v>
      </c>
      <c r="DA279" s="428">
        <f t="shared" si="558"/>
        <v>0</v>
      </c>
      <c r="DB279" s="428">
        <f t="shared" si="559"/>
        <v>0</v>
      </c>
      <c r="DC279" s="428">
        <f t="shared" si="560"/>
        <v>0</v>
      </c>
      <c r="DD279" s="428">
        <f t="shared" si="561"/>
        <v>0</v>
      </c>
      <c r="DE279" s="428">
        <f t="shared" si="562"/>
        <v>10298.258729233115</v>
      </c>
    </row>
    <row r="280" spans="1:109" ht="15" customHeight="1">
      <c r="A280" s="417"/>
      <c r="B280" s="828"/>
      <c r="C280" s="801">
        <f>C279-$G$458</f>
        <v>56</v>
      </c>
      <c r="D280" s="631">
        <f t="shared" si="506"/>
        <v>0.16761863852356584</v>
      </c>
      <c r="E280" s="631">
        <f t="shared" si="507"/>
        <v>0.19430278682206925</v>
      </c>
      <c r="F280" s="631">
        <f t="shared" si="508"/>
        <v>0.21879547635067942</v>
      </c>
      <c r="G280" s="631">
        <f t="shared" si="509"/>
        <v>0.24146426956322586</v>
      </c>
      <c r="H280" s="631">
        <f t="shared" si="510"/>
        <v>0.26258894056223836</v>
      </c>
      <c r="I280" s="631">
        <f t="shared" si="511"/>
        <v>0.2823877103296748</v>
      </c>
      <c r="J280" s="631">
        <f t="shared" si="512"/>
        <v>0.30103429564807382</v>
      </c>
      <c r="K280" s="631">
        <f t="shared" si="513"/>
        <v>0.31866939587302667</v>
      </c>
      <c r="L280" s="631">
        <f t="shared" si="514"/>
        <v>0.33540867138890196</v>
      </c>
      <c r="M280" s="417"/>
      <c r="N280" s="417"/>
      <c r="O280" s="417"/>
      <c r="P280" s="417"/>
      <c r="Q280" s="417"/>
      <c r="AT280" s="804">
        <f t="shared" si="515"/>
        <v>0</v>
      </c>
      <c r="AU280" s="804">
        <f t="shared" si="515"/>
        <v>0</v>
      </c>
      <c r="AV280" s="804">
        <f t="shared" si="515"/>
        <v>0</v>
      </c>
      <c r="AW280" s="804">
        <f t="shared" si="515"/>
        <v>0</v>
      </c>
      <c r="AX280" s="804">
        <f t="shared" si="515"/>
        <v>1</v>
      </c>
      <c r="AY280" s="804">
        <f t="shared" si="515"/>
        <v>3</v>
      </c>
      <c r="AZ280" s="804">
        <f t="shared" si="515"/>
        <v>5</v>
      </c>
      <c r="BA280" s="804">
        <f t="shared" ref="BA280:BB280" si="566">IF(AG294&lt;$G$449,0,MIN($G$446,1+IFERROR(INT((AG294-$G$449)/$G$467),0)))</f>
        <v>8</v>
      </c>
      <c r="BB280" s="804">
        <f t="shared" si="566"/>
        <v>10</v>
      </c>
      <c r="BD280" s="428">
        <f t="shared" si="517"/>
        <v>-2350</v>
      </c>
      <c r="BE280" s="428">
        <f t="shared" si="518"/>
        <v>0</v>
      </c>
      <c r="BF280" s="428">
        <f t="shared" si="519"/>
        <v>0</v>
      </c>
      <c r="BG280" s="428">
        <f t="shared" si="520"/>
        <v>0</v>
      </c>
      <c r="BH280" s="428">
        <f t="shared" si="521"/>
        <v>0</v>
      </c>
      <c r="BI280" s="428">
        <f t="shared" si="522"/>
        <v>5100.032657006077</v>
      </c>
      <c r="BJ280" s="428">
        <f t="shared" si="522"/>
        <v>-2350</v>
      </c>
      <c r="BK280" s="428">
        <f t="shared" si="523"/>
        <v>0</v>
      </c>
      <c r="BL280" s="428">
        <f t="shared" si="524"/>
        <v>0</v>
      </c>
      <c r="BM280" s="428">
        <f t="shared" si="525"/>
        <v>0</v>
      </c>
      <c r="BN280" s="428">
        <f t="shared" si="526"/>
        <v>0</v>
      </c>
      <c r="BO280" s="428">
        <f t="shared" si="527"/>
        <v>5710.0523615880138</v>
      </c>
      <c r="BP280" s="428">
        <f t="shared" si="527"/>
        <v>-2350</v>
      </c>
      <c r="BQ280" s="428">
        <f t="shared" si="528"/>
        <v>0</v>
      </c>
      <c r="BR280" s="428">
        <f t="shared" si="529"/>
        <v>0</v>
      </c>
      <c r="BS280" s="428">
        <f t="shared" si="530"/>
        <v>0</v>
      </c>
      <c r="BT280" s="428">
        <f t="shared" si="531"/>
        <v>0</v>
      </c>
      <c r="BU280" s="428">
        <f t="shared" si="532"/>
        <v>6320.0720661699506</v>
      </c>
      <c r="BV280" s="428">
        <f t="shared" si="532"/>
        <v>-2350</v>
      </c>
      <c r="BW280" s="428">
        <f t="shared" si="533"/>
        <v>0</v>
      </c>
      <c r="BX280" s="428">
        <f t="shared" si="534"/>
        <v>0</v>
      </c>
      <c r="BY280" s="428">
        <f t="shared" si="535"/>
        <v>0</v>
      </c>
      <c r="BZ280" s="428">
        <f t="shared" si="536"/>
        <v>0</v>
      </c>
      <c r="CA280" s="428">
        <f t="shared" si="537"/>
        <v>6930.0917707518875</v>
      </c>
      <c r="CB280" s="428">
        <f t="shared" si="537"/>
        <v>-2350</v>
      </c>
      <c r="CC280" s="428">
        <f t="shared" si="538"/>
        <v>0</v>
      </c>
      <c r="CD280" s="428">
        <f t="shared" si="539"/>
        <v>0</v>
      </c>
      <c r="CE280" s="428">
        <f t="shared" si="540"/>
        <v>0</v>
      </c>
      <c r="CF280" s="428">
        <f t="shared" si="541"/>
        <v>0</v>
      </c>
      <c r="CG280" s="428">
        <f t="shared" si="542"/>
        <v>7540.1114753338261</v>
      </c>
      <c r="CH280" s="428">
        <f t="shared" si="542"/>
        <v>-2350</v>
      </c>
      <c r="CI280" s="428">
        <f t="shared" si="543"/>
        <v>0</v>
      </c>
      <c r="CJ280" s="428">
        <f t="shared" si="544"/>
        <v>0</v>
      </c>
      <c r="CK280" s="428">
        <f t="shared" si="545"/>
        <v>0</v>
      </c>
      <c r="CL280" s="428">
        <f t="shared" si="546"/>
        <v>0</v>
      </c>
      <c r="CM280" s="428">
        <f t="shared" si="547"/>
        <v>8150.1311799157629</v>
      </c>
      <c r="CN280" s="428">
        <f t="shared" si="547"/>
        <v>-2350</v>
      </c>
      <c r="CO280" s="428">
        <f t="shared" si="548"/>
        <v>0</v>
      </c>
      <c r="CP280" s="428">
        <f t="shared" si="549"/>
        <v>0</v>
      </c>
      <c r="CQ280" s="428">
        <f t="shared" si="550"/>
        <v>0</v>
      </c>
      <c r="CR280" s="428">
        <f t="shared" si="551"/>
        <v>0</v>
      </c>
      <c r="CS280" s="428">
        <f t="shared" si="552"/>
        <v>8760.1508844976997</v>
      </c>
      <c r="CT280" s="428">
        <f t="shared" si="552"/>
        <v>-2350</v>
      </c>
      <c r="CU280" s="428">
        <f t="shared" si="553"/>
        <v>0</v>
      </c>
      <c r="CV280" s="428">
        <f t="shared" si="554"/>
        <v>0</v>
      </c>
      <c r="CW280" s="428">
        <f t="shared" si="555"/>
        <v>0</v>
      </c>
      <c r="CX280" s="428">
        <f t="shared" si="556"/>
        <v>0</v>
      </c>
      <c r="CY280" s="428">
        <f t="shared" si="557"/>
        <v>9370.1705890796366</v>
      </c>
      <c r="CZ280" s="428">
        <f t="shared" si="557"/>
        <v>-2350</v>
      </c>
      <c r="DA280" s="428">
        <f t="shared" si="558"/>
        <v>0</v>
      </c>
      <c r="DB280" s="428">
        <f t="shared" si="559"/>
        <v>0</v>
      </c>
      <c r="DC280" s="428">
        <f t="shared" si="560"/>
        <v>0</v>
      </c>
      <c r="DD280" s="428">
        <f t="shared" si="561"/>
        <v>0</v>
      </c>
      <c r="DE280" s="428">
        <f t="shared" si="562"/>
        <v>9980.1902936615734</v>
      </c>
    </row>
    <row r="281" spans="1:109" ht="15" customHeight="1">
      <c r="A281" s="417"/>
      <c r="B281" s="828"/>
      <c r="C281" s="801">
        <f>C280-$G$458</f>
        <v>52</v>
      </c>
      <c r="D281" s="631">
        <f t="shared" si="506"/>
        <v>0.1627231150853039</v>
      </c>
      <c r="E281" s="631">
        <f t="shared" si="507"/>
        <v>0.18870671133992367</v>
      </c>
      <c r="F281" s="631">
        <f t="shared" si="508"/>
        <v>0.21259899203902877</v>
      </c>
      <c r="G281" s="631">
        <f t="shared" si="509"/>
        <v>0.23474434863498472</v>
      </c>
      <c r="H281" s="631">
        <f t="shared" si="510"/>
        <v>0.25540628981337687</v>
      </c>
      <c r="I281" s="631">
        <f t="shared" si="511"/>
        <v>0.27479124074500882</v>
      </c>
      <c r="J281" s="631">
        <f t="shared" si="512"/>
        <v>0.29306412823202566</v>
      </c>
      <c r="K281" s="631">
        <f t="shared" si="513"/>
        <v>0.31035894904701022</v>
      </c>
      <c r="L281" s="631">
        <f t="shared" si="514"/>
        <v>0.3267861508120069</v>
      </c>
      <c r="M281" s="417"/>
      <c r="N281" s="417"/>
      <c r="O281" s="417"/>
      <c r="P281" s="417"/>
      <c r="Q281" s="417"/>
      <c r="AT281" s="804">
        <f t="shared" si="515"/>
        <v>0</v>
      </c>
      <c r="AU281" s="804">
        <f t="shared" si="515"/>
        <v>0</v>
      </c>
      <c r="AV281" s="804">
        <f t="shared" si="515"/>
        <v>0</v>
      </c>
      <c r="AW281" s="804">
        <f t="shared" si="515"/>
        <v>0</v>
      </c>
      <c r="AX281" s="804">
        <f t="shared" si="515"/>
        <v>2</v>
      </c>
      <c r="AY281" s="804">
        <f t="shared" si="515"/>
        <v>4</v>
      </c>
      <c r="AZ281" s="804">
        <f t="shared" si="515"/>
        <v>6</v>
      </c>
      <c r="BA281" s="804">
        <f t="shared" ref="BA281:BB281" si="567">IF(AG295&lt;$G$449,0,MIN($G$446,1+IFERROR(INT((AG295-$G$449)/$G$467),0)))</f>
        <v>8</v>
      </c>
      <c r="BB281" s="804">
        <f t="shared" si="567"/>
        <v>10</v>
      </c>
      <c r="BD281" s="428">
        <f t="shared" si="517"/>
        <v>-2350</v>
      </c>
      <c r="BE281" s="428">
        <f t="shared" si="518"/>
        <v>0</v>
      </c>
      <c r="BF281" s="428">
        <f t="shared" si="519"/>
        <v>0</v>
      </c>
      <c r="BG281" s="428">
        <f t="shared" si="520"/>
        <v>0</v>
      </c>
      <c r="BH281" s="428">
        <f t="shared" si="521"/>
        <v>0</v>
      </c>
      <c r="BI281" s="428">
        <f t="shared" si="522"/>
        <v>4994.0098451488957</v>
      </c>
      <c r="BJ281" s="428">
        <f t="shared" si="522"/>
        <v>-2350</v>
      </c>
      <c r="BK281" s="428">
        <f t="shared" si="523"/>
        <v>0</v>
      </c>
      <c r="BL281" s="428">
        <f t="shared" si="524"/>
        <v>0</v>
      </c>
      <c r="BM281" s="428">
        <f t="shared" si="525"/>
        <v>0</v>
      </c>
      <c r="BN281" s="428">
        <f t="shared" si="526"/>
        <v>0</v>
      </c>
      <c r="BO281" s="428">
        <f t="shared" si="527"/>
        <v>5577.5238467665376</v>
      </c>
      <c r="BP281" s="428">
        <f t="shared" si="527"/>
        <v>-2350</v>
      </c>
      <c r="BQ281" s="428">
        <f t="shared" si="528"/>
        <v>0</v>
      </c>
      <c r="BR281" s="428">
        <f t="shared" si="529"/>
        <v>0</v>
      </c>
      <c r="BS281" s="428">
        <f t="shared" si="530"/>
        <v>0</v>
      </c>
      <c r="BT281" s="428">
        <f t="shared" si="531"/>
        <v>0</v>
      </c>
      <c r="BU281" s="428">
        <f t="shared" si="532"/>
        <v>6161.0378483841796</v>
      </c>
      <c r="BV281" s="428">
        <f t="shared" si="532"/>
        <v>-2350</v>
      </c>
      <c r="BW281" s="428">
        <f t="shared" si="533"/>
        <v>0</v>
      </c>
      <c r="BX281" s="428">
        <f t="shared" si="534"/>
        <v>0</v>
      </c>
      <c r="BY281" s="428">
        <f t="shared" si="535"/>
        <v>0</v>
      </c>
      <c r="BZ281" s="428">
        <f t="shared" si="536"/>
        <v>0</v>
      </c>
      <c r="CA281" s="428">
        <f t="shared" si="537"/>
        <v>6744.5518500018206</v>
      </c>
      <c r="CB281" s="428">
        <f t="shared" si="537"/>
        <v>-2350</v>
      </c>
      <c r="CC281" s="428">
        <f t="shared" si="538"/>
        <v>0</v>
      </c>
      <c r="CD281" s="428">
        <f t="shared" si="539"/>
        <v>0</v>
      </c>
      <c r="CE281" s="428">
        <f t="shared" si="540"/>
        <v>0</v>
      </c>
      <c r="CF281" s="428">
        <f t="shared" si="541"/>
        <v>0</v>
      </c>
      <c r="CG281" s="428">
        <f t="shared" si="542"/>
        <v>7328.0658516194635</v>
      </c>
      <c r="CH281" s="428">
        <f t="shared" si="542"/>
        <v>-2350</v>
      </c>
      <c r="CI281" s="428">
        <f t="shared" si="543"/>
        <v>0</v>
      </c>
      <c r="CJ281" s="428">
        <f t="shared" si="544"/>
        <v>0</v>
      </c>
      <c r="CK281" s="428">
        <f t="shared" si="545"/>
        <v>0</v>
      </c>
      <c r="CL281" s="428">
        <f t="shared" si="546"/>
        <v>0</v>
      </c>
      <c r="CM281" s="428">
        <f t="shared" si="547"/>
        <v>7911.5798532371045</v>
      </c>
      <c r="CN281" s="428">
        <f t="shared" si="547"/>
        <v>-2350</v>
      </c>
      <c r="CO281" s="428">
        <f t="shared" si="548"/>
        <v>0</v>
      </c>
      <c r="CP281" s="428">
        <f t="shared" si="549"/>
        <v>0</v>
      </c>
      <c r="CQ281" s="428">
        <f t="shared" si="550"/>
        <v>0</v>
      </c>
      <c r="CR281" s="428">
        <f t="shared" si="551"/>
        <v>0</v>
      </c>
      <c r="CS281" s="428">
        <f t="shared" si="552"/>
        <v>8495.0938548547456</v>
      </c>
      <c r="CT281" s="428">
        <f t="shared" si="552"/>
        <v>-2350</v>
      </c>
      <c r="CU281" s="428">
        <f t="shared" si="553"/>
        <v>0</v>
      </c>
      <c r="CV281" s="428">
        <f t="shared" si="554"/>
        <v>0</v>
      </c>
      <c r="CW281" s="428">
        <f t="shared" si="555"/>
        <v>0</v>
      </c>
      <c r="CX281" s="428">
        <f t="shared" si="556"/>
        <v>0</v>
      </c>
      <c r="CY281" s="428">
        <f t="shared" si="557"/>
        <v>9078.6078564723884</v>
      </c>
      <c r="CZ281" s="428">
        <f t="shared" si="557"/>
        <v>-2350</v>
      </c>
      <c r="DA281" s="428">
        <f t="shared" si="558"/>
        <v>0</v>
      </c>
      <c r="DB281" s="428">
        <f t="shared" si="559"/>
        <v>0</v>
      </c>
      <c r="DC281" s="428">
        <f t="shared" si="560"/>
        <v>0</v>
      </c>
      <c r="DD281" s="428">
        <f t="shared" si="561"/>
        <v>0</v>
      </c>
      <c r="DE281" s="428">
        <f t="shared" si="562"/>
        <v>9662.1218580900295</v>
      </c>
    </row>
    <row r="282" spans="1:109" ht="15" customHeight="1">
      <c r="A282" s="417"/>
      <c r="B282" s="829"/>
      <c r="C282" s="802">
        <f>C281-$G$458</f>
        <v>48</v>
      </c>
      <c r="D282" s="790">
        <f t="shared" si="506"/>
        <v>0.15774372710804152</v>
      </c>
      <c r="E282" s="790">
        <f t="shared" si="507"/>
        <v>0.18300322862788132</v>
      </c>
      <c r="F282" s="790">
        <f t="shared" si="508"/>
        <v>0.20627319771444963</v>
      </c>
      <c r="G282" s="790">
        <f t="shared" si="509"/>
        <v>0.22787487177305255</v>
      </c>
      <c r="H282" s="790">
        <f t="shared" si="510"/>
        <v>0.24805539608112093</v>
      </c>
      <c r="I282" s="790">
        <f t="shared" si="511"/>
        <v>0.2670092633547505</v>
      </c>
      <c r="J282" s="790">
        <f t="shared" si="512"/>
        <v>0.28489246780645927</v>
      </c>
      <c r="K282" s="790">
        <f t="shared" si="513"/>
        <v>0.30183216861035267</v>
      </c>
      <c r="L282" s="790">
        <f t="shared" si="514"/>
        <v>0.31793347821710261</v>
      </c>
      <c r="M282" s="417"/>
      <c r="N282" s="417"/>
      <c r="O282" s="417"/>
      <c r="P282" s="417"/>
      <c r="Q282" s="417"/>
      <c r="AT282" s="804">
        <f t="shared" si="515"/>
        <v>0</v>
      </c>
      <c r="AU282" s="804">
        <f t="shared" si="515"/>
        <v>0</v>
      </c>
      <c r="AV282" s="804">
        <f t="shared" si="515"/>
        <v>0</v>
      </c>
      <c r="AW282" s="804">
        <f t="shared" si="515"/>
        <v>0</v>
      </c>
      <c r="AX282" s="804">
        <f t="shared" si="515"/>
        <v>2</v>
      </c>
      <c r="AY282" s="804">
        <f t="shared" si="515"/>
        <v>4</v>
      </c>
      <c r="AZ282" s="804">
        <f t="shared" si="515"/>
        <v>6</v>
      </c>
      <c r="BA282" s="804">
        <f t="shared" ref="BA282:BB282" si="568">IF(AG296&lt;$G$449,0,MIN($G$446,1+IFERROR(INT((AG296-$G$449)/$G$467),0)))</f>
        <v>8</v>
      </c>
      <c r="BB282" s="804">
        <f t="shared" si="568"/>
        <v>10</v>
      </c>
      <c r="BD282" s="428">
        <f t="shared" si="517"/>
        <v>-2350</v>
      </c>
      <c r="BE282" s="428">
        <f t="shared" si="518"/>
        <v>0</v>
      </c>
      <c r="BF282" s="428">
        <f t="shared" si="519"/>
        <v>0</v>
      </c>
      <c r="BG282" s="428">
        <f t="shared" si="520"/>
        <v>0</v>
      </c>
      <c r="BH282" s="428">
        <f t="shared" si="521"/>
        <v>0</v>
      </c>
      <c r="BI282" s="428">
        <f t="shared" si="522"/>
        <v>4887.9870332917144</v>
      </c>
      <c r="BJ282" s="428">
        <f t="shared" si="522"/>
        <v>-2350</v>
      </c>
      <c r="BK282" s="428">
        <f t="shared" si="523"/>
        <v>0</v>
      </c>
      <c r="BL282" s="428">
        <f t="shared" si="524"/>
        <v>0</v>
      </c>
      <c r="BM282" s="428">
        <f t="shared" si="525"/>
        <v>0</v>
      </c>
      <c r="BN282" s="428">
        <f t="shared" si="526"/>
        <v>0</v>
      </c>
      <c r="BO282" s="428">
        <f t="shared" si="527"/>
        <v>5444.9953319450615</v>
      </c>
      <c r="BP282" s="428">
        <f t="shared" si="527"/>
        <v>-2350</v>
      </c>
      <c r="BQ282" s="428">
        <f t="shared" si="528"/>
        <v>0</v>
      </c>
      <c r="BR282" s="428">
        <f t="shared" si="529"/>
        <v>0</v>
      </c>
      <c r="BS282" s="428">
        <f t="shared" si="530"/>
        <v>0</v>
      </c>
      <c r="BT282" s="428">
        <f t="shared" si="531"/>
        <v>0</v>
      </c>
      <c r="BU282" s="428">
        <f t="shared" si="532"/>
        <v>6002.0036305984067</v>
      </c>
      <c r="BV282" s="428">
        <f t="shared" si="532"/>
        <v>-2350</v>
      </c>
      <c r="BW282" s="428">
        <f t="shared" si="533"/>
        <v>0</v>
      </c>
      <c r="BX282" s="428">
        <f t="shared" si="534"/>
        <v>0</v>
      </c>
      <c r="BY282" s="428">
        <f t="shared" si="535"/>
        <v>0</v>
      </c>
      <c r="BZ282" s="428">
        <f t="shared" si="536"/>
        <v>0</v>
      </c>
      <c r="CA282" s="428">
        <f t="shared" si="537"/>
        <v>6559.0119292517538</v>
      </c>
      <c r="CB282" s="428">
        <f t="shared" si="537"/>
        <v>-2350</v>
      </c>
      <c r="CC282" s="428">
        <f t="shared" si="538"/>
        <v>0</v>
      </c>
      <c r="CD282" s="428">
        <f t="shared" si="539"/>
        <v>0</v>
      </c>
      <c r="CE282" s="428">
        <f t="shared" si="540"/>
        <v>0</v>
      </c>
      <c r="CF282" s="428">
        <f t="shared" si="541"/>
        <v>0</v>
      </c>
      <c r="CG282" s="428">
        <f t="shared" si="542"/>
        <v>7116.0202279051</v>
      </c>
      <c r="CH282" s="428">
        <f t="shared" si="542"/>
        <v>-2350</v>
      </c>
      <c r="CI282" s="428">
        <f t="shared" si="543"/>
        <v>0</v>
      </c>
      <c r="CJ282" s="428">
        <f t="shared" si="544"/>
        <v>0</v>
      </c>
      <c r="CK282" s="428">
        <f t="shared" si="545"/>
        <v>0</v>
      </c>
      <c r="CL282" s="428">
        <f t="shared" si="546"/>
        <v>0</v>
      </c>
      <c r="CM282" s="428">
        <f t="shared" si="547"/>
        <v>7673.0285265584462</v>
      </c>
      <c r="CN282" s="428">
        <f t="shared" si="547"/>
        <v>-2350</v>
      </c>
      <c r="CO282" s="428">
        <f t="shared" si="548"/>
        <v>0</v>
      </c>
      <c r="CP282" s="428">
        <f t="shared" si="549"/>
        <v>0</v>
      </c>
      <c r="CQ282" s="428">
        <f t="shared" si="550"/>
        <v>0</v>
      </c>
      <c r="CR282" s="428">
        <f t="shared" si="551"/>
        <v>0</v>
      </c>
      <c r="CS282" s="428">
        <f t="shared" si="552"/>
        <v>8230.0368252117933</v>
      </c>
      <c r="CT282" s="428">
        <f t="shared" si="552"/>
        <v>-2350</v>
      </c>
      <c r="CU282" s="428">
        <f t="shared" si="553"/>
        <v>0</v>
      </c>
      <c r="CV282" s="428">
        <f t="shared" si="554"/>
        <v>0</v>
      </c>
      <c r="CW282" s="428">
        <f t="shared" si="555"/>
        <v>0</v>
      </c>
      <c r="CX282" s="428">
        <f t="shared" si="556"/>
        <v>0</v>
      </c>
      <c r="CY282" s="428">
        <f t="shared" si="557"/>
        <v>8787.0451238651403</v>
      </c>
      <c r="CZ282" s="428">
        <f t="shared" si="557"/>
        <v>-2350</v>
      </c>
      <c r="DA282" s="428">
        <f t="shared" si="558"/>
        <v>0</v>
      </c>
      <c r="DB282" s="428">
        <f t="shared" si="559"/>
        <v>0</v>
      </c>
      <c r="DC282" s="428">
        <f t="shared" si="560"/>
        <v>0</v>
      </c>
      <c r="DD282" s="428">
        <f t="shared" si="561"/>
        <v>0</v>
      </c>
      <c r="DE282" s="428">
        <f t="shared" si="562"/>
        <v>9344.0534225184856</v>
      </c>
    </row>
    <row r="283" spans="1:109" ht="3.95" hidden="1" customHeight="1">
      <c r="A283" s="417"/>
      <c r="B283" s="423" t="str">
        <f>"IRR: Yr 0 = cash at close less Keystone today; earnout Yr "&amp;$G$444&amp;"; Yr 5 = stake value; Topkey growth held at model (G437); rollover fixed at "&amp;TEXT($G$436,"0%")</f>
        <v>IRR: Yr 0 = cash at close less Keystone today; earnout Yr 3; Yr 5 = stake value; Topkey growth held at model (G437); rollover fixed at 30%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7"/>
      <c r="O283" s="417"/>
      <c r="P283" s="417"/>
      <c r="Q283" s="417"/>
    </row>
    <row r="284" spans="1:109" ht="3.95" customHeight="1">
      <c r="A284" s="417"/>
      <c r="B284" s="423"/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7"/>
      <c r="O284" s="417"/>
      <c r="P284" s="417"/>
      <c r="Q284" s="417"/>
    </row>
    <row r="285" spans="1:109" ht="15" customHeight="1">
      <c r="A285" s="417"/>
      <c r="B285" s="794" t="str">
        <f>"Ben's Return Profile Based on Partnering — Keystone Multiple × Net Client Wins ("&amp;TEXT($G$436,"0%")&amp;" Rollover) — Less Standalone"</f>
        <v>Ben's Return Profile Based on Partnering — Keystone Multiple × Net Client Wins (30% Rollover) — Less Standalone</v>
      </c>
      <c r="C285" s="794"/>
      <c r="D285" s="794"/>
      <c r="E285" s="794"/>
      <c r="F285" s="794"/>
      <c r="G285" s="794"/>
      <c r="H285" s="794"/>
      <c r="I285" s="794"/>
      <c r="J285" s="794"/>
      <c r="K285" s="794"/>
      <c r="L285" s="794"/>
      <c r="M285" s="417"/>
      <c r="N285" s="417"/>
      <c r="O285" s="417"/>
      <c r="P285" s="417"/>
      <c r="Q285" s="417"/>
    </row>
    <row r="286" spans="1:109" ht="15" customHeight="1">
      <c r="A286" s="417"/>
      <c r="B286" s="148" t="s">
        <v>2758</v>
      </c>
      <c r="C286" s="417"/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7"/>
      <c r="O286" s="417"/>
      <c r="P286" s="417"/>
      <c r="Q286" s="417"/>
    </row>
    <row r="287" spans="1:109" ht="2.1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</row>
    <row r="288" spans="1:109" ht="12.75" customHeight="1">
      <c r="A288" s="417"/>
      <c r="B288" s="454"/>
      <c r="C288" s="454"/>
      <c r="D288" s="767" t="s">
        <v>2751</v>
      </c>
      <c r="E288" s="767"/>
      <c r="F288" s="767"/>
      <c r="G288" s="767"/>
      <c r="H288" s="767"/>
      <c r="I288" s="767"/>
      <c r="J288" s="767"/>
      <c r="K288" s="767"/>
      <c r="L288" s="767"/>
      <c r="M288" s="417"/>
      <c r="N288" s="417"/>
      <c r="O288" s="417"/>
      <c r="P288" s="417"/>
      <c r="Q288" s="417"/>
      <c r="Z288" s="786" t="s">
        <v>2753</v>
      </c>
      <c r="AA288" s="746"/>
      <c r="AB288" s="746"/>
      <c r="AC288" s="746"/>
      <c r="AD288" s="746"/>
      <c r="AE288" s="746"/>
      <c r="AF288" s="746"/>
      <c r="AG288" s="746"/>
      <c r="AH288" s="746"/>
    </row>
    <row r="289" spans="1:54" ht="12.75" customHeight="1">
      <c r="A289" s="417"/>
      <c r="B289" s="454"/>
      <c r="C289" s="454"/>
      <c r="D289" s="815">
        <f>E289-$G$466</f>
        <v>1</v>
      </c>
      <c r="E289" s="815">
        <f>F289-$G$466</f>
        <v>1.25</v>
      </c>
      <c r="F289" s="815">
        <f>G289-$G$466</f>
        <v>1.5</v>
      </c>
      <c r="G289" s="815">
        <f>H289-$G$466</f>
        <v>1.75</v>
      </c>
      <c r="H289" s="815">
        <f>$G$465</f>
        <v>2</v>
      </c>
      <c r="I289" s="815">
        <f>H289+$G$466</f>
        <v>2.25</v>
      </c>
      <c r="J289" s="815">
        <f>I289+$G$466</f>
        <v>2.5</v>
      </c>
      <c r="K289" s="815">
        <f>J289+$G$466</f>
        <v>2.75</v>
      </c>
      <c r="L289" s="815">
        <f>K289+$G$466</f>
        <v>3</v>
      </c>
      <c r="M289" s="417"/>
      <c r="N289" s="417"/>
      <c r="O289" s="417"/>
      <c r="P289" s="417"/>
      <c r="Q289" s="417"/>
      <c r="Z289" s="816">
        <f t="shared" ref="Z289:AF289" si="569">D$289</f>
        <v>1</v>
      </c>
      <c r="AA289" s="816">
        <f t="shared" si="569"/>
        <v>1.25</v>
      </c>
      <c r="AB289" s="816">
        <f t="shared" si="569"/>
        <v>1.5</v>
      </c>
      <c r="AC289" s="816">
        <f t="shared" si="569"/>
        <v>1.75</v>
      </c>
      <c r="AD289" s="816">
        <f t="shared" si="569"/>
        <v>2</v>
      </c>
      <c r="AE289" s="816">
        <f t="shared" si="569"/>
        <v>2.25</v>
      </c>
      <c r="AF289" s="816">
        <f t="shared" si="569"/>
        <v>2.5</v>
      </c>
      <c r="AG289" s="816">
        <f t="shared" ref="AG289:AH289" si="570">K$289</f>
        <v>2.75</v>
      </c>
      <c r="AH289" s="816">
        <f t="shared" si="570"/>
        <v>3</v>
      </c>
      <c r="AT289" s="772" t="s">
        <v>2614</v>
      </c>
      <c r="AU289" s="427"/>
      <c r="AV289" s="427"/>
      <c r="AW289" s="427"/>
      <c r="AX289" s="427"/>
      <c r="AY289" s="427"/>
      <c r="AZ289" s="427"/>
      <c r="BA289" s="427"/>
      <c r="BB289" s="427"/>
    </row>
    <row r="290" spans="1:54" ht="15" customHeight="1">
      <c r="A290" s="417"/>
      <c r="B290" s="827" t="s">
        <v>2591</v>
      </c>
      <c r="C290" s="801">
        <f>C291+$G$458</f>
        <v>72</v>
      </c>
      <c r="D290" s="620">
        <f>ROUND(Z290,$G$452)</f>
        <v>-2600</v>
      </c>
      <c r="E290" s="620">
        <f t="shared" ref="E290:E296" si="571">ROUND(AA290,$G$452)</f>
        <v>-1800</v>
      </c>
      <c r="F290" s="620">
        <f t="shared" ref="F290:F296" si="572">ROUND(AB290,$G$452)</f>
        <v>-1100</v>
      </c>
      <c r="G290" s="620">
        <f t="shared" ref="G290:G296" si="573">ROUND(AC290,$G$452)</f>
        <v>-400</v>
      </c>
      <c r="H290" s="620">
        <f t="shared" ref="H290:H296" si="574">ROUND(AD290,$G$452)</f>
        <v>300</v>
      </c>
      <c r="I290" s="620">
        <f t="shared" ref="I290:I296" si="575">ROUND(AE290,$G$452)</f>
        <v>1000</v>
      </c>
      <c r="J290" s="620">
        <f t="shared" ref="J290:J296" si="576">ROUND(AF290,$G$452)</f>
        <v>1700</v>
      </c>
      <c r="K290" s="620">
        <f t="shared" ref="K290:K296" si="577">ROUND(AG290,$G$452)</f>
        <v>2400</v>
      </c>
      <c r="L290" s="620">
        <f t="shared" ref="L290:L296" si="578">ROUND(AH290,$G$452)</f>
        <v>3200</v>
      </c>
      <c r="M290" s="417"/>
      <c r="N290" s="417"/>
      <c r="O290" s="417"/>
      <c r="P290" s="417"/>
      <c r="Q290" s="417"/>
      <c r="Z290" s="367">
        <f t="shared" ref="Z290:AF296" si="579">Z250+$G$430-$AL250</f>
        <v>-2563.4942688702813</v>
      </c>
      <c r="AA290" s="367">
        <f t="shared" si="579"/>
        <v>-1847.4517524311632</v>
      </c>
      <c r="AB290" s="367">
        <f t="shared" si="579"/>
        <v>-1131.4092359920451</v>
      </c>
      <c r="AC290" s="367">
        <f t="shared" si="579"/>
        <v>-415.36671955292695</v>
      </c>
      <c r="AD290" s="367">
        <f t="shared" si="579"/>
        <v>300.67579688619116</v>
      </c>
      <c r="AE290" s="367">
        <f t="shared" si="579"/>
        <v>1016.7183133253093</v>
      </c>
      <c r="AF290" s="367">
        <f t="shared" si="579"/>
        <v>1732.7608297644292</v>
      </c>
      <c r="AG290" s="367">
        <f t="shared" ref="AG290:AH290" si="580">AG250+$G$430-$AL250</f>
        <v>2448.8033462035455</v>
      </c>
      <c r="AH290" s="367">
        <f t="shared" si="580"/>
        <v>3164.8458626426636</v>
      </c>
      <c r="AT290" s="804">
        <f t="shared" ref="AT290:AZ296" si="581">IF(Z290&lt;$G$449,0,MIN($G$446,1+IFERROR(INT((Z290-$G$449)/$G$467),0)))</f>
        <v>0</v>
      </c>
      <c r="AU290" s="804">
        <f t="shared" si="581"/>
        <v>0</v>
      </c>
      <c r="AV290" s="804">
        <f t="shared" si="581"/>
        <v>0</v>
      </c>
      <c r="AW290" s="804">
        <f t="shared" si="581"/>
        <v>0</v>
      </c>
      <c r="AX290" s="804">
        <f t="shared" si="581"/>
        <v>0</v>
      </c>
      <c r="AY290" s="804">
        <f t="shared" si="581"/>
        <v>1</v>
      </c>
      <c r="AZ290" s="804">
        <f t="shared" si="581"/>
        <v>3</v>
      </c>
      <c r="BA290" s="804">
        <f t="shared" ref="BA290:BB296" si="582">IF(AG290&lt;$G$449,0,MIN($G$446,1+IFERROR(INT((AG290-$G$449)/$G$467),0)))</f>
        <v>6</v>
      </c>
      <c r="BB290" s="804">
        <f t="shared" si="582"/>
        <v>8</v>
      </c>
    </row>
    <row r="291" spans="1:54" ht="15" customHeight="1">
      <c r="A291" s="417"/>
      <c r="B291" s="828"/>
      <c r="C291" s="801">
        <f>C292+$G$458</f>
        <v>68</v>
      </c>
      <c r="D291" s="470">
        <f t="shared" ref="D291:D296" si="583">ROUND(Z291,$G$452)</f>
        <v>-2300</v>
      </c>
      <c r="E291" s="470">
        <f t="shared" si="571"/>
        <v>-1600</v>
      </c>
      <c r="F291" s="470">
        <f t="shared" si="572"/>
        <v>-900</v>
      </c>
      <c r="G291" s="470">
        <f t="shared" si="573"/>
        <v>-200</v>
      </c>
      <c r="H291" s="470">
        <f t="shared" si="574"/>
        <v>500</v>
      </c>
      <c r="I291" s="470">
        <f t="shared" si="575"/>
        <v>1200</v>
      </c>
      <c r="J291" s="470">
        <f t="shared" si="576"/>
        <v>1900</v>
      </c>
      <c r="K291" s="470">
        <f t="shared" si="577"/>
        <v>2600</v>
      </c>
      <c r="L291" s="470">
        <f t="shared" si="578"/>
        <v>3300</v>
      </c>
      <c r="M291" s="417"/>
      <c r="N291" s="417"/>
      <c r="O291" s="417"/>
      <c r="P291" s="417"/>
      <c r="Q291" s="417"/>
      <c r="Z291" s="367">
        <f t="shared" si="579"/>
        <v>-2253.7302558687043</v>
      </c>
      <c r="AA291" s="367">
        <f t="shared" si="579"/>
        <v>-1564.1934423938819</v>
      </c>
      <c r="AB291" s="367">
        <f t="shared" si="579"/>
        <v>-874.65662891905959</v>
      </c>
      <c r="AC291" s="367">
        <f t="shared" si="579"/>
        <v>-185.11981544423543</v>
      </c>
      <c r="AD291" s="367">
        <f t="shared" si="579"/>
        <v>504.41699803058691</v>
      </c>
      <c r="AE291" s="367">
        <f t="shared" si="579"/>
        <v>1193.9538115054111</v>
      </c>
      <c r="AF291" s="367">
        <f t="shared" si="579"/>
        <v>1883.4906249802334</v>
      </c>
      <c r="AG291" s="367">
        <f t="shared" ref="AG291:AH291" si="584">AG251+$G$430-$AL251</f>
        <v>2573.0274384550557</v>
      </c>
      <c r="AH291" s="367">
        <f t="shared" si="584"/>
        <v>3262.5642519298781</v>
      </c>
      <c r="AT291" s="804">
        <f t="shared" si="581"/>
        <v>0</v>
      </c>
      <c r="AU291" s="804">
        <f t="shared" si="581"/>
        <v>0</v>
      </c>
      <c r="AV291" s="804">
        <f t="shared" si="581"/>
        <v>0</v>
      </c>
      <c r="AW291" s="804">
        <f t="shared" si="581"/>
        <v>0</v>
      </c>
      <c r="AX291" s="804">
        <f t="shared" si="581"/>
        <v>0</v>
      </c>
      <c r="AY291" s="804">
        <f t="shared" si="581"/>
        <v>1</v>
      </c>
      <c r="AZ291" s="804">
        <f t="shared" si="581"/>
        <v>4</v>
      </c>
      <c r="BA291" s="804">
        <f t="shared" si="582"/>
        <v>6</v>
      </c>
      <c r="BB291" s="804">
        <f t="shared" si="582"/>
        <v>9</v>
      </c>
    </row>
    <row r="292" spans="1:54" ht="15" customHeight="1">
      <c r="A292" s="417"/>
      <c r="B292" s="828"/>
      <c r="C292" s="801">
        <f>C293+$G$458</f>
        <v>64</v>
      </c>
      <c r="D292" s="470">
        <f t="shared" si="583"/>
        <v>-1900</v>
      </c>
      <c r="E292" s="470">
        <f t="shared" si="571"/>
        <v>-1300</v>
      </c>
      <c r="F292" s="470">
        <f t="shared" si="572"/>
        <v>-600</v>
      </c>
      <c r="G292" s="470">
        <f t="shared" si="573"/>
        <v>0</v>
      </c>
      <c r="H292" s="470">
        <f t="shared" si="574"/>
        <v>700</v>
      </c>
      <c r="I292" s="470">
        <f t="shared" si="575"/>
        <v>1400</v>
      </c>
      <c r="J292" s="470">
        <f t="shared" si="576"/>
        <v>2000</v>
      </c>
      <c r="K292" s="470">
        <f t="shared" si="577"/>
        <v>2700</v>
      </c>
      <c r="L292" s="470">
        <f t="shared" si="578"/>
        <v>3400</v>
      </c>
      <c r="M292" s="417"/>
      <c r="N292" s="417"/>
      <c r="O292" s="417"/>
      <c r="P292" s="417"/>
      <c r="Q292" s="417"/>
      <c r="Z292" s="367">
        <f t="shared" si="579"/>
        <v>-1943.966242867129</v>
      </c>
      <c r="AA292" s="367">
        <f t="shared" si="579"/>
        <v>-1280.9351323566007</v>
      </c>
      <c r="AB292" s="367">
        <f t="shared" si="579"/>
        <v>-617.9040218460741</v>
      </c>
      <c r="AC292" s="367">
        <f t="shared" si="579"/>
        <v>45.127088664454277</v>
      </c>
      <c r="AD292" s="367">
        <f t="shared" si="579"/>
        <v>708.15819917498266</v>
      </c>
      <c r="AE292" s="367">
        <f t="shared" si="579"/>
        <v>1371.189309685511</v>
      </c>
      <c r="AF292" s="367">
        <f t="shared" si="579"/>
        <v>2034.2204201960376</v>
      </c>
      <c r="AG292" s="367">
        <f t="shared" ref="AG292:AH292" si="585">AG252+$G$430-$AL252</f>
        <v>2697.251530706566</v>
      </c>
      <c r="AH292" s="367">
        <f t="shared" si="585"/>
        <v>3360.2826412170925</v>
      </c>
      <c r="AT292" s="804">
        <f t="shared" si="581"/>
        <v>0</v>
      </c>
      <c r="AU292" s="804">
        <f t="shared" si="581"/>
        <v>0</v>
      </c>
      <c r="AV292" s="804">
        <f t="shared" si="581"/>
        <v>0</v>
      </c>
      <c r="AW292" s="804">
        <f t="shared" si="581"/>
        <v>0</v>
      </c>
      <c r="AX292" s="804">
        <f t="shared" si="581"/>
        <v>0</v>
      </c>
      <c r="AY292" s="804">
        <f t="shared" si="581"/>
        <v>2</v>
      </c>
      <c r="AZ292" s="804">
        <f t="shared" si="581"/>
        <v>4</v>
      </c>
      <c r="BA292" s="804">
        <f t="shared" si="582"/>
        <v>7</v>
      </c>
      <c r="BB292" s="804">
        <f t="shared" si="582"/>
        <v>9</v>
      </c>
    </row>
    <row r="293" spans="1:54" ht="15" customHeight="1">
      <c r="A293" s="417"/>
      <c r="B293" s="828"/>
      <c r="C293" s="801">
        <f>$G$457</f>
        <v>60</v>
      </c>
      <c r="D293" s="470">
        <f t="shared" si="583"/>
        <v>-1600</v>
      </c>
      <c r="E293" s="470">
        <f t="shared" si="571"/>
        <v>-1000</v>
      </c>
      <c r="F293" s="470">
        <f t="shared" si="572"/>
        <v>-400</v>
      </c>
      <c r="G293" s="470">
        <f t="shared" si="573"/>
        <v>300</v>
      </c>
      <c r="H293" s="781">
        <f t="shared" si="574"/>
        <v>900</v>
      </c>
      <c r="I293" s="470">
        <f t="shared" si="575"/>
        <v>1500</v>
      </c>
      <c r="J293" s="470">
        <f t="shared" si="576"/>
        <v>2200</v>
      </c>
      <c r="K293" s="470">
        <f t="shared" si="577"/>
        <v>2800</v>
      </c>
      <c r="L293" s="470">
        <f t="shared" si="578"/>
        <v>3500</v>
      </c>
      <c r="M293" s="417"/>
      <c r="N293" s="417"/>
      <c r="O293" s="417"/>
      <c r="P293" s="417"/>
      <c r="Q293" s="417"/>
      <c r="Z293" s="367">
        <f t="shared" si="579"/>
        <v>-1634.2022298655538</v>
      </c>
      <c r="AA293" s="367">
        <f t="shared" si="579"/>
        <v>-997.67682231932122</v>
      </c>
      <c r="AB293" s="367">
        <f t="shared" si="579"/>
        <v>-361.15141477309044</v>
      </c>
      <c r="AC293" s="367">
        <f t="shared" si="579"/>
        <v>275.37399277314216</v>
      </c>
      <c r="AD293" s="367">
        <f t="shared" si="579"/>
        <v>911.89940031937476</v>
      </c>
      <c r="AE293" s="367">
        <f t="shared" si="579"/>
        <v>1548.4248078656074</v>
      </c>
      <c r="AF293" s="367">
        <f t="shared" si="579"/>
        <v>2184.95021541184</v>
      </c>
      <c r="AG293" s="367">
        <f t="shared" ref="AG293:AH293" si="586">AG253+$G$430-$AL253</f>
        <v>2821.4756229580707</v>
      </c>
      <c r="AH293" s="367">
        <f t="shared" si="586"/>
        <v>3458.0010305043033</v>
      </c>
      <c r="AT293" s="804">
        <f t="shared" si="581"/>
        <v>0</v>
      </c>
      <c r="AU293" s="804">
        <f t="shared" si="581"/>
        <v>0</v>
      </c>
      <c r="AV293" s="804">
        <f t="shared" si="581"/>
        <v>0</v>
      </c>
      <c r="AW293" s="804">
        <f t="shared" si="581"/>
        <v>0</v>
      </c>
      <c r="AX293" s="804">
        <f t="shared" si="581"/>
        <v>0</v>
      </c>
      <c r="AY293" s="804">
        <f t="shared" si="581"/>
        <v>2</v>
      </c>
      <c r="AZ293" s="804">
        <f t="shared" si="581"/>
        <v>5</v>
      </c>
      <c r="BA293" s="804">
        <f t="shared" si="582"/>
        <v>7</v>
      </c>
      <c r="BB293" s="804">
        <f t="shared" si="582"/>
        <v>9</v>
      </c>
    </row>
    <row r="294" spans="1:54" ht="15" customHeight="1">
      <c r="A294" s="417"/>
      <c r="B294" s="828"/>
      <c r="C294" s="801">
        <f>C293-$G$458</f>
        <v>56</v>
      </c>
      <c r="D294" s="470">
        <f t="shared" si="583"/>
        <v>-1300</v>
      </c>
      <c r="E294" s="470">
        <f t="shared" si="571"/>
        <v>-700</v>
      </c>
      <c r="F294" s="470">
        <f t="shared" si="572"/>
        <v>-100</v>
      </c>
      <c r="G294" s="470">
        <f t="shared" si="573"/>
        <v>500</v>
      </c>
      <c r="H294" s="470">
        <f t="shared" si="574"/>
        <v>1100</v>
      </c>
      <c r="I294" s="470">
        <f t="shared" si="575"/>
        <v>1700</v>
      </c>
      <c r="J294" s="470">
        <f t="shared" si="576"/>
        <v>2300</v>
      </c>
      <c r="K294" s="470">
        <f t="shared" si="577"/>
        <v>2900</v>
      </c>
      <c r="L294" s="470">
        <f t="shared" si="578"/>
        <v>3600</v>
      </c>
      <c r="M294" s="417"/>
      <c r="N294" s="417"/>
      <c r="O294" s="417"/>
      <c r="P294" s="417"/>
      <c r="Q294" s="417"/>
      <c r="Z294" s="367">
        <f t="shared" si="579"/>
        <v>-1324.4382168639777</v>
      </c>
      <c r="AA294" s="367">
        <f t="shared" si="579"/>
        <v>-714.41851228204087</v>
      </c>
      <c r="AB294" s="367">
        <f t="shared" si="579"/>
        <v>-104.39880770010404</v>
      </c>
      <c r="AC294" s="367">
        <f t="shared" si="579"/>
        <v>505.62089688183278</v>
      </c>
      <c r="AD294" s="367">
        <f t="shared" si="579"/>
        <v>1115.6406014637714</v>
      </c>
      <c r="AE294" s="367">
        <f t="shared" si="579"/>
        <v>1725.6603060457082</v>
      </c>
      <c r="AF294" s="367">
        <f t="shared" si="579"/>
        <v>2335.6800106276451</v>
      </c>
      <c r="AG294" s="367">
        <f t="shared" ref="AG294:AH294" si="587">AG254+$G$430-$AL254</f>
        <v>2945.6997152095819</v>
      </c>
      <c r="AH294" s="367">
        <f t="shared" si="587"/>
        <v>3555.7194197915187</v>
      </c>
      <c r="AT294" s="804">
        <f t="shared" si="581"/>
        <v>0</v>
      </c>
      <c r="AU294" s="804">
        <f t="shared" si="581"/>
        <v>0</v>
      </c>
      <c r="AV294" s="804">
        <f t="shared" si="581"/>
        <v>0</v>
      </c>
      <c r="AW294" s="804">
        <f t="shared" si="581"/>
        <v>0</v>
      </c>
      <c r="AX294" s="804">
        <f t="shared" si="581"/>
        <v>1</v>
      </c>
      <c r="AY294" s="804">
        <f t="shared" si="581"/>
        <v>3</v>
      </c>
      <c r="AZ294" s="804">
        <f t="shared" si="581"/>
        <v>5</v>
      </c>
      <c r="BA294" s="804">
        <f t="shared" si="582"/>
        <v>8</v>
      </c>
      <c r="BB294" s="804">
        <f t="shared" si="582"/>
        <v>10</v>
      </c>
    </row>
    <row r="295" spans="1:54" ht="15" customHeight="1">
      <c r="A295" s="417"/>
      <c r="B295" s="828"/>
      <c r="C295" s="801">
        <f>C294-$G$458</f>
        <v>52</v>
      </c>
      <c r="D295" s="470">
        <f t="shared" si="583"/>
        <v>-1000</v>
      </c>
      <c r="E295" s="470">
        <f t="shared" si="571"/>
        <v>-400</v>
      </c>
      <c r="F295" s="470">
        <f t="shared" si="572"/>
        <v>200</v>
      </c>
      <c r="G295" s="470">
        <f t="shared" si="573"/>
        <v>700</v>
      </c>
      <c r="H295" s="470">
        <f t="shared" si="574"/>
        <v>1300</v>
      </c>
      <c r="I295" s="470">
        <f t="shared" si="575"/>
        <v>1900</v>
      </c>
      <c r="J295" s="470">
        <f t="shared" si="576"/>
        <v>2500</v>
      </c>
      <c r="K295" s="470">
        <f t="shared" si="577"/>
        <v>3100</v>
      </c>
      <c r="L295" s="470">
        <f t="shared" si="578"/>
        <v>3700</v>
      </c>
      <c r="M295" s="417"/>
      <c r="N295" s="417"/>
      <c r="O295" s="417"/>
      <c r="P295" s="417"/>
      <c r="Q295" s="417"/>
      <c r="Z295" s="367">
        <f t="shared" si="579"/>
        <v>-1014.6742038624034</v>
      </c>
      <c r="AA295" s="367">
        <f t="shared" si="579"/>
        <v>-431.16020224476142</v>
      </c>
      <c r="AB295" s="367">
        <f t="shared" si="579"/>
        <v>152.35379937288053</v>
      </c>
      <c r="AC295" s="367">
        <f t="shared" si="579"/>
        <v>735.86780099052157</v>
      </c>
      <c r="AD295" s="367">
        <f t="shared" si="579"/>
        <v>1319.3818026081644</v>
      </c>
      <c r="AE295" s="367">
        <f t="shared" si="579"/>
        <v>1902.8958042258055</v>
      </c>
      <c r="AF295" s="367">
        <f t="shared" si="579"/>
        <v>2486.4098058434465</v>
      </c>
      <c r="AG295" s="367">
        <f t="shared" ref="AG295:AH295" si="588">AG255+$G$430-$AL255</f>
        <v>3069.9238074610894</v>
      </c>
      <c r="AH295" s="367">
        <f t="shared" si="588"/>
        <v>3653.4378090787304</v>
      </c>
      <c r="AT295" s="804">
        <f t="shared" si="581"/>
        <v>0</v>
      </c>
      <c r="AU295" s="804">
        <f t="shared" si="581"/>
        <v>0</v>
      </c>
      <c r="AV295" s="804">
        <f t="shared" si="581"/>
        <v>0</v>
      </c>
      <c r="AW295" s="804">
        <f t="shared" si="581"/>
        <v>0</v>
      </c>
      <c r="AX295" s="804">
        <f t="shared" si="581"/>
        <v>2</v>
      </c>
      <c r="AY295" s="804">
        <f t="shared" si="581"/>
        <v>4</v>
      </c>
      <c r="AZ295" s="804">
        <f t="shared" si="581"/>
        <v>6</v>
      </c>
      <c r="BA295" s="804">
        <f t="shared" si="582"/>
        <v>8</v>
      </c>
      <c r="BB295" s="804">
        <f t="shared" si="582"/>
        <v>10</v>
      </c>
    </row>
    <row r="296" spans="1:54" ht="15" customHeight="1">
      <c r="A296" s="417"/>
      <c r="B296" s="829"/>
      <c r="C296" s="802">
        <f>C295-$G$458</f>
        <v>48</v>
      </c>
      <c r="D296" s="771">
        <f t="shared" si="583"/>
        <v>-700</v>
      </c>
      <c r="E296" s="771">
        <f t="shared" si="571"/>
        <v>-100</v>
      </c>
      <c r="F296" s="771">
        <f t="shared" si="572"/>
        <v>400</v>
      </c>
      <c r="G296" s="771">
        <f t="shared" si="573"/>
        <v>1000</v>
      </c>
      <c r="H296" s="771">
        <f t="shared" si="574"/>
        <v>1500</v>
      </c>
      <c r="I296" s="771">
        <f t="shared" si="575"/>
        <v>2100</v>
      </c>
      <c r="J296" s="771">
        <f t="shared" si="576"/>
        <v>2600</v>
      </c>
      <c r="K296" s="771">
        <f t="shared" si="577"/>
        <v>3200</v>
      </c>
      <c r="L296" s="771">
        <f t="shared" si="578"/>
        <v>3800</v>
      </c>
      <c r="M296" s="417"/>
      <c r="N296" s="417"/>
      <c r="O296" s="417"/>
      <c r="P296" s="417"/>
      <c r="Q296" s="417"/>
      <c r="Z296" s="367">
        <f t="shared" si="579"/>
        <v>-704.91019086082633</v>
      </c>
      <c r="AA296" s="367">
        <f t="shared" si="579"/>
        <v>-147.90189220747925</v>
      </c>
      <c r="AB296" s="367">
        <f t="shared" si="579"/>
        <v>409.10640644586601</v>
      </c>
      <c r="AC296" s="367">
        <f t="shared" si="579"/>
        <v>966.1147050992131</v>
      </c>
      <c r="AD296" s="367">
        <f t="shared" si="579"/>
        <v>1523.1230037525593</v>
      </c>
      <c r="AE296" s="367">
        <f t="shared" si="579"/>
        <v>2080.1313024059054</v>
      </c>
      <c r="AF296" s="367">
        <f t="shared" si="579"/>
        <v>2637.1396010592525</v>
      </c>
      <c r="AG296" s="367">
        <f t="shared" ref="AG296:AH296" si="589">AG256+$G$430-$AL256</f>
        <v>3194.1478997125996</v>
      </c>
      <c r="AH296" s="367">
        <f t="shared" si="589"/>
        <v>3751.1561983659449</v>
      </c>
      <c r="AT296" s="804">
        <f t="shared" si="581"/>
        <v>0</v>
      </c>
      <c r="AU296" s="804">
        <f t="shared" si="581"/>
        <v>0</v>
      </c>
      <c r="AV296" s="804">
        <f t="shared" si="581"/>
        <v>0</v>
      </c>
      <c r="AW296" s="804">
        <f t="shared" si="581"/>
        <v>0</v>
      </c>
      <c r="AX296" s="804">
        <f t="shared" si="581"/>
        <v>2</v>
      </c>
      <c r="AY296" s="804">
        <f t="shared" si="581"/>
        <v>4</v>
      </c>
      <c r="AZ296" s="804">
        <f t="shared" si="581"/>
        <v>6</v>
      </c>
      <c r="BA296" s="804">
        <f t="shared" si="582"/>
        <v>8</v>
      </c>
      <c r="BB296" s="804">
        <f t="shared" si="582"/>
        <v>10</v>
      </c>
    </row>
    <row r="297" spans="1:54" ht="3.95" hidden="1" customHeight="1">
      <c r="A297" s="417"/>
      <c r="B297" s="423" t="s">
        <v>2761</v>
      </c>
      <c r="C297" s="784"/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7"/>
      <c r="O297" s="417"/>
      <c r="P297" s="417"/>
      <c r="Q297" s="417"/>
    </row>
    <row r="298" spans="1:54" ht="3.9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7"/>
      <c r="O298" s="417"/>
      <c r="P298" s="417"/>
      <c r="Q298" s="417"/>
    </row>
    <row r="299" spans="1:54" ht="15" customHeight="1">
      <c r="A299" s="417"/>
      <c r="B299" s="148" t="s">
        <v>2759</v>
      </c>
      <c r="C299" s="417"/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7"/>
      <c r="O299" s="417"/>
      <c r="P299" s="417"/>
      <c r="Q299" s="417"/>
    </row>
    <row r="300" spans="1:54" ht="2.1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7"/>
      <c r="O300" s="417"/>
      <c r="P300" s="417"/>
      <c r="Q300" s="417"/>
    </row>
    <row r="301" spans="1:54" ht="12.75" customHeight="1">
      <c r="A301" s="417"/>
      <c r="B301" s="454"/>
      <c r="C301" s="454"/>
      <c r="D301" s="767" t="s">
        <v>2751</v>
      </c>
      <c r="E301" s="767"/>
      <c r="F301" s="767"/>
      <c r="G301" s="767"/>
      <c r="H301" s="767"/>
      <c r="I301" s="767"/>
      <c r="J301" s="767"/>
      <c r="K301" s="767"/>
      <c r="L301" s="767"/>
      <c r="M301" s="417"/>
      <c r="N301" s="417"/>
      <c r="O301" s="417"/>
      <c r="P301" s="417"/>
      <c r="Q301" s="417"/>
    </row>
    <row r="302" spans="1:54" ht="12.75" customHeight="1">
      <c r="A302" s="417"/>
      <c r="B302" s="454"/>
      <c r="C302" s="454"/>
      <c r="D302" s="815">
        <f>E302-$G$466</f>
        <v>1</v>
      </c>
      <c r="E302" s="815">
        <f>F302-$G$466</f>
        <v>1.25</v>
      </c>
      <c r="F302" s="815">
        <f>G302-$G$466</f>
        <v>1.5</v>
      </c>
      <c r="G302" s="815">
        <f>H302-$G$466</f>
        <v>1.75</v>
      </c>
      <c r="H302" s="815">
        <f>$G$465</f>
        <v>2</v>
      </c>
      <c r="I302" s="815">
        <f>H302+$G$466</f>
        <v>2.25</v>
      </c>
      <c r="J302" s="815">
        <f>I302+$G$466</f>
        <v>2.5</v>
      </c>
      <c r="K302" s="815">
        <f>J302+$G$466</f>
        <v>2.75</v>
      </c>
      <c r="L302" s="815">
        <f>K302+$G$466</f>
        <v>3</v>
      </c>
      <c r="M302" s="417"/>
      <c r="N302" s="417"/>
      <c r="O302" s="417"/>
      <c r="P302" s="417"/>
      <c r="Q302" s="417"/>
      <c r="AT302" s="772" t="s">
        <v>2614</v>
      </c>
      <c r="AU302" s="427"/>
      <c r="AV302" s="427"/>
      <c r="AW302" s="427"/>
      <c r="AX302" s="427"/>
      <c r="AY302" s="427"/>
      <c r="AZ302" s="427"/>
      <c r="BA302" s="427"/>
      <c r="BB302" s="427"/>
    </row>
    <row r="303" spans="1:54" ht="15" customHeight="1">
      <c r="A303" s="417"/>
      <c r="B303" s="827" t="s">
        <v>2591</v>
      </c>
      <c r="C303" s="801">
        <f>C304+$G$458</f>
        <v>72</v>
      </c>
      <c r="D303" s="490">
        <f>IFERROR(Z290/$AL250,0)</f>
        <v>-0.29338593401828822</v>
      </c>
      <c r="E303" s="490">
        <f t="shared" ref="E303:E309" si="590">IFERROR(AA290/$AL250,0)</f>
        <v>-0.21143653977412791</v>
      </c>
      <c r="F303" s="490">
        <f t="shared" ref="F303:F309" si="591">IFERROR(AB290/$AL250,0)</f>
        <v>-0.1294871455299676</v>
      </c>
      <c r="G303" s="490">
        <f t="shared" ref="G303:G309" si="592">IFERROR(AC290/$AL250,0)</f>
        <v>-4.7537751285807298E-2</v>
      </c>
      <c r="H303" s="490">
        <f t="shared" ref="H303:H309" si="593">IFERROR(AD290/$AL250,0)</f>
        <v>3.4411642958353007E-2</v>
      </c>
      <c r="I303" s="490">
        <f t="shared" ref="I303:I309" si="594">IFERROR(AE290/$AL250,0)</f>
        <v>0.11636103720251331</v>
      </c>
      <c r="J303" s="490">
        <f t="shared" ref="J303:J309" si="595">IFERROR(AF290/$AL250,0)</f>
        <v>0.19831043144667385</v>
      </c>
      <c r="K303" s="490">
        <f t="shared" ref="K303:K309" si="596">IFERROR(AG290/$AL250,0)</f>
        <v>0.28025982569083391</v>
      </c>
      <c r="L303" s="490">
        <f t="shared" ref="L303:L309" si="597">IFERROR(AH290/$AL250,0)</f>
        <v>0.36220921993499422</v>
      </c>
      <c r="M303" s="417"/>
      <c r="N303" s="417"/>
      <c r="O303" s="417"/>
      <c r="P303" s="417"/>
      <c r="Q303" s="417"/>
      <c r="AT303" s="804">
        <f t="shared" ref="AT303:AZ309" si="598">IF(Z290&lt;$G$449,0,MIN($G$446,1+IFERROR(INT((Z290-$G$449)/$G$467),0)))</f>
        <v>0</v>
      </c>
      <c r="AU303" s="804">
        <f t="shared" si="598"/>
        <v>0</v>
      </c>
      <c r="AV303" s="804">
        <f t="shared" si="598"/>
        <v>0</v>
      </c>
      <c r="AW303" s="804">
        <f t="shared" si="598"/>
        <v>0</v>
      </c>
      <c r="AX303" s="804">
        <f t="shared" si="598"/>
        <v>0</v>
      </c>
      <c r="AY303" s="804">
        <f t="shared" si="598"/>
        <v>1</v>
      </c>
      <c r="AZ303" s="804">
        <f t="shared" si="598"/>
        <v>3</v>
      </c>
      <c r="BA303" s="804">
        <f t="shared" ref="BA303:BB303" si="599">IF(AG290&lt;$G$449,0,MIN($G$446,1+IFERROR(INT((AG290-$G$449)/$G$467),0)))</f>
        <v>6</v>
      </c>
      <c r="BB303" s="804">
        <f t="shared" si="599"/>
        <v>8</v>
      </c>
    </row>
    <row r="304" spans="1:54" ht="15" customHeight="1">
      <c r="A304" s="417"/>
      <c r="B304" s="828"/>
      <c r="C304" s="801">
        <f>C305+$G$458</f>
        <v>68</v>
      </c>
      <c r="D304" s="490">
        <f t="shared" ref="D304:D309" si="600">IFERROR(Z291/$AL251,0)</f>
        <v>-0.27082142878195586</v>
      </c>
      <c r="E304" s="490">
        <f t="shared" si="590"/>
        <v>-0.18796264630932646</v>
      </c>
      <c r="F304" s="490">
        <f t="shared" si="591"/>
        <v>-0.10510386383669705</v>
      </c>
      <c r="G304" s="490">
        <f t="shared" si="592"/>
        <v>-2.2245081364067425E-2</v>
      </c>
      <c r="H304" s="490">
        <f t="shared" si="593"/>
        <v>6.0613701108561985E-2</v>
      </c>
      <c r="I304" s="490">
        <f t="shared" si="594"/>
        <v>0.14347248358119161</v>
      </c>
      <c r="J304" s="490">
        <f t="shared" si="595"/>
        <v>0.22633126605382103</v>
      </c>
      <c r="K304" s="490">
        <f t="shared" si="596"/>
        <v>0.30919004852645043</v>
      </c>
      <c r="L304" s="490">
        <f t="shared" si="597"/>
        <v>0.39204883099907983</v>
      </c>
      <c r="M304" s="417"/>
      <c r="N304" s="417"/>
      <c r="O304" s="417"/>
      <c r="P304" s="417"/>
      <c r="Q304" s="417"/>
      <c r="AT304" s="804">
        <f t="shared" si="598"/>
        <v>0</v>
      </c>
      <c r="AU304" s="804">
        <f t="shared" si="598"/>
        <v>0</v>
      </c>
      <c r="AV304" s="804">
        <f t="shared" si="598"/>
        <v>0</v>
      </c>
      <c r="AW304" s="804">
        <f t="shared" si="598"/>
        <v>0</v>
      </c>
      <c r="AX304" s="804">
        <f t="shared" si="598"/>
        <v>0</v>
      </c>
      <c r="AY304" s="804">
        <f t="shared" si="598"/>
        <v>1</v>
      </c>
      <c r="AZ304" s="804">
        <f t="shared" si="598"/>
        <v>4</v>
      </c>
      <c r="BA304" s="804">
        <f t="shared" ref="BA304:BB304" si="601">IF(AG291&lt;$G$449,0,MIN($G$446,1+IFERROR(INT((AG291-$G$449)/$G$467),0)))</f>
        <v>6</v>
      </c>
      <c r="BB304" s="804">
        <f t="shared" si="601"/>
        <v>9</v>
      </c>
    </row>
    <row r="305" spans="1:54" ht="15" customHeight="1">
      <c r="A305" s="417"/>
      <c r="B305" s="828"/>
      <c r="C305" s="801">
        <f>C306+$G$458</f>
        <v>64</v>
      </c>
      <c r="D305" s="490">
        <f t="shared" si="600"/>
        <v>-0.24588354354283409</v>
      </c>
      <c r="E305" s="490">
        <f t="shared" si="590"/>
        <v>-0.1620197215605034</v>
      </c>
      <c r="F305" s="490">
        <f t="shared" si="591"/>
        <v>-7.8155899578172941E-2</v>
      </c>
      <c r="G305" s="490">
        <f t="shared" si="592"/>
        <v>5.7079224041577635E-3</v>
      </c>
      <c r="H305" s="490">
        <f t="shared" si="593"/>
        <v>8.9571744386488461E-2</v>
      </c>
      <c r="I305" s="490">
        <f t="shared" si="594"/>
        <v>0.17343556636881916</v>
      </c>
      <c r="J305" s="490">
        <f t="shared" si="595"/>
        <v>0.25729938835114963</v>
      </c>
      <c r="K305" s="490">
        <f t="shared" si="596"/>
        <v>0.34116321033348035</v>
      </c>
      <c r="L305" s="490">
        <f t="shared" si="597"/>
        <v>0.42502703231581079</v>
      </c>
      <c r="M305" s="417"/>
      <c r="N305" s="417"/>
      <c r="O305" s="417"/>
      <c r="P305" s="417"/>
      <c r="Q305" s="417"/>
      <c r="AT305" s="804">
        <f t="shared" si="598"/>
        <v>0</v>
      </c>
      <c r="AU305" s="804">
        <f t="shared" si="598"/>
        <v>0</v>
      </c>
      <c r="AV305" s="804">
        <f t="shared" si="598"/>
        <v>0</v>
      </c>
      <c r="AW305" s="804">
        <f t="shared" si="598"/>
        <v>0</v>
      </c>
      <c r="AX305" s="804">
        <f t="shared" si="598"/>
        <v>0</v>
      </c>
      <c r="AY305" s="804">
        <f t="shared" si="598"/>
        <v>2</v>
      </c>
      <c r="AZ305" s="804">
        <f t="shared" si="598"/>
        <v>4</v>
      </c>
      <c r="BA305" s="804">
        <f t="shared" ref="BA305:BB305" si="602">IF(AG292&lt;$G$449,0,MIN($G$446,1+IFERROR(INT((AG292-$G$449)/$G$467),0)))</f>
        <v>7</v>
      </c>
      <c r="BB305" s="804">
        <f t="shared" si="602"/>
        <v>9</v>
      </c>
    </row>
    <row r="306" spans="1:54" ht="15" customHeight="1">
      <c r="A306" s="417"/>
      <c r="B306" s="828"/>
      <c r="C306" s="801">
        <f>$G$457</f>
        <v>60</v>
      </c>
      <c r="D306" s="490">
        <f t="shared" si="600"/>
        <v>-0.21817703683851863</v>
      </c>
      <c r="E306" s="490">
        <f t="shared" si="590"/>
        <v>-0.13319659515701832</v>
      </c>
      <c r="F306" s="490">
        <f t="shared" si="591"/>
        <v>-4.8216153475518234E-2</v>
      </c>
      <c r="G306" s="490">
        <f t="shared" si="592"/>
        <v>3.6764288205982085E-2</v>
      </c>
      <c r="H306" s="782">
        <f t="shared" si="593"/>
        <v>0.1217447298874824</v>
      </c>
      <c r="I306" s="490">
        <f t="shared" si="594"/>
        <v>0.20672517156898271</v>
      </c>
      <c r="J306" s="490">
        <f t="shared" si="595"/>
        <v>0.29170561325048305</v>
      </c>
      <c r="K306" s="490">
        <f t="shared" si="596"/>
        <v>0.37668605493198309</v>
      </c>
      <c r="L306" s="490">
        <f t="shared" si="597"/>
        <v>0.46166649661348341</v>
      </c>
      <c r="M306" s="417"/>
      <c r="N306" s="417"/>
      <c r="O306" s="417"/>
      <c r="P306" s="417"/>
      <c r="Q306" s="417"/>
      <c r="AT306" s="804">
        <f t="shared" si="598"/>
        <v>0</v>
      </c>
      <c r="AU306" s="804">
        <f t="shared" si="598"/>
        <v>0</v>
      </c>
      <c r="AV306" s="804">
        <f t="shared" si="598"/>
        <v>0</v>
      </c>
      <c r="AW306" s="804">
        <f t="shared" si="598"/>
        <v>0</v>
      </c>
      <c r="AX306" s="804">
        <f t="shared" si="598"/>
        <v>0</v>
      </c>
      <c r="AY306" s="804">
        <f t="shared" si="598"/>
        <v>2</v>
      </c>
      <c r="AZ306" s="804">
        <f t="shared" si="598"/>
        <v>5</v>
      </c>
      <c r="BA306" s="804">
        <f t="shared" ref="BA306:BB306" si="603">IF(AG293&lt;$G$449,0,MIN($G$446,1+IFERROR(INT((AG293-$G$449)/$G$467),0)))</f>
        <v>7</v>
      </c>
      <c r="BB306" s="804">
        <f t="shared" si="603"/>
        <v>9</v>
      </c>
    </row>
    <row r="307" spans="1:54" ht="15" customHeight="1">
      <c r="A307" s="417"/>
      <c r="B307" s="828"/>
      <c r="C307" s="801">
        <f>C306-$G$458</f>
        <v>56</v>
      </c>
      <c r="D307" s="490">
        <f t="shared" si="600"/>
        <v>-0.18721374933577897</v>
      </c>
      <c r="E307" s="490">
        <f t="shared" si="590"/>
        <v>-0.1009854341079818</v>
      </c>
      <c r="F307" s="490">
        <f t="shared" si="591"/>
        <v>-1.475711888018463E-2</v>
      </c>
      <c r="G307" s="490">
        <f t="shared" si="592"/>
        <v>7.1471196347612551E-2</v>
      </c>
      <c r="H307" s="490">
        <f t="shared" si="593"/>
        <v>0.15769951157540998</v>
      </c>
      <c r="I307" s="490">
        <f t="shared" si="594"/>
        <v>0.24392782680320715</v>
      </c>
      <c r="J307" s="490">
        <f t="shared" si="595"/>
        <v>0.33015614203100435</v>
      </c>
      <c r="K307" s="490">
        <f t="shared" si="596"/>
        <v>0.41638445725880152</v>
      </c>
      <c r="L307" s="490">
        <f t="shared" si="597"/>
        <v>0.50261277248659864</v>
      </c>
      <c r="M307" s="417"/>
      <c r="N307" s="417"/>
      <c r="O307" s="417"/>
      <c r="P307" s="417"/>
      <c r="Q307" s="417"/>
      <c r="AT307" s="804">
        <f t="shared" si="598"/>
        <v>0</v>
      </c>
      <c r="AU307" s="804">
        <f t="shared" si="598"/>
        <v>0</v>
      </c>
      <c r="AV307" s="804">
        <f t="shared" si="598"/>
        <v>0</v>
      </c>
      <c r="AW307" s="804">
        <f t="shared" si="598"/>
        <v>0</v>
      </c>
      <c r="AX307" s="804">
        <f t="shared" si="598"/>
        <v>1</v>
      </c>
      <c r="AY307" s="804">
        <f t="shared" si="598"/>
        <v>3</v>
      </c>
      <c r="AZ307" s="804">
        <f t="shared" si="598"/>
        <v>5</v>
      </c>
      <c r="BA307" s="804">
        <f t="shared" ref="BA307:BB307" si="604">IF(AG294&lt;$G$449,0,MIN($G$446,1+IFERROR(INT((AG294-$G$449)/$G$467),0)))</f>
        <v>8</v>
      </c>
      <c r="BB307" s="804">
        <f t="shared" si="604"/>
        <v>10</v>
      </c>
    </row>
    <row r="308" spans="1:54" ht="15" customHeight="1">
      <c r="A308" s="417"/>
      <c r="B308" s="828"/>
      <c r="C308" s="801">
        <f>C307-$G$458</f>
        <v>52</v>
      </c>
      <c r="D308" s="490">
        <f t="shared" si="600"/>
        <v>-0.15238359357402836</v>
      </c>
      <c r="E308" s="490">
        <f t="shared" si="590"/>
        <v>-6.475156338267489E-2</v>
      </c>
      <c r="F308" s="490">
        <f t="shared" si="591"/>
        <v>2.2880466808678581E-2</v>
      </c>
      <c r="G308" s="490">
        <f t="shared" si="592"/>
        <v>0.11051249700003192</v>
      </c>
      <c r="H308" s="490">
        <f t="shared" si="593"/>
        <v>0.19814452719138553</v>
      </c>
      <c r="I308" s="490">
        <f t="shared" si="594"/>
        <v>0.28577655738273888</v>
      </c>
      <c r="J308" s="490">
        <f t="shared" si="595"/>
        <v>0.37340858757409218</v>
      </c>
      <c r="K308" s="490">
        <f t="shared" si="596"/>
        <v>0.4610406177654458</v>
      </c>
      <c r="L308" s="490">
        <f t="shared" si="597"/>
        <v>0.54867264795679915</v>
      </c>
      <c r="M308" s="417"/>
      <c r="N308" s="417"/>
      <c r="O308" s="417"/>
      <c r="P308" s="417"/>
      <c r="Q308" s="417"/>
      <c r="AT308" s="804">
        <f t="shared" si="598"/>
        <v>0</v>
      </c>
      <c r="AU308" s="804">
        <f t="shared" si="598"/>
        <v>0</v>
      </c>
      <c r="AV308" s="804">
        <f t="shared" si="598"/>
        <v>0</v>
      </c>
      <c r="AW308" s="804">
        <f t="shared" si="598"/>
        <v>0</v>
      </c>
      <c r="AX308" s="804">
        <f t="shared" si="598"/>
        <v>2</v>
      </c>
      <c r="AY308" s="804">
        <f t="shared" si="598"/>
        <v>4</v>
      </c>
      <c r="AZ308" s="804">
        <f t="shared" si="598"/>
        <v>6</v>
      </c>
      <c r="BA308" s="804">
        <f t="shared" ref="BA308:BB308" si="605">IF(AG295&lt;$G$449,0,MIN($G$446,1+IFERROR(INT((AG295-$G$449)/$G$467),0)))</f>
        <v>8</v>
      </c>
      <c r="BB308" s="804">
        <f t="shared" si="605"/>
        <v>10</v>
      </c>
    </row>
    <row r="309" spans="1:54" ht="15" customHeight="1">
      <c r="A309" s="417"/>
      <c r="B309" s="829"/>
      <c r="C309" s="802">
        <f>C308-$G$458</f>
        <v>48</v>
      </c>
      <c r="D309" s="783">
        <f t="shared" si="600"/>
        <v>-0.11291395093509909</v>
      </c>
      <c r="E309" s="783">
        <f t="shared" si="590"/>
        <v>-2.3691226508627428E-2</v>
      </c>
      <c r="F309" s="783">
        <f t="shared" si="591"/>
        <v>6.5531497917843948E-2</v>
      </c>
      <c r="G309" s="783">
        <f t="shared" si="592"/>
        <v>0.15475422234431563</v>
      </c>
      <c r="H309" s="783">
        <f t="shared" si="593"/>
        <v>0.24397694677078716</v>
      </c>
      <c r="I309" s="783">
        <f t="shared" si="594"/>
        <v>0.33319967119725868</v>
      </c>
      <c r="J309" s="783">
        <f t="shared" si="595"/>
        <v>0.42242239562373035</v>
      </c>
      <c r="K309" s="783">
        <f t="shared" si="596"/>
        <v>0.51164512005020202</v>
      </c>
      <c r="L309" s="783">
        <f t="shared" si="597"/>
        <v>0.60086784447667341</v>
      </c>
      <c r="M309" s="417"/>
      <c r="N309" s="417"/>
      <c r="O309" s="417"/>
      <c r="P309" s="417"/>
      <c r="Q309" s="417"/>
      <c r="AT309" s="804">
        <f t="shared" si="598"/>
        <v>0</v>
      </c>
      <c r="AU309" s="804">
        <f t="shared" si="598"/>
        <v>0</v>
      </c>
      <c r="AV309" s="804">
        <f t="shared" si="598"/>
        <v>0</v>
      </c>
      <c r="AW309" s="804">
        <f t="shared" si="598"/>
        <v>0</v>
      </c>
      <c r="AX309" s="804">
        <f t="shared" si="598"/>
        <v>2</v>
      </c>
      <c r="AY309" s="804">
        <f t="shared" si="598"/>
        <v>4</v>
      </c>
      <c r="AZ309" s="804">
        <f t="shared" si="598"/>
        <v>6</v>
      </c>
      <c r="BA309" s="804">
        <f t="shared" ref="BA309:BB309" si="606">IF(AG296&lt;$G$449,0,MIN($G$446,1+IFERROR(INT((AG296-$G$449)/$G$467),0)))</f>
        <v>8</v>
      </c>
      <c r="BB309" s="804">
        <f t="shared" si="606"/>
        <v>10</v>
      </c>
    </row>
    <row r="310" spans="1:54" ht="3.95" hidden="1" customHeight="1">
      <c r="A310" s="417"/>
      <c r="B310" s="423" t="s">
        <v>2762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7"/>
      <c r="O310" s="417"/>
      <c r="P310" s="417"/>
      <c r="Q310" s="417"/>
    </row>
    <row r="311" spans="1:54" ht="3.95" customHeight="1">
      <c r="A311" s="417"/>
      <c r="M311" s="417"/>
      <c r="N311" s="417"/>
      <c r="O311" s="417"/>
      <c r="P311" s="417"/>
      <c r="Q311" s="417"/>
    </row>
    <row r="312" spans="1:54" ht="15" customHeight="1">
      <c r="A312" s="417"/>
      <c r="B312" s="148" t="s">
        <v>2760</v>
      </c>
      <c r="C312" s="417"/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7"/>
      <c r="O312" s="417"/>
      <c r="P312" s="417"/>
      <c r="Q312" s="417"/>
    </row>
    <row r="313" spans="1:54" ht="2.1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7"/>
      <c r="O313" s="417"/>
      <c r="P313" s="417"/>
      <c r="Q313" s="417"/>
    </row>
    <row r="314" spans="1:54" ht="12.75" customHeight="1">
      <c r="A314" s="417"/>
      <c r="B314" s="454"/>
      <c r="C314" s="454"/>
      <c r="D314" s="767" t="s">
        <v>2751</v>
      </c>
      <c r="E314" s="767"/>
      <c r="F314" s="767"/>
      <c r="G314" s="767"/>
      <c r="H314" s="767"/>
      <c r="I314" s="767"/>
      <c r="J314" s="767"/>
      <c r="K314" s="767"/>
      <c r="L314" s="767"/>
      <c r="M314" s="417"/>
      <c r="N314" s="417"/>
      <c r="O314" s="417"/>
      <c r="P314" s="417"/>
      <c r="Q314" s="417"/>
    </row>
    <row r="315" spans="1:54" ht="12.75" customHeight="1">
      <c r="A315" s="417"/>
      <c r="B315" s="454"/>
      <c r="C315" s="454"/>
      <c r="D315" s="815">
        <f>E315-$G$466</f>
        <v>1</v>
      </c>
      <c r="E315" s="815">
        <f>F315-$G$466</f>
        <v>1.25</v>
      </c>
      <c r="F315" s="815">
        <f>G315-$G$466</f>
        <v>1.5</v>
      </c>
      <c r="G315" s="815">
        <f>H315-$G$466</f>
        <v>1.75</v>
      </c>
      <c r="H315" s="815">
        <f>$G$465</f>
        <v>2</v>
      </c>
      <c r="I315" s="815">
        <f>H315+$G$466</f>
        <v>2.25</v>
      </c>
      <c r="J315" s="815">
        <f>I315+$G$466</f>
        <v>2.5</v>
      </c>
      <c r="K315" s="815">
        <f>J315+$G$466</f>
        <v>2.75</v>
      </c>
      <c r="L315" s="815">
        <f>K315+$G$466</f>
        <v>3</v>
      </c>
      <c r="M315" s="417"/>
      <c r="N315" s="417"/>
      <c r="O315" s="417"/>
      <c r="P315" s="417"/>
      <c r="Q315" s="417"/>
      <c r="AT315" s="772" t="s">
        <v>2614</v>
      </c>
      <c r="AU315" s="427"/>
      <c r="AV315" s="427"/>
      <c r="AW315" s="427"/>
      <c r="AX315" s="427"/>
      <c r="AY315" s="427"/>
      <c r="AZ315" s="427"/>
      <c r="BA315" s="427"/>
      <c r="BB315" s="427"/>
    </row>
    <row r="316" spans="1:54" ht="15" customHeight="1">
      <c r="A316" s="417"/>
      <c r="B316" s="827" t="s">
        <v>2591</v>
      </c>
      <c r="C316" s="801">
        <f>C317+$G$458</f>
        <v>72</v>
      </c>
      <c r="D316" s="631">
        <f>D276-$AM250</f>
        <v>-5.1959454728605969E-2</v>
      </c>
      <c r="E316" s="631">
        <f t="shared" ref="E316:J316" si="607">E276-$AM250</f>
        <v>-2.2683344681199147E-2</v>
      </c>
      <c r="F316" s="631">
        <f t="shared" si="607"/>
        <v>4.0173617211698431E-3</v>
      </c>
      <c r="G316" s="631">
        <f t="shared" si="607"/>
        <v>2.8602367441465937E-2</v>
      </c>
      <c r="H316" s="631">
        <f t="shared" si="607"/>
        <v>5.1415154672957986E-2</v>
      </c>
      <c r="I316" s="631">
        <f t="shared" si="607"/>
        <v>7.2719583792830722E-2</v>
      </c>
      <c r="J316" s="631">
        <f t="shared" si="607"/>
        <v>9.2723040304113713E-2</v>
      </c>
      <c r="K316" s="631">
        <f t="shared" ref="K316:L316" si="608">K276-$AM250</f>
        <v>0.11159168204659675</v>
      </c>
      <c r="L316" s="631">
        <f t="shared" si="608"/>
        <v>0.12946082942411241</v>
      </c>
      <c r="M316" s="417"/>
      <c r="N316" s="417"/>
      <c r="O316" s="417"/>
      <c r="P316" s="417"/>
      <c r="Q316" s="417"/>
      <c r="AT316" s="804">
        <f t="shared" ref="AT316:AZ322" si="609">IF(Z290&lt;$G$449,0,MIN($G$446,1+IFERROR(INT((Z290-$G$449)/$G$467),0)))</f>
        <v>0</v>
      </c>
      <c r="AU316" s="804">
        <f t="shared" si="609"/>
        <v>0</v>
      </c>
      <c r="AV316" s="804">
        <f t="shared" si="609"/>
        <v>0</v>
      </c>
      <c r="AW316" s="804">
        <f t="shared" si="609"/>
        <v>0</v>
      </c>
      <c r="AX316" s="804">
        <f t="shared" si="609"/>
        <v>0</v>
      </c>
      <c r="AY316" s="804">
        <f t="shared" si="609"/>
        <v>1</v>
      </c>
      <c r="AZ316" s="804">
        <f t="shared" si="609"/>
        <v>3</v>
      </c>
      <c r="BA316" s="804">
        <f t="shared" ref="BA316:BB316" si="610">IF(AG290&lt;$G$449,0,MIN($G$446,1+IFERROR(INT((AG290-$G$449)/$G$467),0)))</f>
        <v>6</v>
      </c>
      <c r="BB316" s="804">
        <f t="shared" si="610"/>
        <v>8</v>
      </c>
    </row>
    <row r="317" spans="1:54" ht="15" customHeight="1">
      <c r="A317" s="417"/>
      <c r="B317" s="828"/>
      <c r="C317" s="801">
        <f>C318+$G$458</f>
        <v>68</v>
      </c>
      <c r="D317" s="631">
        <f t="shared" ref="D317:J317" si="611">D277-$AM251</f>
        <v>-4.453210791792106E-2</v>
      </c>
      <c r="E317" s="631">
        <f t="shared" si="611"/>
        <v>-1.5874729463638992E-2</v>
      </c>
      <c r="F317" s="631">
        <f t="shared" si="611"/>
        <v>1.0300738079013216E-2</v>
      </c>
      <c r="G317" s="631">
        <f t="shared" si="611"/>
        <v>3.4431103505497163E-2</v>
      </c>
      <c r="H317" s="631">
        <f t="shared" si="611"/>
        <v>5.6844154315205619E-2</v>
      </c>
      <c r="I317" s="631">
        <f t="shared" si="611"/>
        <v>7.779258506585407E-2</v>
      </c>
      <c r="J317" s="631">
        <f t="shared" si="611"/>
        <v>9.7475590909770204E-2</v>
      </c>
      <c r="K317" s="631">
        <f t="shared" ref="K317:L317" si="612">K277-$AM251</f>
        <v>0.11605316592998927</v>
      </c>
      <c r="L317" s="631">
        <f t="shared" si="612"/>
        <v>0.13365588968657294</v>
      </c>
      <c r="M317" s="417"/>
      <c r="N317" s="417"/>
      <c r="O317" s="417"/>
      <c r="P317" s="417"/>
      <c r="Q317" s="417"/>
      <c r="AT317" s="804">
        <f t="shared" si="609"/>
        <v>0</v>
      </c>
      <c r="AU317" s="804">
        <f t="shared" si="609"/>
        <v>0</v>
      </c>
      <c r="AV317" s="804">
        <f t="shared" si="609"/>
        <v>0</v>
      </c>
      <c r="AW317" s="804">
        <f t="shared" si="609"/>
        <v>0</v>
      </c>
      <c r="AX317" s="804">
        <f t="shared" si="609"/>
        <v>0</v>
      </c>
      <c r="AY317" s="804">
        <f t="shared" si="609"/>
        <v>1</v>
      </c>
      <c r="AZ317" s="804">
        <f t="shared" si="609"/>
        <v>4</v>
      </c>
      <c r="BA317" s="804">
        <f t="shared" ref="BA317:BB317" si="613">IF(AG291&lt;$G$449,0,MIN($G$446,1+IFERROR(INT((AG291-$G$449)/$G$467),0)))</f>
        <v>6</v>
      </c>
      <c r="BB317" s="804">
        <f t="shared" si="613"/>
        <v>9</v>
      </c>
    </row>
    <row r="318" spans="1:54" ht="15" customHeight="1">
      <c r="A318" s="417"/>
      <c r="B318" s="828"/>
      <c r="C318" s="801">
        <f>C319+$G$458</f>
        <v>64</v>
      </c>
      <c r="D318" s="631">
        <f t="shared" ref="D318:J318" si="614">D278-$AM252</f>
        <v>-3.6686837886692247E-2</v>
      </c>
      <c r="E318" s="631">
        <f t="shared" si="614"/>
        <v>-8.6669817129583215E-3</v>
      </c>
      <c r="F318" s="631">
        <f t="shared" si="614"/>
        <v>1.6966114404868504E-2</v>
      </c>
      <c r="G318" s="631">
        <f t="shared" si="614"/>
        <v>4.0626253453473371E-2</v>
      </c>
      <c r="H318" s="631">
        <f t="shared" si="614"/>
        <v>6.2625365011682144E-2</v>
      </c>
      <c r="I318" s="631">
        <f t="shared" si="614"/>
        <v>8.3204811887336305E-2</v>
      </c>
      <c r="J318" s="631">
        <f t="shared" si="614"/>
        <v>0.10255544720025167</v>
      </c>
      <c r="K318" s="631">
        <f t="shared" ref="K318:L318" si="615">K278-$AM252</f>
        <v>0.12083096831022622</v>
      </c>
      <c r="L318" s="631">
        <f t="shared" si="615"/>
        <v>0.13815709952453648</v>
      </c>
      <c r="M318" s="417"/>
      <c r="N318" s="417"/>
      <c r="O318" s="417"/>
      <c r="P318" s="417"/>
      <c r="Q318" s="417"/>
      <c r="AT318" s="804">
        <f t="shared" si="609"/>
        <v>0</v>
      </c>
      <c r="AU318" s="804">
        <f t="shared" si="609"/>
        <v>0</v>
      </c>
      <c r="AV318" s="804">
        <f t="shared" si="609"/>
        <v>0</v>
      </c>
      <c r="AW318" s="804">
        <f t="shared" si="609"/>
        <v>0</v>
      </c>
      <c r="AX318" s="804">
        <f t="shared" si="609"/>
        <v>0</v>
      </c>
      <c r="AY318" s="804">
        <f t="shared" si="609"/>
        <v>2</v>
      </c>
      <c r="AZ318" s="804">
        <f t="shared" si="609"/>
        <v>4</v>
      </c>
      <c r="BA318" s="804">
        <f t="shared" ref="BA318:BB318" si="616">IF(AG292&lt;$G$449,0,MIN($G$446,1+IFERROR(INT((AG292-$G$449)/$G$467),0)))</f>
        <v>7</v>
      </c>
      <c r="BB318" s="804">
        <f t="shared" si="616"/>
        <v>9</v>
      </c>
    </row>
    <row r="319" spans="1:54" ht="15" customHeight="1">
      <c r="A319" s="417"/>
      <c r="B319" s="828"/>
      <c r="C319" s="801">
        <f>$G$457</f>
        <v>60</v>
      </c>
      <c r="D319" s="631">
        <f t="shared" ref="D319:J319" si="617">D279-$AM253</f>
        <v>-2.8378815861018536E-2</v>
      </c>
      <c r="E319" s="631">
        <f t="shared" si="617"/>
        <v>-1.0163242818517215E-3</v>
      </c>
      <c r="F319" s="631">
        <f t="shared" si="617"/>
        <v>2.4056224332016374E-2</v>
      </c>
      <c r="G319" s="631">
        <f t="shared" si="617"/>
        <v>4.722954100233312E-2</v>
      </c>
      <c r="H319" s="789">
        <f t="shared" si="617"/>
        <v>6.8799546004345791E-2</v>
      </c>
      <c r="I319" s="631">
        <f t="shared" si="617"/>
        <v>8.8996108915985417E-2</v>
      </c>
      <c r="J319" s="631">
        <f t="shared" si="617"/>
        <v>0.10800158955878381</v>
      </c>
      <c r="K319" s="631">
        <f t="shared" ref="K319:L319" si="618">K279-$AM253</f>
        <v>0.12596325405205744</v>
      </c>
      <c r="L319" s="631">
        <f t="shared" si="618"/>
        <v>0.14300185441437518</v>
      </c>
      <c r="M319" s="417"/>
      <c r="N319" s="417"/>
      <c r="O319" s="417"/>
      <c r="P319" s="417"/>
      <c r="Q319" s="417"/>
      <c r="AT319" s="804">
        <f t="shared" si="609"/>
        <v>0</v>
      </c>
      <c r="AU319" s="804">
        <f t="shared" si="609"/>
        <v>0</v>
      </c>
      <c r="AV319" s="804">
        <f t="shared" si="609"/>
        <v>0</v>
      </c>
      <c r="AW319" s="804">
        <f t="shared" si="609"/>
        <v>0</v>
      </c>
      <c r="AX319" s="804">
        <f t="shared" si="609"/>
        <v>0</v>
      </c>
      <c r="AY319" s="804">
        <f t="shared" si="609"/>
        <v>2</v>
      </c>
      <c r="AZ319" s="804">
        <f t="shared" si="609"/>
        <v>5</v>
      </c>
      <c r="BA319" s="804">
        <f t="shared" ref="BA319:BB319" si="619">IF(AG293&lt;$G$449,0,MIN($G$446,1+IFERROR(INT((AG293-$G$449)/$G$467),0)))</f>
        <v>7</v>
      </c>
      <c r="BB319" s="804">
        <f t="shared" si="619"/>
        <v>9</v>
      </c>
    </row>
    <row r="320" spans="1:54" ht="15" customHeight="1">
      <c r="A320" s="417"/>
      <c r="B320" s="828"/>
      <c r="C320" s="801">
        <f>C319-$G$458</f>
        <v>56</v>
      </c>
      <c r="D320" s="631">
        <f t="shared" ref="D320:J320" si="620">D280-$AM254</f>
        <v>-1.9555812438982967E-2</v>
      </c>
      <c r="E320" s="631">
        <f t="shared" si="620"/>
        <v>7.1283358595204405E-3</v>
      </c>
      <c r="F320" s="631">
        <f t="shared" si="620"/>
        <v>3.1621025388130608E-2</v>
      </c>
      <c r="G320" s="631">
        <f t="shared" si="620"/>
        <v>5.4289818600677053E-2</v>
      </c>
      <c r="H320" s="631">
        <f t="shared" si="620"/>
        <v>7.5414489599689549E-2</v>
      </c>
      <c r="I320" s="631">
        <f t="shared" si="620"/>
        <v>9.5213259367125991E-2</v>
      </c>
      <c r="J320" s="631">
        <f t="shared" si="620"/>
        <v>0.11385984468552501</v>
      </c>
      <c r="K320" s="631">
        <f t="shared" ref="K320:L320" si="621">K280-$AM254</f>
        <v>0.13149494491047786</v>
      </c>
      <c r="L320" s="631">
        <f t="shared" si="621"/>
        <v>0.14823422042635315</v>
      </c>
      <c r="M320" s="417"/>
      <c r="N320" s="417"/>
      <c r="O320" s="417"/>
      <c r="P320" s="417"/>
      <c r="Q320" s="417"/>
      <c r="AT320" s="804">
        <f t="shared" si="609"/>
        <v>0</v>
      </c>
      <c r="AU320" s="804">
        <f t="shared" si="609"/>
        <v>0</v>
      </c>
      <c r="AV320" s="804">
        <f t="shared" si="609"/>
        <v>0</v>
      </c>
      <c r="AW320" s="804">
        <f t="shared" si="609"/>
        <v>0</v>
      </c>
      <c r="AX320" s="804">
        <f t="shared" si="609"/>
        <v>1</v>
      </c>
      <c r="AY320" s="804">
        <f t="shared" si="609"/>
        <v>3</v>
      </c>
      <c r="AZ320" s="804">
        <f t="shared" si="609"/>
        <v>5</v>
      </c>
      <c r="BA320" s="804">
        <f t="shared" ref="BA320:BB320" si="622">IF(AG294&lt;$G$449,0,MIN($G$446,1+IFERROR(INT((AG294-$G$449)/$G$467),0)))</f>
        <v>8</v>
      </c>
      <c r="BB320" s="804">
        <f t="shared" si="622"/>
        <v>10</v>
      </c>
    </row>
    <row r="321" spans="1:54" ht="15" customHeight="1">
      <c r="A321" s="417"/>
      <c r="B321" s="828"/>
      <c r="C321" s="801">
        <f>C320-$G$458</f>
        <v>52</v>
      </c>
      <c r="D321" s="631">
        <f t="shared" ref="D321:J321" si="623">D281-$AM255</f>
        <v>-1.0156479774512617E-2</v>
      </c>
      <c r="E321" s="631">
        <f t="shared" si="623"/>
        <v>1.5827116480107151E-2</v>
      </c>
      <c r="F321" s="631">
        <f t="shared" si="623"/>
        <v>3.9719397179212246E-2</v>
      </c>
      <c r="G321" s="631">
        <f t="shared" si="623"/>
        <v>6.1864753775168202E-2</v>
      </c>
      <c r="H321" s="631">
        <f t="shared" si="623"/>
        <v>8.2526694953560353E-2</v>
      </c>
      <c r="I321" s="631">
        <f t="shared" si="623"/>
        <v>0.1019116458851923</v>
      </c>
      <c r="J321" s="631">
        <f t="shared" si="623"/>
        <v>0.12018453337220913</v>
      </c>
      <c r="K321" s="631">
        <f t="shared" ref="K321:L321" si="624">K281-$AM255</f>
        <v>0.1374793541871937</v>
      </c>
      <c r="L321" s="631">
        <f t="shared" si="624"/>
        <v>0.15390655595219038</v>
      </c>
      <c r="M321" s="417"/>
      <c r="N321" s="417"/>
      <c r="O321" s="417"/>
      <c r="P321" s="417"/>
      <c r="Q321" s="417"/>
      <c r="AT321" s="804">
        <f t="shared" si="609"/>
        <v>0</v>
      </c>
      <c r="AU321" s="804">
        <f t="shared" si="609"/>
        <v>0</v>
      </c>
      <c r="AV321" s="804">
        <f t="shared" si="609"/>
        <v>0</v>
      </c>
      <c r="AW321" s="804">
        <f t="shared" si="609"/>
        <v>0</v>
      </c>
      <c r="AX321" s="804">
        <f t="shared" si="609"/>
        <v>2</v>
      </c>
      <c r="AY321" s="804">
        <f t="shared" si="609"/>
        <v>4</v>
      </c>
      <c r="AZ321" s="804">
        <f t="shared" si="609"/>
        <v>6</v>
      </c>
      <c r="BA321" s="804">
        <f t="shared" ref="BA321:BB321" si="625">IF(AG295&lt;$G$449,0,MIN($G$446,1+IFERROR(INT((AG295-$G$449)/$G$467),0)))</f>
        <v>8</v>
      </c>
      <c r="BB321" s="804">
        <f t="shared" si="625"/>
        <v>10</v>
      </c>
    </row>
    <row r="322" spans="1:54" ht="15" customHeight="1">
      <c r="A322" s="417"/>
      <c r="B322" s="829"/>
      <c r="C322" s="802">
        <f>C321-$G$458</f>
        <v>48</v>
      </c>
      <c r="D322" s="790">
        <f t="shared" ref="D322:J322" si="626">D282-$AM256</f>
        <v>-1.0810213271450486E-4</v>
      </c>
      <c r="E322" s="790">
        <f t="shared" si="626"/>
        <v>2.5151399387125295E-2</v>
      </c>
      <c r="F322" s="790">
        <f t="shared" si="626"/>
        <v>4.8421368473693605E-2</v>
      </c>
      <c r="G322" s="790">
        <f t="shared" si="626"/>
        <v>7.002304253229652E-2</v>
      </c>
      <c r="H322" s="790">
        <f t="shared" si="626"/>
        <v>9.0203566840364902E-2</v>
      </c>
      <c r="I322" s="790">
        <f t="shared" si="626"/>
        <v>0.10915743411399448</v>
      </c>
      <c r="J322" s="790">
        <f t="shared" si="626"/>
        <v>0.12704063856570325</v>
      </c>
      <c r="K322" s="790">
        <f t="shared" ref="K322:L322" si="627">K282-$AM256</f>
        <v>0.14398033936959664</v>
      </c>
      <c r="L322" s="790">
        <f t="shared" si="627"/>
        <v>0.16008164897634658</v>
      </c>
      <c r="M322" s="417"/>
      <c r="N322" s="417"/>
      <c r="O322" s="417"/>
      <c r="P322" s="417"/>
      <c r="Q322" s="417"/>
      <c r="AT322" s="804">
        <f t="shared" si="609"/>
        <v>0</v>
      </c>
      <c r="AU322" s="804">
        <f t="shared" si="609"/>
        <v>0</v>
      </c>
      <c r="AV322" s="804">
        <f t="shared" si="609"/>
        <v>0</v>
      </c>
      <c r="AW322" s="804">
        <f t="shared" si="609"/>
        <v>0</v>
      </c>
      <c r="AX322" s="804">
        <f t="shared" si="609"/>
        <v>2</v>
      </c>
      <c r="AY322" s="804">
        <f t="shared" si="609"/>
        <v>4</v>
      </c>
      <c r="AZ322" s="804">
        <f t="shared" si="609"/>
        <v>6</v>
      </c>
      <c r="BA322" s="804">
        <f t="shared" ref="BA322:BB322" si="628">IF(AG296&lt;$G$449,0,MIN($G$446,1+IFERROR(INT((AG296-$G$449)/$G$467),0)))</f>
        <v>8</v>
      </c>
      <c r="BB322" s="804">
        <f t="shared" si="628"/>
        <v>10</v>
      </c>
    </row>
    <row r="323" spans="1:54" ht="3.95" hidden="1" customHeight="1">
      <c r="A323" s="417"/>
      <c r="B323" s="423" t="s">
        <v>2763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7"/>
      <c r="O323" s="417"/>
      <c r="P323" s="417"/>
      <c r="Q323" s="417"/>
    </row>
    <row r="324" spans="1:54" ht="3.95" customHeight="1">
      <c r="A324" s="417"/>
      <c r="M324" s="417"/>
    </row>
    <row r="325" spans="1:54" ht="15" customHeight="1">
      <c r="A325" s="417"/>
      <c r="B325" s="795" t="str">
        <f>"Ben's Return Profile Based on Partnering — Keystone Multiple × Topkey Growth ("&amp;TEXT($G$436,"0%")&amp;" Rollover)"</f>
        <v>Ben's Return Profile Based on Partnering — Keystone Multiple × Topkey Growth (30% Rollover)</v>
      </c>
      <c r="C325" s="796"/>
      <c r="D325" s="796"/>
      <c r="E325" s="796"/>
      <c r="F325" s="796"/>
      <c r="G325" s="796"/>
      <c r="H325" s="796"/>
      <c r="I325" s="796"/>
      <c r="J325" s="796"/>
      <c r="K325" s="796"/>
      <c r="L325" s="796"/>
      <c r="M325" s="417"/>
      <c r="N325" s="417"/>
      <c r="O325" s="417"/>
      <c r="P325" s="417"/>
      <c r="Q325" s="417"/>
    </row>
    <row r="326" spans="1:54" ht="15" customHeight="1">
      <c r="A326" s="417"/>
      <c r="B326" s="148" t="s">
        <v>2764</v>
      </c>
      <c r="C326" s="417"/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7"/>
      <c r="O326" s="417"/>
      <c r="P326" s="417"/>
      <c r="Q326" s="417"/>
    </row>
    <row r="327" spans="1:54" ht="2.1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7"/>
      <c r="O327" s="417"/>
      <c r="P327" s="417"/>
      <c r="Q327" s="417"/>
    </row>
    <row r="328" spans="1:54" ht="12.75" customHeight="1">
      <c r="A328" s="417"/>
      <c r="B328" s="454"/>
      <c r="C328" s="454"/>
      <c r="D328" s="767" t="s">
        <v>2751</v>
      </c>
      <c r="E328" s="767"/>
      <c r="F328" s="767"/>
      <c r="G328" s="767"/>
      <c r="H328" s="767"/>
      <c r="I328" s="767"/>
      <c r="J328" s="767"/>
      <c r="K328" s="767"/>
      <c r="L328" s="767"/>
      <c r="M328" s="417"/>
      <c r="N328" s="417"/>
      <c r="O328" s="417"/>
      <c r="P328" s="417"/>
      <c r="Q328" s="417"/>
      <c r="Z328" s="786" t="str">
        <f>"Helper: Unrounded Net Return — Multiple × Topkey Growth ("&amp;TEXT($G$436,"0%")&amp;" Rollover)"</f>
        <v>Helper: Unrounded Net Return — Multiple × Topkey Growth (30% Rollover)</v>
      </c>
      <c r="AA328" s="746"/>
      <c r="AB328" s="746"/>
      <c r="AC328" s="746"/>
      <c r="AD328" s="746"/>
      <c r="AE328" s="746"/>
      <c r="AF328" s="746"/>
      <c r="AG328" s="746"/>
      <c r="AH328" s="746"/>
      <c r="AJ328" s="803" t="s">
        <v>2780</v>
      </c>
      <c r="AK328" s="803" t="s">
        <v>2752</v>
      </c>
      <c r="AL328" s="803" t="s">
        <v>2594</v>
      </c>
      <c r="AM328" s="803" t="s">
        <v>2595</v>
      </c>
    </row>
    <row r="329" spans="1:54" ht="12.75" customHeight="1">
      <c r="A329" s="417"/>
      <c r="B329" s="454"/>
      <c r="C329" s="454"/>
      <c r="D329" s="815">
        <f>E329-$G$466</f>
        <v>1</v>
      </c>
      <c r="E329" s="815">
        <f>F329-$G$466</f>
        <v>1.25</v>
      </c>
      <c r="F329" s="815">
        <f>G329-$G$466</f>
        <v>1.5</v>
      </c>
      <c r="G329" s="815">
        <f>H329-$G$466</f>
        <v>1.75</v>
      </c>
      <c r="H329" s="815">
        <f>$G$465</f>
        <v>2</v>
      </c>
      <c r="I329" s="815">
        <f>H329+$G$466</f>
        <v>2.25</v>
      </c>
      <c r="J329" s="815">
        <f>I329+$G$466</f>
        <v>2.5</v>
      </c>
      <c r="K329" s="815">
        <f>J329+$G$466</f>
        <v>2.75</v>
      </c>
      <c r="L329" s="815">
        <f>K329+$G$466</f>
        <v>3</v>
      </c>
      <c r="M329" s="417"/>
      <c r="N329" s="417"/>
      <c r="O329" s="417"/>
      <c r="P329" s="417"/>
      <c r="Q329" s="417"/>
      <c r="Z329" s="816">
        <f t="shared" ref="Z329:AF329" si="629">D$329</f>
        <v>1</v>
      </c>
      <c r="AA329" s="816">
        <f t="shared" si="629"/>
        <v>1.25</v>
      </c>
      <c r="AB329" s="816">
        <f t="shared" si="629"/>
        <v>1.5</v>
      </c>
      <c r="AC329" s="816">
        <f t="shared" si="629"/>
        <v>1.75</v>
      </c>
      <c r="AD329" s="816">
        <f t="shared" si="629"/>
        <v>2</v>
      </c>
      <c r="AE329" s="816">
        <f t="shared" si="629"/>
        <v>2.25</v>
      </c>
      <c r="AF329" s="816">
        <f t="shared" si="629"/>
        <v>2.5</v>
      </c>
      <c r="AG329" s="816">
        <f t="shared" ref="AG329:AH329" si="630">K$329</f>
        <v>2.75</v>
      </c>
      <c r="AH329" s="816">
        <f t="shared" si="630"/>
        <v>3</v>
      </c>
      <c r="AJ329" s="746"/>
      <c r="AK329" s="746"/>
      <c r="AL329" s="746"/>
      <c r="AM329" s="746"/>
      <c r="AT329" s="772" t="s">
        <v>2614</v>
      </c>
      <c r="AU329" s="427"/>
      <c r="AV329" s="427"/>
      <c r="AW329" s="427"/>
      <c r="AX329" s="427"/>
      <c r="AY329" s="427"/>
      <c r="AZ329" s="427"/>
      <c r="BA329" s="427"/>
      <c r="BB329" s="427"/>
    </row>
    <row r="330" spans="1:54" ht="15" customHeight="1">
      <c r="A330" s="417"/>
      <c r="B330" s="827" t="s">
        <v>2525</v>
      </c>
      <c r="C330" s="779">
        <f>C331-$G$441</f>
        <v>0.26317122593718345</v>
      </c>
      <c r="D330" s="620">
        <f>ROUND(Z330,$G$452)</f>
        <v>1900</v>
      </c>
      <c r="E330" s="620">
        <f t="shared" ref="E330:E336" si="631">ROUND(AA330,$G$452)</f>
        <v>2500</v>
      </c>
      <c r="F330" s="620">
        <f t="shared" ref="F330:F336" si="632">ROUND(AB330,$G$452)</f>
        <v>3100</v>
      </c>
      <c r="G330" s="620">
        <f t="shared" ref="G330:G336" si="633">ROUND(AC330,$G$452)</f>
        <v>3800</v>
      </c>
      <c r="H330" s="620">
        <f t="shared" ref="H330:H336" si="634">ROUND(AD330,$G$452)</f>
        <v>4400</v>
      </c>
      <c r="I330" s="620">
        <f t="shared" ref="I330:I336" si="635">ROUND(AE330,$G$452)</f>
        <v>5000</v>
      </c>
      <c r="J330" s="620">
        <f t="shared" ref="J330:J336" si="636">ROUND(AF330,$G$452)</f>
        <v>5700</v>
      </c>
      <c r="K330" s="620">
        <f t="shared" ref="K330:K336" si="637">ROUND(AG330,$G$452)</f>
        <v>6300</v>
      </c>
      <c r="L330" s="620">
        <f t="shared" ref="L330:L336" si="638">ROUND(AH330,$G$452)</f>
        <v>7000</v>
      </c>
      <c r="M330" s="417"/>
      <c r="N330" s="417"/>
      <c r="O330" s="417"/>
      <c r="P330" s="417"/>
      <c r="Q330" s="417"/>
      <c r="Z330" s="367">
        <f t="shared" ref="Z330:AF336" si="639">$O$18+$G$435+$N$18*$AK330*Z$329+$R$18*($Q$18*(1+$C330)+$AK330*Z$329*(1-$N$18))-$G$430</f>
        <v>1865.0988362101962</v>
      </c>
      <c r="AA330" s="367">
        <f t="shared" si="639"/>
        <v>2501.6242437564288</v>
      </c>
      <c r="AB330" s="367">
        <f t="shared" si="639"/>
        <v>3138.1496513026605</v>
      </c>
      <c r="AC330" s="367">
        <f t="shared" si="639"/>
        <v>3774.6750588488931</v>
      </c>
      <c r="AD330" s="367">
        <f t="shared" si="639"/>
        <v>4411.2004663951257</v>
      </c>
      <c r="AE330" s="367">
        <f t="shared" si="639"/>
        <v>5047.7258739413592</v>
      </c>
      <c r="AF330" s="367">
        <f t="shared" si="639"/>
        <v>5684.2512814875918</v>
      </c>
      <c r="AG330" s="367">
        <f t="shared" ref="AG330:AH336" si="640">$O$18+$G$435+$N$18*$AK330*AG$329+$R$18*($Q$18*(1+$C330)+$AK330*AG$329*(1-$N$18))-$G$430</f>
        <v>6320.7766890338225</v>
      </c>
      <c r="AH330" s="367">
        <f t="shared" si="640"/>
        <v>6957.3020965800551</v>
      </c>
      <c r="AJ330" s="367">
        <f t="shared" ref="AJ330:AJ336" si="641">$G$456</f>
        <v>60</v>
      </c>
      <c r="AK330" s="367">
        <f t="shared" ref="AK330:AK336" si="642">$G$453+AJ330*$G$445*$G$454</f>
        <v>7987.9829183050824</v>
      </c>
      <c r="AL330" s="367">
        <f>($G$453+(AJ330-$G$459)*$G$445*$G$460)*$G$461*$G$462</f>
        <v>7490.2576987288121</v>
      </c>
      <c r="AM330" s="800">
        <f>IFERROR((AL330/$G$430)^(1/$G$445)-1,0)</f>
        <v>0.20081222595661186</v>
      </c>
      <c r="AT330" s="804">
        <f t="shared" ref="AT330:AZ336" si="643">IF(Z370&lt;$G$449,0,MIN($G$446,1+IFERROR(INT((Z370-$G$449)/$G$468),0)))</f>
        <v>0</v>
      </c>
      <c r="AU330" s="804">
        <f t="shared" si="643"/>
        <v>0</v>
      </c>
      <c r="AV330" s="804">
        <f t="shared" si="643"/>
        <v>0</v>
      </c>
      <c r="AW330" s="804">
        <f t="shared" si="643"/>
        <v>0</v>
      </c>
      <c r="AX330" s="804">
        <f t="shared" si="643"/>
        <v>0</v>
      </c>
      <c r="AY330" s="804">
        <f t="shared" si="643"/>
        <v>0</v>
      </c>
      <c r="AZ330" s="804">
        <f t="shared" si="643"/>
        <v>1</v>
      </c>
      <c r="BA330" s="804">
        <f t="shared" ref="BA330:BB330" si="644">IF(AG370&lt;$G$449,0,MIN($G$446,1+IFERROR(INT((AG370-$G$449)/$G$468),0)))</f>
        <v>3</v>
      </c>
      <c r="BB330" s="804">
        <f t="shared" si="644"/>
        <v>5</v>
      </c>
    </row>
    <row r="331" spans="1:54" ht="15" customHeight="1">
      <c r="A331" s="417"/>
      <c r="B331" s="828"/>
      <c r="C331" s="779">
        <f>C332-$G$441</f>
        <v>0.51317122593718345</v>
      </c>
      <c r="D331" s="470">
        <f t="shared" ref="D331:D336" si="645">ROUND(Z331,$G$452)</f>
        <v>2200</v>
      </c>
      <c r="E331" s="470">
        <f t="shared" si="631"/>
        <v>2800</v>
      </c>
      <c r="F331" s="470">
        <f t="shared" si="632"/>
        <v>3500</v>
      </c>
      <c r="G331" s="470">
        <f t="shared" si="633"/>
        <v>4100</v>
      </c>
      <c r="H331" s="470">
        <f t="shared" si="634"/>
        <v>4700</v>
      </c>
      <c r="I331" s="470">
        <f t="shared" si="635"/>
        <v>5400</v>
      </c>
      <c r="J331" s="470">
        <f t="shared" si="636"/>
        <v>6000</v>
      </c>
      <c r="K331" s="470">
        <f t="shared" si="637"/>
        <v>6700</v>
      </c>
      <c r="L331" s="470">
        <f t="shared" si="638"/>
        <v>7300</v>
      </c>
      <c r="M331" s="417"/>
      <c r="N331" s="417"/>
      <c r="O331" s="417"/>
      <c r="P331" s="417"/>
      <c r="Q331" s="417"/>
      <c r="Z331" s="367">
        <f t="shared" si="639"/>
        <v>2195.4177137612169</v>
      </c>
      <c r="AA331" s="367">
        <f t="shared" si="639"/>
        <v>2831.9431213074495</v>
      </c>
      <c r="AB331" s="367">
        <f t="shared" si="639"/>
        <v>3468.4685288536812</v>
      </c>
      <c r="AC331" s="367">
        <f t="shared" si="639"/>
        <v>4104.9939363999129</v>
      </c>
      <c r="AD331" s="367">
        <f t="shared" si="639"/>
        <v>4741.5193439461464</v>
      </c>
      <c r="AE331" s="367">
        <f t="shared" si="639"/>
        <v>5378.0447514923799</v>
      </c>
      <c r="AF331" s="367">
        <f t="shared" si="639"/>
        <v>6014.5701590386125</v>
      </c>
      <c r="AG331" s="367">
        <f t="shared" si="640"/>
        <v>6651.0955665848433</v>
      </c>
      <c r="AH331" s="367">
        <f t="shared" si="640"/>
        <v>7287.6209741310759</v>
      </c>
      <c r="AJ331" s="367">
        <f t="shared" si="641"/>
        <v>60</v>
      </c>
      <c r="AK331" s="367">
        <f t="shared" si="642"/>
        <v>7987.9829183050824</v>
      </c>
      <c r="AL331" s="367">
        <f t="shared" ref="AL331:AL336" si="646">($G$453+(AJ331-$G$459)*$G$445*$G$460)*$G$461*$G$462</f>
        <v>7490.2576987288121</v>
      </c>
      <c r="AM331" s="800">
        <f t="shared" ref="AM331:AM336" si="647">IFERROR((AL331/$G$430)^(1/$G$445)-1,0)</f>
        <v>0.20081222595661186</v>
      </c>
      <c r="AT331" s="804">
        <f t="shared" si="643"/>
        <v>0</v>
      </c>
      <c r="AU331" s="804">
        <f t="shared" si="643"/>
        <v>0</v>
      </c>
      <c r="AV331" s="804">
        <f t="shared" si="643"/>
        <v>0</v>
      </c>
      <c r="AW331" s="804">
        <f t="shared" si="643"/>
        <v>0</v>
      </c>
      <c r="AX331" s="804">
        <f t="shared" si="643"/>
        <v>0</v>
      </c>
      <c r="AY331" s="804">
        <f t="shared" si="643"/>
        <v>0</v>
      </c>
      <c r="AZ331" s="804">
        <f t="shared" si="643"/>
        <v>2</v>
      </c>
      <c r="BA331" s="804">
        <f t="shared" ref="BA331:BB331" si="648">IF(AG371&lt;$G$449,0,MIN($G$446,1+IFERROR(INT((AG371-$G$449)/$G$468),0)))</f>
        <v>4</v>
      </c>
      <c r="BB331" s="804">
        <f t="shared" si="648"/>
        <v>6</v>
      </c>
    </row>
    <row r="332" spans="1:54" ht="15" customHeight="1">
      <c r="A332" s="417"/>
      <c r="B332" s="828"/>
      <c r="C332" s="779">
        <f>C333-$G$441</f>
        <v>0.76317122593718345</v>
      </c>
      <c r="D332" s="470">
        <f t="shared" si="645"/>
        <v>2500</v>
      </c>
      <c r="E332" s="470">
        <f t="shared" si="631"/>
        <v>3200</v>
      </c>
      <c r="F332" s="470">
        <f t="shared" si="632"/>
        <v>3800</v>
      </c>
      <c r="G332" s="470">
        <f t="shared" si="633"/>
        <v>4400</v>
      </c>
      <c r="H332" s="470">
        <f t="shared" si="634"/>
        <v>5100</v>
      </c>
      <c r="I332" s="470">
        <f t="shared" si="635"/>
        <v>5700</v>
      </c>
      <c r="J332" s="470">
        <f t="shared" si="636"/>
        <v>6300</v>
      </c>
      <c r="K332" s="470">
        <f t="shared" si="637"/>
        <v>7000</v>
      </c>
      <c r="L332" s="470">
        <f t="shared" si="638"/>
        <v>7600</v>
      </c>
      <c r="M332" s="417"/>
      <c r="N332" s="417"/>
      <c r="O332" s="417"/>
      <c r="P332" s="417"/>
      <c r="Q332" s="417"/>
      <c r="Z332" s="367">
        <f t="shared" si="639"/>
        <v>2525.7365913122376</v>
      </c>
      <c r="AA332" s="367">
        <f t="shared" si="639"/>
        <v>3162.2619988584702</v>
      </c>
      <c r="AB332" s="367">
        <f t="shared" si="639"/>
        <v>3798.787406404701</v>
      </c>
      <c r="AC332" s="367">
        <f t="shared" si="639"/>
        <v>4435.3128139509336</v>
      </c>
      <c r="AD332" s="367">
        <f t="shared" si="639"/>
        <v>5071.8382214971662</v>
      </c>
      <c r="AE332" s="367">
        <f t="shared" si="639"/>
        <v>5708.3636290433988</v>
      </c>
      <c r="AF332" s="367">
        <f t="shared" si="639"/>
        <v>6344.8890365896314</v>
      </c>
      <c r="AG332" s="367">
        <f t="shared" si="640"/>
        <v>6981.4144441358621</v>
      </c>
      <c r="AH332" s="367">
        <f t="shared" si="640"/>
        <v>7617.9398516820966</v>
      </c>
      <c r="AJ332" s="367">
        <f t="shared" si="641"/>
        <v>60</v>
      </c>
      <c r="AK332" s="367">
        <f t="shared" si="642"/>
        <v>7987.9829183050824</v>
      </c>
      <c r="AL332" s="367">
        <f t="shared" si="646"/>
        <v>7490.2576987288121</v>
      </c>
      <c r="AM332" s="800">
        <f t="shared" si="647"/>
        <v>0.20081222595661186</v>
      </c>
      <c r="AT332" s="804">
        <f t="shared" si="643"/>
        <v>0</v>
      </c>
      <c r="AU332" s="804">
        <f t="shared" si="643"/>
        <v>0</v>
      </c>
      <c r="AV332" s="804">
        <f t="shared" si="643"/>
        <v>0</v>
      </c>
      <c r="AW332" s="804">
        <f t="shared" si="643"/>
        <v>0</v>
      </c>
      <c r="AX332" s="804">
        <f t="shared" si="643"/>
        <v>0</v>
      </c>
      <c r="AY332" s="804">
        <f t="shared" si="643"/>
        <v>1</v>
      </c>
      <c r="AZ332" s="804">
        <f t="shared" si="643"/>
        <v>3</v>
      </c>
      <c r="BA332" s="804">
        <f t="shared" ref="BA332:BB332" si="649">IF(AG372&lt;$G$449,0,MIN($G$446,1+IFERROR(INT((AG372-$G$449)/$G$468),0)))</f>
        <v>5</v>
      </c>
      <c r="BB332" s="804">
        <f t="shared" si="649"/>
        <v>7</v>
      </c>
    </row>
    <row r="333" spans="1:54" ht="15" customHeight="1">
      <c r="A333" s="417"/>
      <c r="B333" s="828"/>
      <c r="C333" s="779">
        <f>$G$440</f>
        <v>1.0131712259371835</v>
      </c>
      <c r="D333" s="470">
        <f t="shared" si="645"/>
        <v>2900</v>
      </c>
      <c r="E333" s="470">
        <f t="shared" si="631"/>
        <v>3500</v>
      </c>
      <c r="F333" s="470">
        <f t="shared" si="632"/>
        <v>4100</v>
      </c>
      <c r="G333" s="470">
        <f t="shared" si="633"/>
        <v>4800</v>
      </c>
      <c r="H333" s="781">
        <f t="shared" si="634"/>
        <v>5400</v>
      </c>
      <c r="I333" s="470">
        <f t="shared" si="635"/>
        <v>6000</v>
      </c>
      <c r="J333" s="470">
        <f t="shared" si="636"/>
        <v>6700</v>
      </c>
      <c r="K333" s="470">
        <f t="shared" si="637"/>
        <v>7300</v>
      </c>
      <c r="L333" s="470">
        <f t="shared" si="638"/>
        <v>7900</v>
      </c>
      <c r="M333" s="417"/>
      <c r="N333" s="417"/>
      <c r="O333" s="417"/>
      <c r="P333" s="417"/>
      <c r="Q333" s="417"/>
      <c r="Z333" s="367">
        <f t="shared" si="639"/>
        <v>2856.0554688632583</v>
      </c>
      <c r="AA333" s="367">
        <f t="shared" si="639"/>
        <v>3492.5808764094909</v>
      </c>
      <c r="AB333" s="367">
        <f t="shared" si="639"/>
        <v>4129.1062839557217</v>
      </c>
      <c r="AC333" s="367">
        <f t="shared" si="639"/>
        <v>4765.6316915019543</v>
      </c>
      <c r="AD333" s="367">
        <f t="shared" si="639"/>
        <v>5402.1570990481869</v>
      </c>
      <c r="AE333" s="367">
        <f t="shared" si="639"/>
        <v>6038.6825065944195</v>
      </c>
      <c r="AF333" s="367">
        <f t="shared" si="639"/>
        <v>6675.2079141406521</v>
      </c>
      <c r="AG333" s="367">
        <f t="shared" si="640"/>
        <v>7311.7333216868828</v>
      </c>
      <c r="AH333" s="367">
        <f t="shared" si="640"/>
        <v>7948.2587292331154</v>
      </c>
      <c r="AJ333" s="367">
        <f t="shared" si="641"/>
        <v>60</v>
      </c>
      <c r="AK333" s="367">
        <f t="shared" si="642"/>
        <v>7987.9829183050824</v>
      </c>
      <c r="AL333" s="367">
        <f t="shared" si="646"/>
        <v>7490.2576987288121</v>
      </c>
      <c r="AM333" s="800">
        <f t="shared" si="647"/>
        <v>0.20081222595661186</v>
      </c>
      <c r="AT333" s="804">
        <f t="shared" si="643"/>
        <v>0</v>
      </c>
      <c r="AU333" s="804">
        <f t="shared" si="643"/>
        <v>0</v>
      </c>
      <c r="AV333" s="804">
        <f t="shared" si="643"/>
        <v>0</v>
      </c>
      <c r="AW333" s="804">
        <f t="shared" si="643"/>
        <v>0</v>
      </c>
      <c r="AX333" s="804">
        <f t="shared" si="643"/>
        <v>0</v>
      </c>
      <c r="AY333" s="804">
        <f t="shared" si="643"/>
        <v>2</v>
      </c>
      <c r="AZ333" s="804">
        <f t="shared" si="643"/>
        <v>4</v>
      </c>
      <c r="BA333" s="804">
        <f t="shared" ref="BA333:BB333" si="650">IF(AG373&lt;$G$449,0,MIN($G$446,1+IFERROR(INT((AG373-$G$449)/$G$468),0)))</f>
        <v>6</v>
      </c>
      <c r="BB333" s="804">
        <f t="shared" si="650"/>
        <v>8</v>
      </c>
    </row>
    <row r="334" spans="1:54" ht="15" customHeight="1">
      <c r="A334" s="417"/>
      <c r="B334" s="828"/>
      <c r="C334" s="779">
        <f>C333+$G$441</f>
        <v>1.2631712259371835</v>
      </c>
      <c r="D334" s="470">
        <f t="shared" si="645"/>
        <v>3200</v>
      </c>
      <c r="E334" s="470">
        <f t="shared" si="631"/>
        <v>3800</v>
      </c>
      <c r="F334" s="470">
        <f t="shared" si="632"/>
        <v>4500</v>
      </c>
      <c r="G334" s="470">
        <f t="shared" si="633"/>
        <v>5100</v>
      </c>
      <c r="H334" s="470">
        <f t="shared" si="634"/>
        <v>5700</v>
      </c>
      <c r="I334" s="470">
        <f t="shared" si="635"/>
        <v>6400</v>
      </c>
      <c r="J334" s="470">
        <f t="shared" si="636"/>
        <v>7000</v>
      </c>
      <c r="K334" s="470">
        <f t="shared" si="637"/>
        <v>7600</v>
      </c>
      <c r="L334" s="470">
        <f t="shared" si="638"/>
        <v>8300</v>
      </c>
      <c r="M334" s="417"/>
      <c r="N334" s="417"/>
      <c r="O334" s="417"/>
      <c r="P334" s="417"/>
      <c r="Q334" s="417"/>
      <c r="Z334" s="367">
        <f t="shared" si="639"/>
        <v>3186.3743464142781</v>
      </c>
      <c r="AA334" s="367">
        <f t="shared" si="639"/>
        <v>3822.8997539605116</v>
      </c>
      <c r="AB334" s="367">
        <f t="shared" si="639"/>
        <v>4459.4251615067424</v>
      </c>
      <c r="AC334" s="367">
        <f t="shared" si="639"/>
        <v>5095.950569052975</v>
      </c>
      <c r="AD334" s="367">
        <f t="shared" si="639"/>
        <v>5732.4759765992076</v>
      </c>
      <c r="AE334" s="367">
        <f t="shared" si="639"/>
        <v>6369.0013841454402</v>
      </c>
      <c r="AF334" s="367">
        <f t="shared" si="639"/>
        <v>7005.5267916916728</v>
      </c>
      <c r="AG334" s="367">
        <f t="shared" si="640"/>
        <v>7642.0521992379036</v>
      </c>
      <c r="AH334" s="367">
        <f t="shared" si="640"/>
        <v>8278.5776067841362</v>
      </c>
      <c r="AJ334" s="367">
        <f t="shared" si="641"/>
        <v>60</v>
      </c>
      <c r="AK334" s="367">
        <f t="shared" si="642"/>
        <v>7987.9829183050824</v>
      </c>
      <c r="AL334" s="367">
        <f t="shared" si="646"/>
        <v>7490.2576987288121</v>
      </c>
      <c r="AM334" s="800">
        <f t="shared" si="647"/>
        <v>0.20081222595661186</v>
      </c>
      <c r="AT334" s="804">
        <f t="shared" si="643"/>
        <v>0</v>
      </c>
      <c r="AU334" s="804">
        <f t="shared" si="643"/>
        <v>0</v>
      </c>
      <c r="AV334" s="804">
        <f t="shared" si="643"/>
        <v>0</v>
      </c>
      <c r="AW334" s="804">
        <f t="shared" si="643"/>
        <v>0</v>
      </c>
      <c r="AX334" s="804">
        <f t="shared" si="643"/>
        <v>1</v>
      </c>
      <c r="AY334" s="804">
        <f t="shared" si="643"/>
        <v>3</v>
      </c>
      <c r="AZ334" s="804">
        <f t="shared" si="643"/>
        <v>5</v>
      </c>
      <c r="BA334" s="804">
        <f t="shared" ref="BA334:BB334" si="651">IF(AG374&lt;$G$449,0,MIN($G$446,1+IFERROR(INT((AG374-$G$449)/$G$468),0)))</f>
        <v>7</v>
      </c>
      <c r="BB334" s="804">
        <f t="shared" si="651"/>
        <v>9</v>
      </c>
    </row>
    <row r="335" spans="1:54" ht="15" customHeight="1">
      <c r="A335" s="417"/>
      <c r="B335" s="828"/>
      <c r="C335" s="779">
        <f>C334+$G$441</f>
        <v>1.5131712259371835</v>
      </c>
      <c r="D335" s="470">
        <f t="shared" si="645"/>
        <v>3500</v>
      </c>
      <c r="E335" s="470">
        <f t="shared" si="631"/>
        <v>4200</v>
      </c>
      <c r="F335" s="470">
        <f t="shared" si="632"/>
        <v>4800</v>
      </c>
      <c r="G335" s="470">
        <f t="shared" si="633"/>
        <v>5400</v>
      </c>
      <c r="H335" s="470">
        <f t="shared" si="634"/>
        <v>6100</v>
      </c>
      <c r="I335" s="470">
        <f t="shared" si="635"/>
        <v>6700</v>
      </c>
      <c r="J335" s="470">
        <f t="shared" si="636"/>
        <v>7300</v>
      </c>
      <c r="K335" s="470">
        <f t="shared" si="637"/>
        <v>8000</v>
      </c>
      <c r="L335" s="470">
        <f t="shared" si="638"/>
        <v>8600</v>
      </c>
      <c r="M335" s="417"/>
      <c r="N335" s="417"/>
      <c r="O335" s="417"/>
      <c r="P335" s="417"/>
      <c r="Q335" s="417"/>
      <c r="Z335" s="367">
        <f t="shared" si="639"/>
        <v>3516.6932239652988</v>
      </c>
      <c r="AA335" s="367">
        <f t="shared" si="639"/>
        <v>4153.2186315115314</v>
      </c>
      <c r="AB335" s="367">
        <f t="shared" si="639"/>
        <v>4789.7440390577631</v>
      </c>
      <c r="AC335" s="367">
        <f t="shared" si="639"/>
        <v>5426.2694466039957</v>
      </c>
      <c r="AD335" s="367">
        <f t="shared" si="639"/>
        <v>6062.7948541502283</v>
      </c>
      <c r="AE335" s="367">
        <f t="shared" si="639"/>
        <v>6699.3202616964609</v>
      </c>
      <c r="AF335" s="367">
        <f t="shared" si="639"/>
        <v>7335.8456692426935</v>
      </c>
      <c r="AG335" s="367">
        <f t="shared" si="640"/>
        <v>7972.3710767889243</v>
      </c>
      <c r="AH335" s="367">
        <f t="shared" si="640"/>
        <v>8608.8964843351569</v>
      </c>
      <c r="AJ335" s="367">
        <f t="shared" si="641"/>
        <v>60</v>
      </c>
      <c r="AK335" s="367">
        <f t="shared" si="642"/>
        <v>7987.9829183050824</v>
      </c>
      <c r="AL335" s="367">
        <f t="shared" si="646"/>
        <v>7490.2576987288121</v>
      </c>
      <c r="AM335" s="800">
        <f t="shared" si="647"/>
        <v>0.20081222595661186</v>
      </c>
      <c r="AT335" s="804">
        <f t="shared" si="643"/>
        <v>0</v>
      </c>
      <c r="AU335" s="804">
        <f t="shared" si="643"/>
        <v>0</v>
      </c>
      <c r="AV335" s="804">
        <f t="shared" si="643"/>
        <v>0</v>
      </c>
      <c r="AW335" s="804">
        <f t="shared" si="643"/>
        <v>0</v>
      </c>
      <c r="AX335" s="804">
        <f t="shared" si="643"/>
        <v>2</v>
      </c>
      <c r="AY335" s="804">
        <f t="shared" si="643"/>
        <v>4</v>
      </c>
      <c r="AZ335" s="804">
        <f t="shared" si="643"/>
        <v>6</v>
      </c>
      <c r="BA335" s="804">
        <f t="shared" ref="BA335:BB335" si="652">IF(AG375&lt;$G$449,0,MIN($G$446,1+IFERROR(INT((AG375-$G$449)/$G$468),0)))</f>
        <v>8</v>
      </c>
      <c r="BB335" s="804">
        <f t="shared" si="652"/>
        <v>10</v>
      </c>
    </row>
    <row r="336" spans="1:54" ht="15" customHeight="1">
      <c r="A336" s="417"/>
      <c r="B336" s="829"/>
      <c r="C336" s="780">
        <f>C335+$G$441</f>
        <v>1.7631712259371835</v>
      </c>
      <c r="D336" s="771">
        <f t="shared" si="645"/>
        <v>3800</v>
      </c>
      <c r="E336" s="771">
        <f t="shared" si="631"/>
        <v>4500</v>
      </c>
      <c r="F336" s="771">
        <f t="shared" si="632"/>
        <v>5100</v>
      </c>
      <c r="G336" s="771">
        <f t="shared" si="633"/>
        <v>5800</v>
      </c>
      <c r="H336" s="771">
        <f t="shared" si="634"/>
        <v>6400</v>
      </c>
      <c r="I336" s="771">
        <f t="shared" si="635"/>
        <v>7000</v>
      </c>
      <c r="J336" s="771">
        <f t="shared" si="636"/>
        <v>7700</v>
      </c>
      <c r="K336" s="771">
        <f t="shared" si="637"/>
        <v>8300</v>
      </c>
      <c r="L336" s="771">
        <f t="shared" si="638"/>
        <v>8900</v>
      </c>
      <c r="M336" s="417"/>
      <c r="N336" s="417"/>
      <c r="O336" s="417"/>
      <c r="P336" s="417"/>
      <c r="Q336" s="417"/>
      <c r="Z336" s="367">
        <f t="shared" si="639"/>
        <v>3847.0121015163186</v>
      </c>
      <c r="AA336" s="367">
        <f t="shared" si="639"/>
        <v>4483.5375090625512</v>
      </c>
      <c r="AB336" s="367">
        <f t="shared" si="639"/>
        <v>5120.0629166087829</v>
      </c>
      <c r="AC336" s="367">
        <f t="shared" si="639"/>
        <v>5756.5883241550146</v>
      </c>
      <c r="AD336" s="367">
        <f t="shared" si="639"/>
        <v>6393.113731701249</v>
      </c>
      <c r="AE336" s="367">
        <f t="shared" si="639"/>
        <v>7029.6391392474816</v>
      </c>
      <c r="AF336" s="367">
        <f t="shared" si="639"/>
        <v>7666.1645467937142</v>
      </c>
      <c r="AG336" s="367">
        <f t="shared" si="640"/>
        <v>8302.689954339945</v>
      </c>
      <c r="AH336" s="367">
        <f t="shared" si="640"/>
        <v>8939.2153618861776</v>
      </c>
      <c r="AJ336" s="367">
        <f t="shared" si="641"/>
        <v>60</v>
      </c>
      <c r="AK336" s="367">
        <f t="shared" si="642"/>
        <v>7987.9829183050824</v>
      </c>
      <c r="AL336" s="367">
        <f t="shared" si="646"/>
        <v>7490.2576987288121</v>
      </c>
      <c r="AM336" s="800">
        <f t="shared" si="647"/>
        <v>0.20081222595661186</v>
      </c>
      <c r="AT336" s="804">
        <f t="shared" si="643"/>
        <v>0</v>
      </c>
      <c r="AU336" s="804">
        <f t="shared" si="643"/>
        <v>0</v>
      </c>
      <c r="AV336" s="804">
        <f t="shared" si="643"/>
        <v>0</v>
      </c>
      <c r="AW336" s="804">
        <f t="shared" si="643"/>
        <v>1</v>
      </c>
      <c r="AX336" s="804">
        <f t="shared" si="643"/>
        <v>3</v>
      </c>
      <c r="AY336" s="804">
        <f t="shared" si="643"/>
        <v>5</v>
      </c>
      <c r="AZ336" s="804">
        <f t="shared" si="643"/>
        <v>7</v>
      </c>
      <c r="BA336" s="804">
        <f t="shared" ref="BA336:BB336" si="653">IF(AG376&lt;$G$449,0,MIN($G$446,1+IFERROR(INT((AG376-$G$449)/$G$468),0)))</f>
        <v>9</v>
      </c>
      <c r="BB336" s="804">
        <f t="shared" si="653"/>
        <v>10</v>
      </c>
    </row>
    <row r="337" spans="1:54" ht="3.95" hidden="1" customHeight="1">
      <c r="A337" s="417"/>
      <c r="B337" s="423" t="str">
        <f>"Ben's Yr 5 value less Keystone today (G430); Keystone Yr 5 value = Yr 5 revenue (helper AK) × column multiple; net client wins held at model (G456); rollover fixed at "&amp;TEXT($G$436,"0%")</f>
        <v>Ben's Yr 5 value less Keystone today (G430); Keystone Yr 5 value = Yr 5 revenue (helper AK) × column multiple; net client wins held at model (G456); rollover fixed at 30%</v>
      </c>
      <c r="C337" s="784"/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7"/>
      <c r="O337" s="417"/>
      <c r="P337" s="417"/>
      <c r="Q337" s="417"/>
    </row>
    <row r="338" spans="1:54" ht="3.9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7"/>
      <c r="O338" s="417"/>
      <c r="P338" s="417"/>
      <c r="Q338" s="417"/>
    </row>
    <row r="339" spans="1:54" ht="15" customHeight="1">
      <c r="A339" s="417"/>
      <c r="B339" s="148" t="s">
        <v>2765</v>
      </c>
      <c r="C339" s="417"/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7"/>
      <c r="O339" s="417"/>
      <c r="P339" s="417"/>
      <c r="Q339" s="417"/>
    </row>
    <row r="340" spans="1:54" ht="2.1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7"/>
      <c r="O340" s="417"/>
      <c r="P340" s="417"/>
      <c r="Q340" s="417"/>
    </row>
    <row r="341" spans="1:54" ht="12.75" customHeight="1">
      <c r="A341" s="417"/>
      <c r="B341" s="454"/>
      <c r="C341" s="454"/>
      <c r="D341" s="767" t="s">
        <v>2751</v>
      </c>
      <c r="E341" s="767"/>
      <c r="F341" s="767"/>
      <c r="G341" s="767"/>
      <c r="H341" s="767"/>
      <c r="I341" s="767"/>
      <c r="J341" s="767"/>
      <c r="K341" s="767"/>
      <c r="L341" s="767"/>
      <c r="M341" s="417"/>
      <c r="N341" s="417"/>
      <c r="O341" s="417"/>
      <c r="P341" s="417"/>
      <c r="Q341" s="417"/>
    </row>
    <row r="342" spans="1:54" ht="12.75" customHeight="1">
      <c r="A342" s="417"/>
      <c r="B342" s="454"/>
      <c r="C342" s="454"/>
      <c r="D342" s="815">
        <f>E342-$G$466</f>
        <v>1</v>
      </c>
      <c r="E342" s="815">
        <f>F342-$G$466</f>
        <v>1.25</v>
      </c>
      <c r="F342" s="815">
        <f>G342-$G$466</f>
        <v>1.5</v>
      </c>
      <c r="G342" s="815">
        <f>H342-$G$466</f>
        <v>1.75</v>
      </c>
      <c r="H342" s="815">
        <f>$G$465</f>
        <v>2</v>
      </c>
      <c r="I342" s="815">
        <f>H342+$G$466</f>
        <v>2.25</v>
      </c>
      <c r="J342" s="815">
        <f>I342+$G$466</f>
        <v>2.5</v>
      </c>
      <c r="K342" s="815">
        <f>J342+$G$466</f>
        <v>2.75</v>
      </c>
      <c r="L342" s="815">
        <f>K342+$G$466</f>
        <v>3</v>
      </c>
      <c r="M342" s="417"/>
      <c r="N342" s="417"/>
      <c r="O342" s="417"/>
      <c r="P342" s="417"/>
      <c r="Q342" s="417"/>
      <c r="AT342" s="772" t="s">
        <v>2614</v>
      </c>
      <c r="AU342" s="427"/>
      <c r="AV342" s="427"/>
      <c r="AW342" s="427"/>
      <c r="AX342" s="427"/>
      <c r="AY342" s="427"/>
      <c r="AZ342" s="427"/>
      <c r="BA342" s="427"/>
      <c r="BB342" s="427"/>
    </row>
    <row r="343" spans="1:54" ht="15" customHeight="1">
      <c r="A343" s="417"/>
      <c r="B343" s="827" t="s">
        <v>2525</v>
      </c>
      <c r="C343" s="779">
        <f>C344-$G$441</f>
        <v>0.26317122593718345</v>
      </c>
      <c r="D343" s="490">
        <f>IFERROR(Z330/$G$430,0)</f>
        <v>0.62169961207006541</v>
      </c>
      <c r="E343" s="490">
        <f t="shared" ref="E343:E349" si="654">IFERROR(AA330/$G$430,0)</f>
        <v>0.83387474791880956</v>
      </c>
      <c r="F343" s="490">
        <f t="shared" ref="F343:F349" si="655">IFERROR(AB330/$G$430,0)</f>
        <v>1.0460498837675536</v>
      </c>
      <c r="G343" s="490">
        <f t="shared" ref="G343:G349" si="656">IFERROR(AC330/$G$430,0)</f>
        <v>1.2582250196162976</v>
      </c>
      <c r="H343" s="490">
        <f t="shared" ref="H343:H349" si="657">IFERROR(AD330/$G$430,0)</f>
        <v>1.4704001554650419</v>
      </c>
      <c r="I343" s="490">
        <f t="shared" ref="I343:I349" si="658">IFERROR(AE330/$G$430,0)</f>
        <v>1.6825752913137864</v>
      </c>
      <c r="J343" s="490">
        <f t="shared" ref="J343:J349" si="659">IFERROR(AF330/$G$430,0)</f>
        <v>1.8947504271625306</v>
      </c>
      <c r="K343" s="490">
        <f t="shared" ref="K343:K349" si="660">IFERROR(AG330/$G$430,0)</f>
        <v>2.106925563011274</v>
      </c>
      <c r="L343" s="490">
        <f t="shared" ref="L343:L349" si="661">IFERROR(AH330/$G$430,0)</f>
        <v>2.3191006988600185</v>
      </c>
      <c r="M343" s="417"/>
      <c r="N343" s="417"/>
      <c r="O343" s="417"/>
      <c r="P343" s="417"/>
      <c r="Q343" s="417"/>
      <c r="AT343" s="804">
        <f t="shared" ref="AT343:AZ349" si="662">IF(Z370&lt;$G$449,0,MIN($G$446,1+IFERROR(INT((Z370-$G$449)/$G$468),0)))</f>
        <v>0</v>
      </c>
      <c r="AU343" s="804">
        <f t="shared" si="662"/>
        <v>0</v>
      </c>
      <c r="AV343" s="804">
        <f t="shared" si="662"/>
        <v>0</v>
      </c>
      <c r="AW343" s="804">
        <f t="shared" si="662"/>
        <v>0</v>
      </c>
      <c r="AX343" s="804">
        <f t="shared" si="662"/>
        <v>0</v>
      </c>
      <c r="AY343" s="804">
        <f t="shared" si="662"/>
        <v>0</v>
      </c>
      <c r="AZ343" s="804">
        <f t="shared" si="662"/>
        <v>1</v>
      </c>
      <c r="BA343" s="804">
        <f t="shared" ref="BA343:BB343" si="663">IF(AG370&lt;$G$449,0,MIN($G$446,1+IFERROR(INT((AG370-$G$449)/$G$468),0)))</f>
        <v>3</v>
      </c>
      <c r="BB343" s="804">
        <f t="shared" si="663"/>
        <v>5</v>
      </c>
    </row>
    <row r="344" spans="1:54" ht="15" customHeight="1">
      <c r="A344" s="417"/>
      <c r="B344" s="828"/>
      <c r="C344" s="779">
        <f>C345-$G$441</f>
        <v>0.51317122593718345</v>
      </c>
      <c r="D344" s="490">
        <f t="shared" ref="D344:D349" si="664">IFERROR(Z331/$G$430,0)</f>
        <v>0.73180590458707229</v>
      </c>
      <c r="E344" s="490">
        <f t="shared" si="654"/>
        <v>0.94398104043581654</v>
      </c>
      <c r="F344" s="490">
        <f t="shared" si="655"/>
        <v>1.1561561762845605</v>
      </c>
      <c r="G344" s="490">
        <f t="shared" si="656"/>
        <v>1.3683313121333043</v>
      </c>
      <c r="H344" s="490">
        <f t="shared" si="657"/>
        <v>1.5805064479820488</v>
      </c>
      <c r="I344" s="490">
        <f t="shared" si="658"/>
        <v>1.7926815838307932</v>
      </c>
      <c r="J344" s="490">
        <f t="shared" si="659"/>
        <v>2.0048567196795375</v>
      </c>
      <c r="K344" s="490">
        <f t="shared" si="660"/>
        <v>2.2170318555282811</v>
      </c>
      <c r="L344" s="490">
        <f t="shared" si="661"/>
        <v>2.4292069913770251</v>
      </c>
      <c r="M344" s="417"/>
      <c r="N344" s="417"/>
      <c r="O344" s="417"/>
      <c r="P344" s="417"/>
      <c r="Q344" s="417"/>
      <c r="AT344" s="804">
        <f t="shared" si="662"/>
        <v>0</v>
      </c>
      <c r="AU344" s="804">
        <f t="shared" si="662"/>
        <v>0</v>
      </c>
      <c r="AV344" s="804">
        <f t="shared" si="662"/>
        <v>0</v>
      </c>
      <c r="AW344" s="804">
        <f t="shared" si="662"/>
        <v>0</v>
      </c>
      <c r="AX344" s="804">
        <f t="shared" si="662"/>
        <v>0</v>
      </c>
      <c r="AY344" s="804">
        <f t="shared" si="662"/>
        <v>0</v>
      </c>
      <c r="AZ344" s="804">
        <f t="shared" si="662"/>
        <v>2</v>
      </c>
      <c r="BA344" s="804">
        <f t="shared" ref="BA344:BB344" si="665">IF(AG371&lt;$G$449,0,MIN($G$446,1+IFERROR(INT((AG371-$G$449)/$G$468),0)))</f>
        <v>4</v>
      </c>
      <c r="BB344" s="804">
        <f t="shared" si="665"/>
        <v>6</v>
      </c>
    </row>
    <row r="345" spans="1:54" ht="15" customHeight="1">
      <c r="A345" s="417"/>
      <c r="B345" s="828"/>
      <c r="C345" s="779">
        <f>C346-$G$441</f>
        <v>0.76317122593718345</v>
      </c>
      <c r="D345" s="490">
        <f t="shared" si="664"/>
        <v>0.84191219710407916</v>
      </c>
      <c r="E345" s="490">
        <f t="shared" si="654"/>
        <v>1.0540873329528233</v>
      </c>
      <c r="F345" s="490">
        <f t="shared" si="655"/>
        <v>1.2662624688015669</v>
      </c>
      <c r="G345" s="490">
        <f t="shared" si="656"/>
        <v>1.4784376046503112</v>
      </c>
      <c r="H345" s="490">
        <f t="shared" si="657"/>
        <v>1.6906127404990554</v>
      </c>
      <c r="I345" s="490">
        <f t="shared" si="658"/>
        <v>1.9027878763477997</v>
      </c>
      <c r="J345" s="490">
        <f t="shared" si="659"/>
        <v>2.1149630121965437</v>
      </c>
      <c r="K345" s="490">
        <f t="shared" si="660"/>
        <v>2.3271381480452873</v>
      </c>
      <c r="L345" s="490">
        <f t="shared" si="661"/>
        <v>2.5393132838940322</v>
      </c>
      <c r="M345" s="417"/>
      <c r="N345" s="417"/>
      <c r="O345" s="417"/>
      <c r="P345" s="417"/>
      <c r="Q345" s="417"/>
      <c r="AT345" s="804">
        <f t="shared" si="662"/>
        <v>0</v>
      </c>
      <c r="AU345" s="804">
        <f t="shared" si="662"/>
        <v>0</v>
      </c>
      <c r="AV345" s="804">
        <f t="shared" si="662"/>
        <v>0</v>
      </c>
      <c r="AW345" s="804">
        <f t="shared" si="662"/>
        <v>0</v>
      </c>
      <c r="AX345" s="804">
        <f t="shared" si="662"/>
        <v>0</v>
      </c>
      <c r="AY345" s="804">
        <f t="shared" si="662"/>
        <v>1</v>
      </c>
      <c r="AZ345" s="804">
        <f t="shared" si="662"/>
        <v>3</v>
      </c>
      <c r="BA345" s="804">
        <f t="shared" ref="BA345:BB345" si="666">IF(AG372&lt;$G$449,0,MIN($G$446,1+IFERROR(INT((AG372-$G$449)/$G$468),0)))</f>
        <v>5</v>
      </c>
      <c r="BB345" s="804">
        <f t="shared" si="666"/>
        <v>7</v>
      </c>
    </row>
    <row r="346" spans="1:54" ht="15" customHeight="1">
      <c r="A346" s="417"/>
      <c r="B346" s="828"/>
      <c r="C346" s="779">
        <f>$G$440</f>
        <v>1.0131712259371835</v>
      </c>
      <c r="D346" s="490">
        <f t="shared" si="664"/>
        <v>0.95201848962108604</v>
      </c>
      <c r="E346" s="490">
        <f t="shared" si="654"/>
        <v>1.1641936254698302</v>
      </c>
      <c r="F346" s="490">
        <f t="shared" si="655"/>
        <v>1.376368761318574</v>
      </c>
      <c r="G346" s="490">
        <f t="shared" si="656"/>
        <v>1.588543897167318</v>
      </c>
      <c r="H346" s="782">
        <f t="shared" si="657"/>
        <v>1.8007190330160623</v>
      </c>
      <c r="I346" s="490">
        <f t="shared" si="658"/>
        <v>2.0128941688648063</v>
      </c>
      <c r="J346" s="490">
        <f t="shared" si="659"/>
        <v>2.2250693047135508</v>
      </c>
      <c r="K346" s="490">
        <f t="shared" si="660"/>
        <v>2.4372444405622944</v>
      </c>
      <c r="L346" s="490">
        <f t="shared" si="661"/>
        <v>2.6494195764110384</v>
      </c>
      <c r="M346" s="417"/>
      <c r="N346" s="417"/>
      <c r="O346" s="417"/>
      <c r="P346" s="417"/>
      <c r="Q346" s="417"/>
      <c r="AT346" s="804">
        <f t="shared" si="662"/>
        <v>0</v>
      </c>
      <c r="AU346" s="804">
        <f t="shared" si="662"/>
        <v>0</v>
      </c>
      <c r="AV346" s="804">
        <f t="shared" si="662"/>
        <v>0</v>
      </c>
      <c r="AW346" s="804">
        <f t="shared" si="662"/>
        <v>0</v>
      </c>
      <c r="AX346" s="804">
        <f t="shared" si="662"/>
        <v>0</v>
      </c>
      <c r="AY346" s="804">
        <f t="shared" si="662"/>
        <v>2</v>
      </c>
      <c r="AZ346" s="804">
        <f t="shared" si="662"/>
        <v>4</v>
      </c>
      <c r="BA346" s="804">
        <f t="shared" ref="BA346:BB346" si="667">IF(AG373&lt;$G$449,0,MIN($G$446,1+IFERROR(INT((AG373-$G$449)/$G$468),0)))</f>
        <v>6</v>
      </c>
      <c r="BB346" s="804">
        <f t="shared" si="667"/>
        <v>8</v>
      </c>
    </row>
    <row r="347" spans="1:54" ht="15" customHeight="1">
      <c r="A347" s="417"/>
      <c r="B347" s="828"/>
      <c r="C347" s="779">
        <f>C346+$G$441</f>
        <v>1.2631712259371835</v>
      </c>
      <c r="D347" s="490">
        <f t="shared" si="664"/>
        <v>1.0621247821380926</v>
      </c>
      <c r="E347" s="490">
        <f t="shared" si="654"/>
        <v>1.2742999179868373</v>
      </c>
      <c r="F347" s="490">
        <f t="shared" si="655"/>
        <v>1.4864750538355809</v>
      </c>
      <c r="G347" s="490">
        <f t="shared" si="656"/>
        <v>1.6986501896843249</v>
      </c>
      <c r="H347" s="490">
        <f t="shared" si="657"/>
        <v>1.9108253255330692</v>
      </c>
      <c r="I347" s="490">
        <f t="shared" si="658"/>
        <v>2.1230004613818134</v>
      </c>
      <c r="J347" s="490">
        <f t="shared" si="659"/>
        <v>2.3351755972305575</v>
      </c>
      <c r="K347" s="490">
        <f t="shared" si="660"/>
        <v>2.547350733079301</v>
      </c>
      <c r="L347" s="490">
        <f t="shared" si="661"/>
        <v>2.7595258689280455</v>
      </c>
      <c r="M347" s="417"/>
      <c r="N347" s="417"/>
      <c r="O347" s="417"/>
      <c r="P347" s="417"/>
      <c r="Q347" s="417"/>
      <c r="AT347" s="804">
        <f t="shared" si="662"/>
        <v>0</v>
      </c>
      <c r="AU347" s="804">
        <f t="shared" si="662"/>
        <v>0</v>
      </c>
      <c r="AV347" s="804">
        <f t="shared" si="662"/>
        <v>0</v>
      </c>
      <c r="AW347" s="804">
        <f t="shared" si="662"/>
        <v>0</v>
      </c>
      <c r="AX347" s="804">
        <f t="shared" si="662"/>
        <v>1</v>
      </c>
      <c r="AY347" s="804">
        <f t="shared" si="662"/>
        <v>3</v>
      </c>
      <c r="AZ347" s="804">
        <f t="shared" si="662"/>
        <v>5</v>
      </c>
      <c r="BA347" s="804">
        <f t="shared" ref="BA347:BB347" si="668">IF(AG374&lt;$G$449,0,MIN($G$446,1+IFERROR(INT((AG374-$G$449)/$G$468),0)))</f>
        <v>7</v>
      </c>
      <c r="BB347" s="804">
        <f t="shared" si="668"/>
        <v>9</v>
      </c>
    </row>
    <row r="348" spans="1:54" ht="15" customHeight="1">
      <c r="A348" s="417"/>
      <c r="B348" s="828"/>
      <c r="C348" s="779">
        <f>C347+$G$441</f>
        <v>1.5131712259371835</v>
      </c>
      <c r="D348" s="490">
        <f t="shared" si="664"/>
        <v>1.1722310746550997</v>
      </c>
      <c r="E348" s="490">
        <f t="shared" si="654"/>
        <v>1.3844062105038437</v>
      </c>
      <c r="F348" s="490">
        <f t="shared" si="655"/>
        <v>1.5965813463525877</v>
      </c>
      <c r="G348" s="490">
        <f t="shared" si="656"/>
        <v>1.8087564822013318</v>
      </c>
      <c r="H348" s="490">
        <f t="shared" si="657"/>
        <v>2.020931618050076</v>
      </c>
      <c r="I348" s="490">
        <f t="shared" si="658"/>
        <v>2.2331067538988201</v>
      </c>
      <c r="J348" s="490">
        <f t="shared" si="659"/>
        <v>2.4452818897475646</v>
      </c>
      <c r="K348" s="490">
        <f t="shared" si="660"/>
        <v>2.6574570255963081</v>
      </c>
      <c r="L348" s="490">
        <f t="shared" si="661"/>
        <v>2.8696321614450522</v>
      </c>
      <c r="M348" s="417"/>
      <c r="N348" s="417"/>
      <c r="O348" s="417"/>
      <c r="P348" s="417"/>
      <c r="Q348" s="417"/>
      <c r="AT348" s="804">
        <f t="shared" si="662"/>
        <v>0</v>
      </c>
      <c r="AU348" s="804">
        <f t="shared" si="662"/>
        <v>0</v>
      </c>
      <c r="AV348" s="804">
        <f t="shared" si="662"/>
        <v>0</v>
      </c>
      <c r="AW348" s="804">
        <f t="shared" si="662"/>
        <v>0</v>
      </c>
      <c r="AX348" s="804">
        <f t="shared" si="662"/>
        <v>2</v>
      </c>
      <c r="AY348" s="804">
        <f t="shared" si="662"/>
        <v>4</v>
      </c>
      <c r="AZ348" s="804">
        <f t="shared" si="662"/>
        <v>6</v>
      </c>
      <c r="BA348" s="804">
        <f t="shared" ref="BA348:BB348" si="669">IF(AG375&lt;$G$449,0,MIN($G$446,1+IFERROR(INT((AG375-$G$449)/$G$468),0)))</f>
        <v>8</v>
      </c>
      <c r="BB348" s="804">
        <f t="shared" si="669"/>
        <v>10</v>
      </c>
    </row>
    <row r="349" spans="1:54" ht="15" customHeight="1">
      <c r="A349" s="417"/>
      <c r="B349" s="829"/>
      <c r="C349" s="780">
        <f>C348+$G$441</f>
        <v>1.7631712259371835</v>
      </c>
      <c r="D349" s="783">
        <f t="shared" si="664"/>
        <v>1.2823373671721061</v>
      </c>
      <c r="E349" s="783">
        <f t="shared" si="654"/>
        <v>1.4945125030208504</v>
      </c>
      <c r="F349" s="783">
        <f t="shared" si="655"/>
        <v>1.7066876388695942</v>
      </c>
      <c r="G349" s="783">
        <f t="shared" si="656"/>
        <v>1.9188627747183382</v>
      </c>
      <c r="H349" s="783">
        <f t="shared" si="657"/>
        <v>2.1310379105670831</v>
      </c>
      <c r="I349" s="783">
        <f t="shared" si="658"/>
        <v>2.3432130464158272</v>
      </c>
      <c r="J349" s="783">
        <f t="shared" si="659"/>
        <v>2.5553881822645712</v>
      </c>
      <c r="K349" s="783">
        <f t="shared" si="660"/>
        <v>2.7675633181133148</v>
      </c>
      <c r="L349" s="783">
        <f t="shared" si="661"/>
        <v>2.9797384539620593</v>
      </c>
      <c r="M349" s="417"/>
      <c r="N349" s="417"/>
      <c r="O349" s="417"/>
      <c r="P349" s="417"/>
      <c r="Q349" s="417"/>
      <c r="AT349" s="804">
        <f t="shared" si="662"/>
        <v>0</v>
      </c>
      <c r="AU349" s="804">
        <f t="shared" si="662"/>
        <v>0</v>
      </c>
      <c r="AV349" s="804">
        <f t="shared" si="662"/>
        <v>0</v>
      </c>
      <c r="AW349" s="804">
        <f t="shared" si="662"/>
        <v>1</v>
      </c>
      <c r="AX349" s="804">
        <f t="shared" si="662"/>
        <v>3</v>
      </c>
      <c r="AY349" s="804">
        <f t="shared" si="662"/>
        <v>5</v>
      </c>
      <c r="AZ349" s="804">
        <f t="shared" si="662"/>
        <v>7</v>
      </c>
      <c r="BA349" s="804">
        <f t="shared" ref="BA349:BB349" si="670">IF(AG376&lt;$G$449,0,MIN($G$446,1+IFERROR(INT((AG376-$G$449)/$G$468),0)))</f>
        <v>9</v>
      </c>
      <c r="BB349" s="804">
        <f t="shared" si="670"/>
        <v>10</v>
      </c>
    </row>
    <row r="350" spans="1:54" ht="3.95" hidden="1" customHeight="1">
      <c r="A350" s="417"/>
      <c r="B350" s="423" t="str">
        <f>"Ben's Year 5 total value ÷ Keystone value today (G430), less 1; net client wins held at model (G456); rollover fixed at "&amp;TEXT($G$436,"0%")</f>
        <v>Ben's Year 5 total value ÷ Keystone value today (G430), less 1; net client wins held at model (G456); rollover fixed at 30%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7"/>
      <c r="O350" s="417"/>
      <c r="P350" s="417"/>
      <c r="Q350" s="417"/>
    </row>
    <row r="351" spans="1:54" ht="3.95" customHeight="1">
      <c r="A351" s="417"/>
      <c r="M351" s="417"/>
      <c r="N351" s="417"/>
      <c r="O351" s="417"/>
      <c r="P351" s="417"/>
      <c r="Q351" s="417"/>
    </row>
    <row r="352" spans="1:54" ht="15" customHeight="1">
      <c r="A352" s="417"/>
      <c r="B352" s="148" t="s">
        <v>2766</v>
      </c>
      <c r="C352" s="417"/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7"/>
      <c r="O352" s="417"/>
      <c r="P352" s="417"/>
      <c r="Q352" s="417"/>
    </row>
    <row r="353" spans="1:109" ht="2.1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7"/>
      <c r="O353" s="417"/>
      <c r="P353" s="417"/>
      <c r="Q353" s="417"/>
    </row>
    <row r="354" spans="1:109" ht="12.75" customHeight="1">
      <c r="A354" s="417"/>
      <c r="B354" s="454"/>
      <c r="C354" s="454"/>
      <c r="D354" s="767" t="s">
        <v>2751</v>
      </c>
      <c r="E354" s="767"/>
      <c r="F354" s="767"/>
      <c r="G354" s="767"/>
      <c r="H354" s="767"/>
      <c r="I354" s="767"/>
      <c r="J354" s="767"/>
      <c r="K354" s="767"/>
      <c r="L354" s="767"/>
      <c r="M354" s="417"/>
      <c r="N354" s="417"/>
      <c r="O354" s="417"/>
      <c r="P354" s="417"/>
      <c r="Q354" s="417"/>
      <c r="BD354" s="772" t="s">
        <v>2803</v>
      </c>
      <c r="BE354" s="772"/>
      <c r="BF354" s="772"/>
      <c r="BG354" s="772"/>
      <c r="BH354" s="772"/>
      <c r="BI354" s="772"/>
      <c r="BJ354" s="772" t="s">
        <v>2804</v>
      </c>
      <c r="BK354" s="772"/>
      <c r="BL354" s="772"/>
      <c r="BM354" s="772"/>
      <c r="BN354" s="772"/>
      <c r="BO354" s="772"/>
      <c r="BP354" s="772" t="s">
        <v>2805</v>
      </c>
      <c r="BQ354" s="772"/>
      <c r="BR354" s="772"/>
      <c r="BS354" s="772"/>
      <c r="BT354" s="772"/>
      <c r="BU354" s="772"/>
      <c r="BV354" s="772" t="s">
        <v>2806</v>
      </c>
      <c r="BW354" s="772"/>
      <c r="BX354" s="772"/>
      <c r="BY354" s="772"/>
      <c r="BZ354" s="772"/>
      <c r="CA354" s="772"/>
      <c r="CB354" s="772" t="s">
        <v>2807</v>
      </c>
      <c r="CC354" s="772"/>
      <c r="CD354" s="772"/>
      <c r="CE354" s="772"/>
      <c r="CF354" s="772"/>
      <c r="CG354" s="772"/>
      <c r="CH354" s="772" t="s">
        <v>2808</v>
      </c>
      <c r="CI354" s="772"/>
      <c r="CJ354" s="772"/>
      <c r="CK354" s="772"/>
      <c r="CL354" s="772"/>
      <c r="CM354" s="772"/>
      <c r="CN354" s="772" t="s">
        <v>2809</v>
      </c>
      <c r="CO354" s="772"/>
      <c r="CP354" s="772"/>
      <c r="CQ354" s="772"/>
      <c r="CR354" s="772"/>
      <c r="CS354" s="772"/>
      <c r="CT354" s="772" t="s">
        <v>2810</v>
      </c>
      <c r="CU354" s="772"/>
      <c r="CV354" s="772"/>
      <c r="CW354" s="772"/>
      <c r="CX354" s="772"/>
      <c r="CY354" s="772"/>
      <c r="CZ354" s="772" t="s">
        <v>2811</v>
      </c>
      <c r="DA354" s="772"/>
      <c r="DB354" s="772"/>
      <c r="DC354" s="772"/>
      <c r="DD354" s="772"/>
      <c r="DE354" s="772"/>
    </row>
    <row r="355" spans="1:109" ht="12.75" customHeight="1">
      <c r="A355" s="417"/>
      <c r="B355" s="454"/>
      <c r="C355" s="454"/>
      <c r="D355" s="815">
        <f>E355-$G$466</f>
        <v>1</v>
      </c>
      <c r="E355" s="815">
        <f>F355-$G$466</f>
        <v>1.25</v>
      </c>
      <c r="F355" s="815">
        <f>G355-$G$466</f>
        <v>1.5</v>
      </c>
      <c r="G355" s="815">
        <f>H355-$G$466</f>
        <v>1.75</v>
      </c>
      <c r="H355" s="815">
        <f>$G$465</f>
        <v>2</v>
      </c>
      <c r="I355" s="815">
        <f>H355+$G$466</f>
        <v>2.25</v>
      </c>
      <c r="J355" s="815">
        <f>I355+$G$466</f>
        <v>2.5</v>
      </c>
      <c r="K355" s="815">
        <f>J355+$G$466</f>
        <v>2.75</v>
      </c>
      <c r="L355" s="815">
        <f>K355+$G$466</f>
        <v>3</v>
      </c>
      <c r="M355" s="417"/>
      <c r="N355" s="417"/>
      <c r="O355" s="417"/>
      <c r="P355" s="417"/>
      <c r="Q355" s="417"/>
      <c r="AT355" s="772" t="s">
        <v>2614</v>
      </c>
      <c r="AU355" s="427"/>
      <c r="AV355" s="427"/>
      <c r="AW355" s="427"/>
      <c r="AX355" s="427"/>
      <c r="AY355" s="427"/>
      <c r="AZ355" s="427"/>
      <c r="BA355" s="427"/>
      <c r="BB355" s="427"/>
      <c r="BD355" s="818">
        <f>$S$9</f>
        <v>0</v>
      </c>
      <c r="BE355" s="818">
        <f>$T$9</f>
        <v>1</v>
      </c>
      <c r="BF355" s="818">
        <f>$U$9</f>
        <v>2</v>
      </c>
      <c r="BG355" s="818">
        <f>$V$9</f>
        <v>3</v>
      </c>
      <c r="BH355" s="818">
        <f>$W$9</f>
        <v>4</v>
      </c>
      <c r="BI355" s="818">
        <f>$X$9</f>
        <v>5</v>
      </c>
      <c r="BJ355" s="818">
        <f>$S$9</f>
        <v>0</v>
      </c>
      <c r="BK355" s="818">
        <f>$T$9</f>
        <v>1</v>
      </c>
      <c r="BL355" s="818">
        <f>$U$9</f>
        <v>2</v>
      </c>
      <c r="BM355" s="818">
        <f>$V$9</f>
        <v>3</v>
      </c>
      <c r="BN355" s="818">
        <f>$W$9</f>
        <v>4</v>
      </c>
      <c r="BO355" s="818">
        <f>$X$9</f>
        <v>5</v>
      </c>
      <c r="BP355" s="818">
        <f>$S$9</f>
        <v>0</v>
      </c>
      <c r="BQ355" s="818">
        <f>$T$9</f>
        <v>1</v>
      </c>
      <c r="BR355" s="818">
        <f>$U$9</f>
        <v>2</v>
      </c>
      <c r="BS355" s="818">
        <f>$V$9</f>
        <v>3</v>
      </c>
      <c r="BT355" s="818">
        <f>$W$9</f>
        <v>4</v>
      </c>
      <c r="BU355" s="818">
        <f>$X$9</f>
        <v>5</v>
      </c>
      <c r="BV355" s="818">
        <f>$S$9</f>
        <v>0</v>
      </c>
      <c r="BW355" s="818">
        <f>$T$9</f>
        <v>1</v>
      </c>
      <c r="BX355" s="818">
        <f>$U$9</f>
        <v>2</v>
      </c>
      <c r="BY355" s="818">
        <f>$V$9</f>
        <v>3</v>
      </c>
      <c r="BZ355" s="818">
        <f>$W$9</f>
        <v>4</v>
      </c>
      <c r="CA355" s="818">
        <f>$X$9</f>
        <v>5</v>
      </c>
      <c r="CB355" s="818">
        <f>$S$9</f>
        <v>0</v>
      </c>
      <c r="CC355" s="818">
        <f>$T$9</f>
        <v>1</v>
      </c>
      <c r="CD355" s="818">
        <f>$U$9</f>
        <v>2</v>
      </c>
      <c r="CE355" s="818">
        <f>$V$9</f>
        <v>3</v>
      </c>
      <c r="CF355" s="818">
        <f>$W$9</f>
        <v>4</v>
      </c>
      <c r="CG355" s="818">
        <f>$X$9</f>
        <v>5</v>
      </c>
      <c r="CH355" s="818">
        <f>$S$9</f>
        <v>0</v>
      </c>
      <c r="CI355" s="818">
        <f>$T$9</f>
        <v>1</v>
      </c>
      <c r="CJ355" s="818">
        <f>$U$9</f>
        <v>2</v>
      </c>
      <c r="CK355" s="818">
        <f>$V$9</f>
        <v>3</v>
      </c>
      <c r="CL355" s="818">
        <f>$W$9</f>
        <v>4</v>
      </c>
      <c r="CM355" s="818">
        <f>$X$9</f>
        <v>5</v>
      </c>
      <c r="CN355" s="818">
        <f>$S$9</f>
        <v>0</v>
      </c>
      <c r="CO355" s="818">
        <f>$T$9</f>
        <v>1</v>
      </c>
      <c r="CP355" s="818">
        <f>$U$9</f>
        <v>2</v>
      </c>
      <c r="CQ355" s="818">
        <f>$V$9</f>
        <v>3</v>
      </c>
      <c r="CR355" s="818">
        <f>$W$9</f>
        <v>4</v>
      </c>
      <c r="CS355" s="818">
        <f>$X$9</f>
        <v>5</v>
      </c>
      <c r="CT355" s="818">
        <f>$S$9</f>
        <v>0</v>
      </c>
      <c r="CU355" s="818">
        <f>$T$9</f>
        <v>1</v>
      </c>
      <c r="CV355" s="818">
        <f>$U$9</f>
        <v>2</v>
      </c>
      <c r="CW355" s="818">
        <f>$V$9</f>
        <v>3</v>
      </c>
      <c r="CX355" s="818">
        <f>$W$9</f>
        <v>4</v>
      </c>
      <c r="CY355" s="818">
        <f>$X$9</f>
        <v>5</v>
      </c>
      <c r="CZ355" s="818">
        <f>$S$9</f>
        <v>0</v>
      </c>
      <c r="DA355" s="818">
        <f>$T$9</f>
        <v>1</v>
      </c>
      <c r="DB355" s="818">
        <f>$U$9</f>
        <v>2</v>
      </c>
      <c r="DC355" s="818">
        <f>$V$9</f>
        <v>3</v>
      </c>
      <c r="DD355" s="818">
        <f>$W$9</f>
        <v>4</v>
      </c>
      <c r="DE355" s="818">
        <f>$X$9</f>
        <v>5</v>
      </c>
    </row>
    <row r="356" spans="1:109" ht="15" customHeight="1">
      <c r="A356" s="417"/>
      <c r="B356" s="827" t="s">
        <v>2525</v>
      </c>
      <c r="C356" s="779">
        <f>C357-$G$441</f>
        <v>0.26317122593718345</v>
      </c>
      <c r="D356" s="631">
        <f t="shared" ref="D356:D362" si="671">IFERROR(IRR(BD356:BI356),0)</f>
        <v>0.12395255793155524</v>
      </c>
      <c r="E356" s="631">
        <f t="shared" ref="E356:E362" si="672">IFERROR(IRR(BJ356:BO356),0)</f>
        <v>0.1560160373216839</v>
      </c>
      <c r="F356" s="631">
        <f t="shared" ref="F356:F362" si="673">IFERROR(IRR(BP356:BU356),0)</f>
        <v>0.18487249084860213</v>
      </c>
      <c r="G356" s="631">
        <f t="shared" ref="G356:G362" si="674">IFERROR(IRR(BV356:CA356),0)</f>
        <v>0.21116423542611873</v>
      </c>
      <c r="H356" s="631">
        <f t="shared" ref="H356:H362" si="675">IFERROR(IRR(CB356:CG356),0)</f>
        <v>0.23535332957483757</v>
      </c>
      <c r="I356" s="631">
        <f t="shared" ref="I356:I362" si="676">IFERROR(IRR(CH356:CM356),0)</f>
        <v>0.25778402474697848</v>
      </c>
      <c r="J356" s="631">
        <f t="shared" ref="J356:J362" si="677">IFERROR(IRR(CN356:CS356),0)</f>
        <v>0.27872015256536575</v>
      </c>
      <c r="K356" s="631">
        <f t="shared" ref="K356:K362" si="678">IFERROR(IRR(CT356:CY356),0)</f>
        <v>0.29836867154763325</v>
      </c>
      <c r="L356" s="631">
        <f t="shared" ref="L356:L362" si="679">IFERROR(IRR(CZ356:DE356),0)</f>
        <v>0.31689512403459763</v>
      </c>
      <c r="M356" s="417"/>
      <c r="N356" s="417"/>
      <c r="O356" s="417"/>
      <c r="P356" s="417"/>
      <c r="Q356" s="417"/>
      <c r="AT356" s="804">
        <f t="shared" ref="AT356:AZ362" si="680">IF(Z370&lt;$G$449,0,MIN($G$446,1+IFERROR(INT((Z370-$G$449)/$G$468),0)))</f>
        <v>0</v>
      </c>
      <c r="AU356" s="804">
        <f t="shared" si="680"/>
        <v>0</v>
      </c>
      <c r="AV356" s="804">
        <f t="shared" si="680"/>
        <v>0</v>
      </c>
      <c r="AW356" s="804">
        <f t="shared" si="680"/>
        <v>0</v>
      </c>
      <c r="AX356" s="804">
        <f t="shared" si="680"/>
        <v>0</v>
      </c>
      <c r="AY356" s="804">
        <f t="shared" si="680"/>
        <v>0</v>
      </c>
      <c r="AZ356" s="804">
        <f t="shared" si="680"/>
        <v>1</v>
      </c>
      <c r="BA356" s="804">
        <f t="shared" ref="BA356:BB356" si="681">IF(AG370&lt;$G$449,0,MIN($G$446,1+IFERROR(INT((AG370-$G$449)/$G$468),0)))</f>
        <v>3</v>
      </c>
      <c r="BB356" s="804">
        <f t="shared" si="681"/>
        <v>5</v>
      </c>
      <c r="BD356" s="428">
        <f t="shared" ref="BD356:BD362" si="682">(BD$355=0)*($O$18-$G$430)+(BD$355=$G$444)*$G$435+(BD$355=$G$445)*(Z330+$G$430-$O$18-$G$435)</f>
        <v>-2350</v>
      </c>
      <c r="BE356" s="428">
        <f t="shared" ref="BE356:BE362" si="683">(BE$355=0)*($O$18-$G$430)+(BE$355=$G$444)*$G$435+(BE$355=$G$445)*(Z330+$G$430-$O$18-$G$435)</f>
        <v>0</v>
      </c>
      <c r="BF356" s="428">
        <f t="shared" ref="BF356:BF362" si="684">(BF$355=0)*($O$18-$G$430)+(BF$355=$G$444)*$G$435+(BF$355=$G$445)*(Z330+$G$430-$O$18-$G$435)</f>
        <v>0</v>
      </c>
      <c r="BG356" s="428">
        <f t="shared" ref="BG356:BG362" si="685">(BG$355=0)*($O$18-$G$430)+(BG$355=$G$444)*$G$435+(BG$355=$G$445)*(Z330+$G$430-$O$18-$G$435)</f>
        <v>0</v>
      </c>
      <c r="BH356" s="428">
        <f t="shared" ref="BH356:BH362" si="686">(BH$355=0)*($O$18-$G$430)+(BH$355=$G$444)*$G$435+(BH$355=$G$445)*(Z330+$G$430-$O$18-$G$435)</f>
        <v>0</v>
      </c>
      <c r="BI356" s="428">
        <f t="shared" ref="BI356:BJ362" si="687">(BI$355=0)*($O$18-$G$430)+(BI$355=$G$444)*$G$435+(BI$355=$G$445)*(Z330+$G$430-$O$18-$G$435)</f>
        <v>4215.0988362101962</v>
      </c>
      <c r="BJ356" s="428">
        <f t="shared" si="687"/>
        <v>-2350</v>
      </c>
      <c r="BK356" s="428">
        <f t="shared" ref="BK356:BK362" si="688">(BK$355=0)*($O$18-$G$430)+(BK$355=$G$444)*$G$435+(BK$355=$G$445)*(AA330+$G$430-$O$18-$G$435)</f>
        <v>0</v>
      </c>
      <c r="BL356" s="428">
        <f t="shared" ref="BL356:BL362" si="689">(BL$355=0)*($O$18-$G$430)+(BL$355=$G$444)*$G$435+(BL$355=$G$445)*(AA330+$G$430-$O$18-$G$435)</f>
        <v>0</v>
      </c>
      <c r="BM356" s="428">
        <f t="shared" ref="BM356:BM362" si="690">(BM$355=0)*($O$18-$G$430)+(BM$355=$G$444)*$G$435+(BM$355=$G$445)*(AA330+$G$430-$O$18-$G$435)</f>
        <v>0</v>
      </c>
      <c r="BN356" s="428">
        <f t="shared" ref="BN356:BN362" si="691">(BN$355=0)*($O$18-$G$430)+(BN$355=$G$444)*$G$435+(BN$355=$G$445)*(AA330+$G$430-$O$18-$G$435)</f>
        <v>0</v>
      </c>
      <c r="BO356" s="428">
        <f t="shared" ref="BO356:BP362" si="692">(BO$355=0)*($O$18-$G$430)+(BO$355=$G$444)*$G$435+(BO$355=$G$445)*(AA330+$G$430-$O$18-$G$435)</f>
        <v>4851.6242437564288</v>
      </c>
      <c r="BP356" s="428">
        <f t="shared" si="692"/>
        <v>-2350</v>
      </c>
      <c r="BQ356" s="428">
        <f t="shared" ref="BQ356:BQ362" si="693">(BQ$355=0)*($O$18-$G$430)+(BQ$355=$G$444)*$G$435+(BQ$355=$G$445)*(AB330+$G$430-$O$18-$G$435)</f>
        <v>0</v>
      </c>
      <c r="BR356" s="428">
        <f t="shared" ref="BR356:BR362" si="694">(BR$355=0)*($O$18-$G$430)+(BR$355=$G$444)*$G$435+(BR$355=$G$445)*(AB330+$G$430-$O$18-$G$435)</f>
        <v>0</v>
      </c>
      <c r="BS356" s="428">
        <f t="shared" ref="BS356:BS362" si="695">(BS$355=0)*($O$18-$G$430)+(BS$355=$G$444)*$G$435+(BS$355=$G$445)*(AB330+$G$430-$O$18-$G$435)</f>
        <v>0</v>
      </c>
      <c r="BT356" s="428">
        <f t="shared" ref="BT356:BT362" si="696">(BT$355=0)*($O$18-$G$430)+(BT$355=$G$444)*$G$435+(BT$355=$G$445)*(AB330+$G$430-$O$18-$G$435)</f>
        <v>0</v>
      </c>
      <c r="BU356" s="428">
        <f t="shared" ref="BU356:BV362" si="697">(BU$355=0)*($O$18-$G$430)+(BU$355=$G$444)*$G$435+(BU$355=$G$445)*(AB330+$G$430-$O$18-$G$435)</f>
        <v>5488.1496513026605</v>
      </c>
      <c r="BV356" s="428">
        <f t="shared" si="697"/>
        <v>-2350</v>
      </c>
      <c r="BW356" s="428">
        <f t="shared" ref="BW356:BW362" si="698">(BW$355=0)*($O$18-$G$430)+(BW$355=$G$444)*$G$435+(BW$355=$G$445)*(AC330+$G$430-$O$18-$G$435)</f>
        <v>0</v>
      </c>
      <c r="BX356" s="428">
        <f t="shared" ref="BX356:BX362" si="699">(BX$355=0)*($O$18-$G$430)+(BX$355=$G$444)*$G$435+(BX$355=$G$445)*(AC330+$G$430-$O$18-$G$435)</f>
        <v>0</v>
      </c>
      <c r="BY356" s="428">
        <f t="shared" ref="BY356:BY362" si="700">(BY$355=0)*($O$18-$G$430)+(BY$355=$G$444)*$G$435+(BY$355=$G$445)*(AC330+$G$430-$O$18-$G$435)</f>
        <v>0</v>
      </c>
      <c r="BZ356" s="428">
        <f t="shared" ref="BZ356:BZ362" si="701">(BZ$355=0)*($O$18-$G$430)+(BZ$355=$G$444)*$G$435+(BZ$355=$G$445)*(AC330+$G$430-$O$18-$G$435)</f>
        <v>0</v>
      </c>
      <c r="CA356" s="428">
        <f t="shared" ref="CA356:CB362" si="702">(CA$355=0)*($O$18-$G$430)+(CA$355=$G$444)*$G$435+(CA$355=$G$445)*(AC330+$G$430-$O$18-$G$435)</f>
        <v>6124.6750588488931</v>
      </c>
      <c r="CB356" s="428">
        <f t="shared" si="702"/>
        <v>-2350</v>
      </c>
      <c r="CC356" s="428">
        <f t="shared" ref="CC356:CC362" si="703">(CC$355=0)*($O$18-$G$430)+(CC$355=$G$444)*$G$435+(CC$355=$G$445)*(AD330+$G$430-$O$18-$G$435)</f>
        <v>0</v>
      </c>
      <c r="CD356" s="428">
        <f t="shared" ref="CD356:CD362" si="704">(CD$355=0)*($O$18-$G$430)+(CD$355=$G$444)*$G$435+(CD$355=$G$445)*(AD330+$G$430-$O$18-$G$435)</f>
        <v>0</v>
      </c>
      <c r="CE356" s="428">
        <f t="shared" ref="CE356:CE362" si="705">(CE$355=0)*($O$18-$G$430)+(CE$355=$G$444)*$G$435+(CE$355=$G$445)*(AD330+$G$430-$O$18-$G$435)</f>
        <v>0</v>
      </c>
      <c r="CF356" s="428">
        <f t="shared" ref="CF356:CF362" si="706">(CF$355=0)*($O$18-$G$430)+(CF$355=$G$444)*$G$435+(CF$355=$G$445)*(AD330+$G$430-$O$18-$G$435)</f>
        <v>0</v>
      </c>
      <c r="CG356" s="428">
        <f t="shared" ref="CG356:CH362" si="707">(CG$355=0)*($O$18-$G$430)+(CG$355=$G$444)*$G$435+(CG$355=$G$445)*(AD330+$G$430-$O$18-$G$435)</f>
        <v>6761.2004663951257</v>
      </c>
      <c r="CH356" s="428">
        <f t="shared" si="707"/>
        <v>-2350</v>
      </c>
      <c r="CI356" s="428">
        <f t="shared" ref="CI356:CI362" si="708">(CI$355=0)*($O$18-$G$430)+(CI$355=$G$444)*$G$435+(CI$355=$G$445)*(AE330+$G$430-$O$18-$G$435)</f>
        <v>0</v>
      </c>
      <c r="CJ356" s="428">
        <f t="shared" ref="CJ356:CJ362" si="709">(CJ$355=0)*($O$18-$G$430)+(CJ$355=$G$444)*$G$435+(CJ$355=$G$445)*(AE330+$G$430-$O$18-$G$435)</f>
        <v>0</v>
      </c>
      <c r="CK356" s="428">
        <f t="shared" ref="CK356:CK362" si="710">(CK$355=0)*($O$18-$G$430)+(CK$355=$G$444)*$G$435+(CK$355=$G$445)*(AE330+$G$430-$O$18-$G$435)</f>
        <v>0</v>
      </c>
      <c r="CL356" s="428">
        <f t="shared" ref="CL356:CL362" si="711">(CL$355=0)*($O$18-$G$430)+(CL$355=$G$444)*$G$435+(CL$355=$G$445)*(AE330+$G$430-$O$18-$G$435)</f>
        <v>0</v>
      </c>
      <c r="CM356" s="428">
        <f t="shared" ref="CM356:CN362" si="712">(CM$355=0)*($O$18-$G$430)+(CM$355=$G$444)*$G$435+(CM$355=$G$445)*(AE330+$G$430-$O$18-$G$435)</f>
        <v>7397.7258739413592</v>
      </c>
      <c r="CN356" s="428">
        <f t="shared" si="712"/>
        <v>-2350</v>
      </c>
      <c r="CO356" s="428">
        <f t="shared" ref="CO356:CO362" si="713">(CO$355=0)*($O$18-$G$430)+(CO$355=$G$444)*$G$435+(CO$355=$G$445)*(AF330+$G$430-$O$18-$G$435)</f>
        <v>0</v>
      </c>
      <c r="CP356" s="428">
        <f t="shared" ref="CP356:CP362" si="714">(CP$355=0)*($O$18-$G$430)+(CP$355=$G$444)*$G$435+(CP$355=$G$445)*(AF330+$G$430-$O$18-$G$435)</f>
        <v>0</v>
      </c>
      <c r="CQ356" s="428">
        <f t="shared" ref="CQ356:CQ362" si="715">(CQ$355=0)*($O$18-$G$430)+(CQ$355=$G$444)*$G$435+(CQ$355=$G$445)*(AF330+$G$430-$O$18-$G$435)</f>
        <v>0</v>
      </c>
      <c r="CR356" s="428">
        <f t="shared" ref="CR356:CR362" si="716">(CR$355=0)*($O$18-$G$430)+(CR$355=$G$444)*$G$435+(CR$355=$G$445)*(AF330+$G$430-$O$18-$G$435)</f>
        <v>0</v>
      </c>
      <c r="CS356" s="428">
        <f t="shared" ref="CS356:CT362" si="717">(CS$355=0)*($O$18-$G$430)+(CS$355=$G$444)*$G$435+(CS$355=$G$445)*(AF330+$G$430-$O$18-$G$435)</f>
        <v>8034.2512814875918</v>
      </c>
      <c r="CT356" s="428">
        <f t="shared" si="717"/>
        <v>-2350</v>
      </c>
      <c r="CU356" s="428">
        <f t="shared" ref="CU356:CU362" si="718">(CU$355=0)*($O$18-$G$430)+(CU$355=$G$444)*$G$435+(CU$355=$G$445)*(AG330+$G$430-$O$18-$G$435)</f>
        <v>0</v>
      </c>
      <c r="CV356" s="428">
        <f t="shared" ref="CV356:CV362" si="719">(CV$355=0)*($O$18-$G$430)+(CV$355=$G$444)*$G$435+(CV$355=$G$445)*(AG330+$G$430-$O$18-$G$435)</f>
        <v>0</v>
      </c>
      <c r="CW356" s="428">
        <f t="shared" ref="CW356:CW362" si="720">(CW$355=0)*($O$18-$G$430)+(CW$355=$G$444)*$G$435+(CW$355=$G$445)*(AG330+$G$430-$O$18-$G$435)</f>
        <v>0</v>
      </c>
      <c r="CX356" s="428">
        <f t="shared" ref="CX356:CX362" si="721">(CX$355=0)*($O$18-$G$430)+(CX$355=$G$444)*$G$435+(CX$355=$G$445)*(AG330+$G$430-$O$18-$G$435)</f>
        <v>0</v>
      </c>
      <c r="CY356" s="428">
        <f t="shared" ref="CY356:CZ362" si="722">(CY$355=0)*($O$18-$G$430)+(CY$355=$G$444)*$G$435+(CY$355=$G$445)*(AG330+$G$430-$O$18-$G$435)</f>
        <v>8670.7766890338225</v>
      </c>
      <c r="CZ356" s="428">
        <f t="shared" si="722"/>
        <v>-2350</v>
      </c>
      <c r="DA356" s="428">
        <f t="shared" ref="DA356:DA362" si="723">(DA$355=0)*($O$18-$G$430)+(DA$355=$G$444)*$G$435+(DA$355=$G$445)*(AH330+$G$430-$O$18-$G$435)</f>
        <v>0</v>
      </c>
      <c r="DB356" s="428">
        <f t="shared" ref="DB356:DB362" si="724">(DB$355=0)*($O$18-$G$430)+(DB$355=$G$444)*$G$435+(DB$355=$G$445)*(AH330+$G$430-$O$18-$G$435)</f>
        <v>0</v>
      </c>
      <c r="DC356" s="428">
        <f t="shared" ref="DC356:DC362" si="725">(DC$355=0)*($O$18-$G$430)+(DC$355=$G$444)*$G$435+(DC$355=$G$445)*(AH330+$G$430-$O$18-$G$435)</f>
        <v>0</v>
      </c>
      <c r="DD356" s="428">
        <f t="shared" ref="DD356:DD362" si="726">(DD$355=0)*($O$18-$G$430)+(DD$355=$G$444)*$G$435+(DD$355=$G$445)*(AH330+$G$430-$O$18-$G$435)</f>
        <v>0</v>
      </c>
      <c r="DE356" s="428">
        <f t="shared" ref="DE356:DE362" si="727">(DE$355=0)*($O$18-$G$430)+(DE$355=$G$444)*$G$435+(DE$355=$G$445)*(AH330+$G$430-$O$18-$G$435)</f>
        <v>9307.3020965800551</v>
      </c>
    </row>
    <row r="357" spans="1:109" ht="15" customHeight="1">
      <c r="A357" s="417"/>
      <c r="B357" s="828"/>
      <c r="C357" s="779">
        <f>C358-$G$441</f>
        <v>0.51317122593718345</v>
      </c>
      <c r="D357" s="631">
        <f t="shared" si="671"/>
        <v>0.14104083645181764</v>
      </c>
      <c r="E357" s="631">
        <f t="shared" si="672"/>
        <v>0.17134534476965624</v>
      </c>
      <c r="F357" s="631">
        <f t="shared" si="673"/>
        <v>0.19880395060059253</v>
      </c>
      <c r="G357" s="631">
        <f t="shared" si="674"/>
        <v>0.22395540714506934</v>
      </c>
      <c r="H357" s="631">
        <f t="shared" si="675"/>
        <v>0.24719478410839013</v>
      </c>
      <c r="I357" s="631">
        <f t="shared" si="676"/>
        <v>0.26882098614280148</v>
      </c>
      <c r="J357" s="631">
        <f t="shared" si="677"/>
        <v>0.28906599836437641</v>
      </c>
      <c r="K357" s="631">
        <f t="shared" si="678"/>
        <v>0.30811372409000648</v>
      </c>
      <c r="L357" s="631">
        <f t="shared" si="679"/>
        <v>0.32611258331294324</v>
      </c>
      <c r="M357" s="417"/>
      <c r="N357" s="417"/>
      <c r="O357" s="417"/>
      <c r="P357" s="417"/>
      <c r="Q357" s="417"/>
      <c r="AT357" s="804">
        <f t="shared" si="680"/>
        <v>0</v>
      </c>
      <c r="AU357" s="804">
        <f t="shared" si="680"/>
        <v>0</v>
      </c>
      <c r="AV357" s="804">
        <f t="shared" si="680"/>
        <v>0</v>
      </c>
      <c r="AW357" s="804">
        <f t="shared" si="680"/>
        <v>0</v>
      </c>
      <c r="AX357" s="804">
        <f t="shared" si="680"/>
        <v>0</v>
      </c>
      <c r="AY357" s="804">
        <f t="shared" si="680"/>
        <v>0</v>
      </c>
      <c r="AZ357" s="804">
        <f t="shared" si="680"/>
        <v>2</v>
      </c>
      <c r="BA357" s="804">
        <f t="shared" ref="BA357:BB357" si="728">IF(AG371&lt;$G$449,0,MIN($G$446,1+IFERROR(INT((AG371-$G$449)/$G$468),0)))</f>
        <v>4</v>
      </c>
      <c r="BB357" s="804">
        <f t="shared" si="728"/>
        <v>6</v>
      </c>
      <c r="BD357" s="428">
        <f t="shared" si="682"/>
        <v>-2350</v>
      </c>
      <c r="BE357" s="428">
        <f t="shared" si="683"/>
        <v>0</v>
      </c>
      <c r="BF357" s="428">
        <f t="shared" si="684"/>
        <v>0</v>
      </c>
      <c r="BG357" s="428">
        <f t="shared" si="685"/>
        <v>0</v>
      </c>
      <c r="BH357" s="428">
        <f t="shared" si="686"/>
        <v>0</v>
      </c>
      <c r="BI357" s="428">
        <f t="shared" si="687"/>
        <v>4545.4177137612169</v>
      </c>
      <c r="BJ357" s="428">
        <f t="shared" si="687"/>
        <v>-2350</v>
      </c>
      <c r="BK357" s="428">
        <f t="shared" si="688"/>
        <v>0</v>
      </c>
      <c r="BL357" s="428">
        <f t="shared" si="689"/>
        <v>0</v>
      </c>
      <c r="BM357" s="428">
        <f t="shared" si="690"/>
        <v>0</v>
      </c>
      <c r="BN357" s="428">
        <f t="shared" si="691"/>
        <v>0</v>
      </c>
      <c r="BO357" s="428">
        <f t="shared" si="692"/>
        <v>5181.9431213074495</v>
      </c>
      <c r="BP357" s="428">
        <f t="shared" si="692"/>
        <v>-2350</v>
      </c>
      <c r="BQ357" s="428">
        <f t="shared" si="693"/>
        <v>0</v>
      </c>
      <c r="BR357" s="428">
        <f t="shared" si="694"/>
        <v>0</v>
      </c>
      <c r="BS357" s="428">
        <f t="shared" si="695"/>
        <v>0</v>
      </c>
      <c r="BT357" s="428">
        <f t="shared" si="696"/>
        <v>0</v>
      </c>
      <c r="BU357" s="428">
        <f t="shared" si="697"/>
        <v>5818.4685288536812</v>
      </c>
      <c r="BV357" s="428">
        <f t="shared" si="697"/>
        <v>-2350</v>
      </c>
      <c r="BW357" s="428">
        <f t="shared" si="698"/>
        <v>0</v>
      </c>
      <c r="BX357" s="428">
        <f t="shared" si="699"/>
        <v>0</v>
      </c>
      <c r="BY357" s="428">
        <f t="shared" si="700"/>
        <v>0</v>
      </c>
      <c r="BZ357" s="428">
        <f t="shared" si="701"/>
        <v>0</v>
      </c>
      <c r="CA357" s="428">
        <f t="shared" si="702"/>
        <v>6454.9939363999129</v>
      </c>
      <c r="CB357" s="428">
        <f t="shared" si="702"/>
        <v>-2350</v>
      </c>
      <c r="CC357" s="428">
        <f t="shared" si="703"/>
        <v>0</v>
      </c>
      <c r="CD357" s="428">
        <f t="shared" si="704"/>
        <v>0</v>
      </c>
      <c r="CE357" s="428">
        <f t="shared" si="705"/>
        <v>0</v>
      </c>
      <c r="CF357" s="428">
        <f t="shared" si="706"/>
        <v>0</v>
      </c>
      <c r="CG357" s="428">
        <f t="shared" si="707"/>
        <v>7091.5193439461464</v>
      </c>
      <c r="CH357" s="428">
        <f t="shared" si="707"/>
        <v>-2350</v>
      </c>
      <c r="CI357" s="428">
        <f t="shared" si="708"/>
        <v>0</v>
      </c>
      <c r="CJ357" s="428">
        <f t="shared" si="709"/>
        <v>0</v>
      </c>
      <c r="CK357" s="428">
        <f t="shared" si="710"/>
        <v>0</v>
      </c>
      <c r="CL357" s="428">
        <f t="shared" si="711"/>
        <v>0</v>
      </c>
      <c r="CM357" s="428">
        <f t="shared" si="712"/>
        <v>7728.0447514923799</v>
      </c>
      <c r="CN357" s="428">
        <f t="shared" si="712"/>
        <v>-2350</v>
      </c>
      <c r="CO357" s="428">
        <f t="shared" si="713"/>
        <v>0</v>
      </c>
      <c r="CP357" s="428">
        <f t="shared" si="714"/>
        <v>0</v>
      </c>
      <c r="CQ357" s="428">
        <f t="shared" si="715"/>
        <v>0</v>
      </c>
      <c r="CR357" s="428">
        <f t="shared" si="716"/>
        <v>0</v>
      </c>
      <c r="CS357" s="428">
        <f t="shared" si="717"/>
        <v>8364.5701590386125</v>
      </c>
      <c r="CT357" s="428">
        <f t="shared" si="717"/>
        <v>-2350</v>
      </c>
      <c r="CU357" s="428">
        <f t="shared" si="718"/>
        <v>0</v>
      </c>
      <c r="CV357" s="428">
        <f t="shared" si="719"/>
        <v>0</v>
      </c>
      <c r="CW357" s="428">
        <f t="shared" si="720"/>
        <v>0</v>
      </c>
      <c r="CX357" s="428">
        <f t="shared" si="721"/>
        <v>0</v>
      </c>
      <c r="CY357" s="428">
        <f t="shared" si="722"/>
        <v>9001.0955665848433</v>
      </c>
      <c r="CZ357" s="428">
        <f t="shared" si="722"/>
        <v>-2350</v>
      </c>
      <c r="DA357" s="428">
        <f t="shared" si="723"/>
        <v>0</v>
      </c>
      <c r="DB357" s="428">
        <f t="shared" si="724"/>
        <v>0</v>
      </c>
      <c r="DC357" s="428">
        <f t="shared" si="725"/>
        <v>0</v>
      </c>
      <c r="DD357" s="428">
        <f t="shared" si="726"/>
        <v>0</v>
      </c>
      <c r="DE357" s="428">
        <f t="shared" si="727"/>
        <v>9637.6209741310759</v>
      </c>
    </row>
    <row r="358" spans="1:109" ht="15" customHeight="1">
      <c r="A358" s="417"/>
      <c r="B358" s="828"/>
      <c r="C358" s="779">
        <f>C359-$G$441</f>
        <v>0.76317122593718345</v>
      </c>
      <c r="D358" s="631">
        <f t="shared" si="671"/>
        <v>0.15716282900339551</v>
      </c>
      <c r="E358" s="631">
        <f t="shared" si="672"/>
        <v>0.18591182037449783</v>
      </c>
      <c r="F358" s="631">
        <f t="shared" si="673"/>
        <v>0.21211638820215328</v>
      </c>
      <c r="G358" s="631">
        <f t="shared" si="674"/>
        <v>0.23623319899332151</v>
      </c>
      <c r="H358" s="631">
        <f t="shared" si="675"/>
        <v>0.25860288887625971</v>
      </c>
      <c r="I358" s="631">
        <f t="shared" si="676"/>
        <v>0.27948677028527991</v>
      </c>
      <c r="J358" s="631">
        <f t="shared" si="677"/>
        <v>0.29908998987303681</v>
      </c>
      <c r="K358" s="631">
        <f t="shared" si="678"/>
        <v>0.31757675182133482</v>
      </c>
      <c r="L358" s="631">
        <f t="shared" si="679"/>
        <v>0.33508067394260932</v>
      </c>
      <c r="M358" s="417"/>
      <c r="N358" s="417"/>
      <c r="O358" s="417"/>
      <c r="P358" s="417"/>
      <c r="Q358" s="417"/>
      <c r="AT358" s="804">
        <f t="shared" si="680"/>
        <v>0</v>
      </c>
      <c r="AU358" s="804">
        <f t="shared" si="680"/>
        <v>0</v>
      </c>
      <c r="AV358" s="804">
        <f t="shared" si="680"/>
        <v>0</v>
      </c>
      <c r="AW358" s="804">
        <f t="shared" si="680"/>
        <v>0</v>
      </c>
      <c r="AX358" s="804">
        <f t="shared" si="680"/>
        <v>0</v>
      </c>
      <c r="AY358" s="804">
        <f t="shared" si="680"/>
        <v>1</v>
      </c>
      <c r="AZ358" s="804">
        <f t="shared" si="680"/>
        <v>3</v>
      </c>
      <c r="BA358" s="804">
        <f t="shared" ref="BA358:BB358" si="729">IF(AG372&lt;$G$449,0,MIN($G$446,1+IFERROR(INT((AG372-$G$449)/$G$468),0)))</f>
        <v>5</v>
      </c>
      <c r="BB358" s="804">
        <f t="shared" si="729"/>
        <v>7</v>
      </c>
      <c r="BD358" s="428">
        <f t="shared" si="682"/>
        <v>-2350</v>
      </c>
      <c r="BE358" s="428">
        <f t="shared" si="683"/>
        <v>0</v>
      </c>
      <c r="BF358" s="428">
        <f t="shared" si="684"/>
        <v>0</v>
      </c>
      <c r="BG358" s="428">
        <f t="shared" si="685"/>
        <v>0</v>
      </c>
      <c r="BH358" s="428">
        <f t="shared" si="686"/>
        <v>0</v>
      </c>
      <c r="BI358" s="428">
        <f t="shared" si="687"/>
        <v>4875.7365913122376</v>
      </c>
      <c r="BJ358" s="428">
        <f t="shared" si="687"/>
        <v>-2350</v>
      </c>
      <c r="BK358" s="428">
        <f t="shared" si="688"/>
        <v>0</v>
      </c>
      <c r="BL358" s="428">
        <f t="shared" si="689"/>
        <v>0</v>
      </c>
      <c r="BM358" s="428">
        <f t="shared" si="690"/>
        <v>0</v>
      </c>
      <c r="BN358" s="428">
        <f t="shared" si="691"/>
        <v>0</v>
      </c>
      <c r="BO358" s="428">
        <f t="shared" si="692"/>
        <v>5512.2619988584702</v>
      </c>
      <c r="BP358" s="428">
        <f t="shared" si="692"/>
        <v>-2350</v>
      </c>
      <c r="BQ358" s="428">
        <f t="shared" si="693"/>
        <v>0</v>
      </c>
      <c r="BR358" s="428">
        <f t="shared" si="694"/>
        <v>0</v>
      </c>
      <c r="BS358" s="428">
        <f t="shared" si="695"/>
        <v>0</v>
      </c>
      <c r="BT358" s="428">
        <f t="shared" si="696"/>
        <v>0</v>
      </c>
      <c r="BU358" s="428">
        <f t="shared" si="697"/>
        <v>6148.787406404701</v>
      </c>
      <c r="BV358" s="428">
        <f t="shared" si="697"/>
        <v>-2350</v>
      </c>
      <c r="BW358" s="428">
        <f t="shared" si="698"/>
        <v>0</v>
      </c>
      <c r="BX358" s="428">
        <f t="shared" si="699"/>
        <v>0</v>
      </c>
      <c r="BY358" s="428">
        <f t="shared" si="700"/>
        <v>0</v>
      </c>
      <c r="BZ358" s="428">
        <f t="shared" si="701"/>
        <v>0</v>
      </c>
      <c r="CA358" s="428">
        <f t="shared" si="702"/>
        <v>6785.3128139509336</v>
      </c>
      <c r="CB358" s="428">
        <f t="shared" si="702"/>
        <v>-2350</v>
      </c>
      <c r="CC358" s="428">
        <f t="shared" si="703"/>
        <v>0</v>
      </c>
      <c r="CD358" s="428">
        <f t="shared" si="704"/>
        <v>0</v>
      </c>
      <c r="CE358" s="428">
        <f t="shared" si="705"/>
        <v>0</v>
      </c>
      <c r="CF358" s="428">
        <f t="shared" si="706"/>
        <v>0</v>
      </c>
      <c r="CG358" s="428">
        <f t="shared" si="707"/>
        <v>7421.8382214971662</v>
      </c>
      <c r="CH358" s="428">
        <f t="shared" si="707"/>
        <v>-2350</v>
      </c>
      <c r="CI358" s="428">
        <f t="shared" si="708"/>
        <v>0</v>
      </c>
      <c r="CJ358" s="428">
        <f t="shared" si="709"/>
        <v>0</v>
      </c>
      <c r="CK358" s="428">
        <f t="shared" si="710"/>
        <v>0</v>
      </c>
      <c r="CL358" s="428">
        <f t="shared" si="711"/>
        <v>0</v>
      </c>
      <c r="CM358" s="428">
        <f t="shared" si="712"/>
        <v>8058.3636290433988</v>
      </c>
      <c r="CN358" s="428">
        <f t="shared" si="712"/>
        <v>-2350</v>
      </c>
      <c r="CO358" s="428">
        <f t="shared" si="713"/>
        <v>0</v>
      </c>
      <c r="CP358" s="428">
        <f t="shared" si="714"/>
        <v>0</v>
      </c>
      <c r="CQ358" s="428">
        <f t="shared" si="715"/>
        <v>0</v>
      </c>
      <c r="CR358" s="428">
        <f t="shared" si="716"/>
        <v>0</v>
      </c>
      <c r="CS358" s="428">
        <f t="shared" si="717"/>
        <v>8694.8890365896314</v>
      </c>
      <c r="CT358" s="428">
        <f t="shared" si="717"/>
        <v>-2350</v>
      </c>
      <c r="CU358" s="428">
        <f t="shared" si="718"/>
        <v>0</v>
      </c>
      <c r="CV358" s="428">
        <f t="shared" si="719"/>
        <v>0</v>
      </c>
      <c r="CW358" s="428">
        <f t="shared" si="720"/>
        <v>0</v>
      </c>
      <c r="CX358" s="428">
        <f t="shared" si="721"/>
        <v>0</v>
      </c>
      <c r="CY358" s="428">
        <f t="shared" si="722"/>
        <v>9331.4144441358621</v>
      </c>
      <c r="CZ358" s="428">
        <f t="shared" si="722"/>
        <v>-2350</v>
      </c>
      <c r="DA358" s="428">
        <f t="shared" si="723"/>
        <v>0</v>
      </c>
      <c r="DB358" s="428">
        <f t="shared" si="724"/>
        <v>0</v>
      </c>
      <c r="DC358" s="428">
        <f t="shared" si="725"/>
        <v>0</v>
      </c>
      <c r="DD358" s="428">
        <f t="shared" si="726"/>
        <v>0</v>
      </c>
      <c r="DE358" s="428">
        <f t="shared" si="727"/>
        <v>9967.9398516820966</v>
      </c>
    </row>
    <row r="359" spans="1:109" ht="15" customHeight="1">
      <c r="A359" s="417"/>
      <c r="B359" s="828"/>
      <c r="C359" s="779">
        <f>$G$440</f>
        <v>1.0131712259371835</v>
      </c>
      <c r="D359" s="631">
        <f t="shared" si="671"/>
        <v>0.17243341009559332</v>
      </c>
      <c r="E359" s="631">
        <f t="shared" si="672"/>
        <v>0.19979590167476013</v>
      </c>
      <c r="F359" s="631">
        <f t="shared" si="673"/>
        <v>0.22486845028862823</v>
      </c>
      <c r="G359" s="631">
        <f t="shared" si="674"/>
        <v>0.24804176695894498</v>
      </c>
      <c r="H359" s="789">
        <f t="shared" si="675"/>
        <v>0.26961177196095765</v>
      </c>
      <c r="I359" s="631">
        <f t="shared" si="676"/>
        <v>0.28980833487259727</v>
      </c>
      <c r="J359" s="631">
        <f t="shared" si="677"/>
        <v>0.30881381551539566</v>
      </c>
      <c r="K359" s="631">
        <f t="shared" si="678"/>
        <v>0.32677548000866929</v>
      </c>
      <c r="L359" s="631">
        <f t="shared" si="679"/>
        <v>0.34381408037098704</v>
      </c>
      <c r="M359" s="417"/>
      <c r="N359" s="417"/>
      <c r="O359" s="417"/>
      <c r="P359" s="417"/>
      <c r="Q359" s="417"/>
      <c r="AT359" s="804">
        <f t="shared" si="680"/>
        <v>0</v>
      </c>
      <c r="AU359" s="804">
        <f t="shared" si="680"/>
        <v>0</v>
      </c>
      <c r="AV359" s="804">
        <f t="shared" si="680"/>
        <v>0</v>
      </c>
      <c r="AW359" s="804">
        <f t="shared" si="680"/>
        <v>0</v>
      </c>
      <c r="AX359" s="804">
        <f t="shared" si="680"/>
        <v>0</v>
      </c>
      <c r="AY359" s="804">
        <f t="shared" si="680"/>
        <v>2</v>
      </c>
      <c r="AZ359" s="804">
        <f t="shared" si="680"/>
        <v>4</v>
      </c>
      <c r="BA359" s="804">
        <f t="shared" ref="BA359:BB359" si="730">IF(AG373&lt;$G$449,0,MIN($G$446,1+IFERROR(INT((AG373-$G$449)/$G$468),0)))</f>
        <v>6</v>
      </c>
      <c r="BB359" s="804">
        <f t="shared" si="730"/>
        <v>8</v>
      </c>
      <c r="BD359" s="428">
        <f t="shared" si="682"/>
        <v>-2350</v>
      </c>
      <c r="BE359" s="428">
        <f t="shared" si="683"/>
        <v>0</v>
      </c>
      <c r="BF359" s="428">
        <f t="shared" si="684"/>
        <v>0</v>
      </c>
      <c r="BG359" s="428">
        <f t="shared" si="685"/>
        <v>0</v>
      </c>
      <c r="BH359" s="428">
        <f t="shared" si="686"/>
        <v>0</v>
      </c>
      <c r="BI359" s="428">
        <f t="shared" si="687"/>
        <v>5206.0554688632583</v>
      </c>
      <c r="BJ359" s="428">
        <f t="shared" si="687"/>
        <v>-2350</v>
      </c>
      <c r="BK359" s="428">
        <f t="shared" si="688"/>
        <v>0</v>
      </c>
      <c r="BL359" s="428">
        <f t="shared" si="689"/>
        <v>0</v>
      </c>
      <c r="BM359" s="428">
        <f t="shared" si="690"/>
        <v>0</v>
      </c>
      <c r="BN359" s="428">
        <f t="shared" si="691"/>
        <v>0</v>
      </c>
      <c r="BO359" s="428">
        <f t="shared" si="692"/>
        <v>5842.5808764094909</v>
      </c>
      <c r="BP359" s="428">
        <f t="shared" si="692"/>
        <v>-2350</v>
      </c>
      <c r="BQ359" s="428">
        <f t="shared" si="693"/>
        <v>0</v>
      </c>
      <c r="BR359" s="428">
        <f t="shared" si="694"/>
        <v>0</v>
      </c>
      <c r="BS359" s="428">
        <f t="shared" si="695"/>
        <v>0</v>
      </c>
      <c r="BT359" s="428">
        <f t="shared" si="696"/>
        <v>0</v>
      </c>
      <c r="BU359" s="428">
        <f t="shared" si="697"/>
        <v>6479.1062839557217</v>
      </c>
      <c r="BV359" s="428">
        <f t="shared" si="697"/>
        <v>-2350</v>
      </c>
      <c r="BW359" s="428">
        <f t="shared" si="698"/>
        <v>0</v>
      </c>
      <c r="BX359" s="428">
        <f t="shared" si="699"/>
        <v>0</v>
      </c>
      <c r="BY359" s="428">
        <f t="shared" si="700"/>
        <v>0</v>
      </c>
      <c r="BZ359" s="428">
        <f t="shared" si="701"/>
        <v>0</v>
      </c>
      <c r="CA359" s="428">
        <f t="shared" si="702"/>
        <v>7115.6316915019543</v>
      </c>
      <c r="CB359" s="428">
        <f t="shared" si="702"/>
        <v>-2350</v>
      </c>
      <c r="CC359" s="428">
        <f t="shared" si="703"/>
        <v>0</v>
      </c>
      <c r="CD359" s="428">
        <f t="shared" si="704"/>
        <v>0</v>
      </c>
      <c r="CE359" s="428">
        <f t="shared" si="705"/>
        <v>0</v>
      </c>
      <c r="CF359" s="428">
        <f t="shared" si="706"/>
        <v>0</v>
      </c>
      <c r="CG359" s="428">
        <f t="shared" si="707"/>
        <v>7752.1570990481869</v>
      </c>
      <c r="CH359" s="428">
        <f t="shared" si="707"/>
        <v>-2350</v>
      </c>
      <c r="CI359" s="428">
        <f t="shared" si="708"/>
        <v>0</v>
      </c>
      <c r="CJ359" s="428">
        <f t="shared" si="709"/>
        <v>0</v>
      </c>
      <c r="CK359" s="428">
        <f t="shared" si="710"/>
        <v>0</v>
      </c>
      <c r="CL359" s="428">
        <f t="shared" si="711"/>
        <v>0</v>
      </c>
      <c r="CM359" s="428">
        <f t="shared" si="712"/>
        <v>8388.6825065944195</v>
      </c>
      <c r="CN359" s="428">
        <f t="shared" si="712"/>
        <v>-2350</v>
      </c>
      <c r="CO359" s="428">
        <f t="shared" si="713"/>
        <v>0</v>
      </c>
      <c r="CP359" s="428">
        <f t="shared" si="714"/>
        <v>0</v>
      </c>
      <c r="CQ359" s="428">
        <f t="shared" si="715"/>
        <v>0</v>
      </c>
      <c r="CR359" s="428">
        <f t="shared" si="716"/>
        <v>0</v>
      </c>
      <c r="CS359" s="428">
        <f t="shared" si="717"/>
        <v>9025.2079141406521</v>
      </c>
      <c r="CT359" s="428">
        <f t="shared" si="717"/>
        <v>-2350</v>
      </c>
      <c r="CU359" s="428">
        <f t="shared" si="718"/>
        <v>0</v>
      </c>
      <c r="CV359" s="428">
        <f t="shared" si="719"/>
        <v>0</v>
      </c>
      <c r="CW359" s="428">
        <f t="shared" si="720"/>
        <v>0</v>
      </c>
      <c r="CX359" s="428">
        <f t="shared" si="721"/>
        <v>0</v>
      </c>
      <c r="CY359" s="428">
        <f t="shared" si="722"/>
        <v>9661.7333216868828</v>
      </c>
      <c r="CZ359" s="428">
        <f t="shared" si="722"/>
        <v>-2350</v>
      </c>
      <c r="DA359" s="428">
        <f t="shared" si="723"/>
        <v>0</v>
      </c>
      <c r="DB359" s="428">
        <f t="shared" si="724"/>
        <v>0</v>
      </c>
      <c r="DC359" s="428">
        <f t="shared" si="725"/>
        <v>0</v>
      </c>
      <c r="DD359" s="428">
        <f t="shared" si="726"/>
        <v>0</v>
      </c>
      <c r="DE359" s="428">
        <f t="shared" si="727"/>
        <v>10298.258729233115</v>
      </c>
    </row>
    <row r="360" spans="1:109" ht="15" customHeight="1">
      <c r="A360" s="417"/>
      <c r="B360" s="828"/>
      <c r="C360" s="779">
        <f>C359+$G$441</f>
        <v>1.2631712259371835</v>
      </c>
      <c r="D360" s="631">
        <f t="shared" si="671"/>
        <v>0.18694751916018415</v>
      </c>
      <c r="E360" s="631">
        <f t="shared" si="672"/>
        <v>0.21306555856957132</v>
      </c>
      <c r="F360" s="631">
        <f t="shared" si="673"/>
        <v>0.2371105705872536</v>
      </c>
      <c r="G360" s="631">
        <f t="shared" si="674"/>
        <v>0.2594196274783982</v>
      </c>
      <c r="H360" s="631">
        <f t="shared" si="675"/>
        <v>0.28025155508867439</v>
      </c>
      <c r="I360" s="631">
        <f t="shared" si="676"/>
        <v>0.29980970970252341</v>
      </c>
      <c r="J360" s="631">
        <f t="shared" si="677"/>
        <v>0.31825697200191883</v>
      </c>
      <c r="K360" s="631">
        <f t="shared" si="678"/>
        <v>0.33572595924837034</v>
      </c>
      <c r="L360" s="631">
        <f t="shared" si="679"/>
        <v>0.35232618441244123</v>
      </c>
      <c r="M360" s="417"/>
      <c r="N360" s="417"/>
      <c r="O360" s="417"/>
      <c r="P360" s="417"/>
      <c r="Q360" s="417"/>
      <c r="AT360" s="804">
        <f t="shared" si="680"/>
        <v>0</v>
      </c>
      <c r="AU360" s="804">
        <f t="shared" si="680"/>
        <v>0</v>
      </c>
      <c r="AV360" s="804">
        <f t="shared" si="680"/>
        <v>0</v>
      </c>
      <c r="AW360" s="804">
        <f t="shared" si="680"/>
        <v>0</v>
      </c>
      <c r="AX360" s="804">
        <f t="shared" si="680"/>
        <v>1</v>
      </c>
      <c r="AY360" s="804">
        <f t="shared" si="680"/>
        <v>3</v>
      </c>
      <c r="AZ360" s="804">
        <f t="shared" si="680"/>
        <v>5</v>
      </c>
      <c r="BA360" s="804">
        <f t="shared" ref="BA360:BB360" si="731">IF(AG374&lt;$G$449,0,MIN($G$446,1+IFERROR(INT((AG374-$G$449)/$G$468),0)))</f>
        <v>7</v>
      </c>
      <c r="BB360" s="804">
        <f t="shared" si="731"/>
        <v>9</v>
      </c>
      <c r="BD360" s="428">
        <f t="shared" si="682"/>
        <v>-2350</v>
      </c>
      <c r="BE360" s="428">
        <f t="shared" si="683"/>
        <v>0</v>
      </c>
      <c r="BF360" s="428">
        <f t="shared" si="684"/>
        <v>0</v>
      </c>
      <c r="BG360" s="428">
        <f t="shared" si="685"/>
        <v>0</v>
      </c>
      <c r="BH360" s="428">
        <f t="shared" si="686"/>
        <v>0</v>
      </c>
      <c r="BI360" s="428">
        <f t="shared" si="687"/>
        <v>5536.3743464142781</v>
      </c>
      <c r="BJ360" s="428">
        <f t="shared" si="687"/>
        <v>-2350</v>
      </c>
      <c r="BK360" s="428">
        <f t="shared" si="688"/>
        <v>0</v>
      </c>
      <c r="BL360" s="428">
        <f t="shared" si="689"/>
        <v>0</v>
      </c>
      <c r="BM360" s="428">
        <f t="shared" si="690"/>
        <v>0</v>
      </c>
      <c r="BN360" s="428">
        <f t="shared" si="691"/>
        <v>0</v>
      </c>
      <c r="BO360" s="428">
        <f t="shared" si="692"/>
        <v>6172.8997539605116</v>
      </c>
      <c r="BP360" s="428">
        <f t="shared" si="692"/>
        <v>-2350</v>
      </c>
      <c r="BQ360" s="428">
        <f t="shared" si="693"/>
        <v>0</v>
      </c>
      <c r="BR360" s="428">
        <f t="shared" si="694"/>
        <v>0</v>
      </c>
      <c r="BS360" s="428">
        <f t="shared" si="695"/>
        <v>0</v>
      </c>
      <c r="BT360" s="428">
        <f t="shared" si="696"/>
        <v>0</v>
      </c>
      <c r="BU360" s="428">
        <f t="shared" si="697"/>
        <v>6809.4251615067424</v>
      </c>
      <c r="BV360" s="428">
        <f t="shared" si="697"/>
        <v>-2350</v>
      </c>
      <c r="BW360" s="428">
        <f t="shared" si="698"/>
        <v>0</v>
      </c>
      <c r="BX360" s="428">
        <f t="shared" si="699"/>
        <v>0</v>
      </c>
      <c r="BY360" s="428">
        <f t="shared" si="700"/>
        <v>0</v>
      </c>
      <c r="BZ360" s="428">
        <f t="shared" si="701"/>
        <v>0</v>
      </c>
      <c r="CA360" s="428">
        <f t="shared" si="702"/>
        <v>7445.950569052975</v>
      </c>
      <c r="CB360" s="428">
        <f t="shared" si="702"/>
        <v>-2350</v>
      </c>
      <c r="CC360" s="428">
        <f t="shared" si="703"/>
        <v>0</v>
      </c>
      <c r="CD360" s="428">
        <f t="shared" si="704"/>
        <v>0</v>
      </c>
      <c r="CE360" s="428">
        <f t="shared" si="705"/>
        <v>0</v>
      </c>
      <c r="CF360" s="428">
        <f t="shared" si="706"/>
        <v>0</v>
      </c>
      <c r="CG360" s="428">
        <f t="shared" si="707"/>
        <v>8082.4759765992076</v>
      </c>
      <c r="CH360" s="428">
        <f t="shared" si="707"/>
        <v>-2350</v>
      </c>
      <c r="CI360" s="428">
        <f t="shared" si="708"/>
        <v>0</v>
      </c>
      <c r="CJ360" s="428">
        <f t="shared" si="709"/>
        <v>0</v>
      </c>
      <c r="CK360" s="428">
        <f t="shared" si="710"/>
        <v>0</v>
      </c>
      <c r="CL360" s="428">
        <f t="shared" si="711"/>
        <v>0</v>
      </c>
      <c r="CM360" s="428">
        <f t="shared" si="712"/>
        <v>8719.0013841454402</v>
      </c>
      <c r="CN360" s="428">
        <f t="shared" si="712"/>
        <v>-2350</v>
      </c>
      <c r="CO360" s="428">
        <f t="shared" si="713"/>
        <v>0</v>
      </c>
      <c r="CP360" s="428">
        <f t="shared" si="714"/>
        <v>0</v>
      </c>
      <c r="CQ360" s="428">
        <f t="shared" si="715"/>
        <v>0</v>
      </c>
      <c r="CR360" s="428">
        <f t="shared" si="716"/>
        <v>0</v>
      </c>
      <c r="CS360" s="428">
        <f t="shared" si="717"/>
        <v>9355.5267916916728</v>
      </c>
      <c r="CT360" s="428">
        <f t="shared" si="717"/>
        <v>-2350</v>
      </c>
      <c r="CU360" s="428">
        <f t="shared" si="718"/>
        <v>0</v>
      </c>
      <c r="CV360" s="428">
        <f t="shared" si="719"/>
        <v>0</v>
      </c>
      <c r="CW360" s="428">
        <f t="shared" si="720"/>
        <v>0</v>
      </c>
      <c r="CX360" s="428">
        <f t="shared" si="721"/>
        <v>0</v>
      </c>
      <c r="CY360" s="428">
        <f t="shared" si="722"/>
        <v>9992.0521992379036</v>
      </c>
      <c r="CZ360" s="428">
        <f t="shared" si="722"/>
        <v>-2350</v>
      </c>
      <c r="DA360" s="428">
        <f t="shared" si="723"/>
        <v>0</v>
      </c>
      <c r="DB360" s="428">
        <f t="shared" si="724"/>
        <v>0</v>
      </c>
      <c r="DC360" s="428">
        <f t="shared" si="725"/>
        <v>0</v>
      </c>
      <c r="DD360" s="428">
        <f t="shared" si="726"/>
        <v>0</v>
      </c>
      <c r="DE360" s="428">
        <f t="shared" si="727"/>
        <v>10628.577606784136</v>
      </c>
    </row>
    <row r="361" spans="1:109" ht="15" customHeight="1">
      <c r="A361" s="417"/>
      <c r="B361" s="828"/>
      <c r="C361" s="779">
        <f>C360+$G$441</f>
        <v>1.5131712259371835</v>
      </c>
      <c r="D361" s="631">
        <f t="shared" si="671"/>
        <v>0.20078458310855196</v>
      </c>
      <c r="E361" s="631">
        <f t="shared" si="672"/>
        <v>0.22577877911411148</v>
      </c>
      <c r="F361" s="631">
        <f t="shared" si="673"/>
        <v>0.24888645681366728</v>
      </c>
      <c r="G361" s="631">
        <f t="shared" si="674"/>
        <v>0.27040059248954917</v>
      </c>
      <c r="H361" s="631">
        <f t="shared" si="675"/>
        <v>0.29054896632678173</v>
      </c>
      <c r="I361" s="631">
        <f t="shared" si="676"/>
        <v>0.30951241220747083</v>
      </c>
      <c r="J361" s="631">
        <f t="shared" si="677"/>
        <v>0.32743705453392669</v>
      </c>
      <c r="K361" s="631">
        <f t="shared" si="678"/>
        <v>0.34444277321446082</v>
      </c>
      <c r="L361" s="631">
        <f t="shared" si="679"/>
        <v>0.36062921727064268</v>
      </c>
      <c r="M361" s="417"/>
      <c r="N361" s="417"/>
      <c r="O361" s="417"/>
      <c r="P361" s="417"/>
      <c r="Q361" s="417"/>
      <c r="AT361" s="804">
        <f t="shared" si="680"/>
        <v>0</v>
      </c>
      <c r="AU361" s="804">
        <f t="shared" si="680"/>
        <v>0</v>
      </c>
      <c r="AV361" s="804">
        <f t="shared" si="680"/>
        <v>0</v>
      </c>
      <c r="AW361" s="804">
        <f t="shared" si="680"/>
        <v>0</v>
      </c>
      <c r="AX361" s="804">
        <f t="shared" si="680"/>
        <v>2</v>
      </c>
      <c r="AY361" s="804">
        <f t="shared" si="680"/>
        <v>4</v>
      </c>
      <c r="AZ361" s="804">
        <f t="shared" si="680"/>
        <v>6</v>
      </c>
      <c r="BA361" s="804">
        <f t="shared" ref="BA361:BB361" si="732">IF(AG375&lt;$G$449,0,MIN($G$446,1+IFERROR(INT((AG375-$G$449)/$G$468),0)))</f>
        <v>8</v>
      </c>
      <c r="BB361" s="804">
        <f t="shared" si="732"/>
        <v>10</v>
      </c>
      <c r="BD361" s="428">
        <f t="shared" si="682"/>
        <v>-2350</v>
      </c>
      <c r="BE361" s="428">
        <f t="shared" si="683"/>
        <v>0</v>
      </c>
      <c r="BF361" s="428">
        <f t="shared" si="684"/>
        <v>0</v>
      </c>
      <c r="BG361" s="428">
        <f t="shared" si="685"/>
        <v>0</v>
      </c>
      <c r="BH361" s="428">
        <f t="shared" si="686"/>
        <v>0</v>
      </c>
      <c r="BI361" s="428">
        <f t="shared" si="687"/>
        <v>5866.6932239652988</v>
      </c>
      <c r="BJ361" s="428">
        <f t="shared" si="687"/>
        <v>-2350</v>
      </c>
      <c r="BK361" s="428">
        <f t="shared" si="688"/>
        <v>0</v>
      </c>
      <c r="BL361" s="428">
        <f t="shared" si="689"/>
        <v>0</v>
      </c>
      <c r="BM361" s="428">
        <f t="shared" si="690"/>
        <v>0</v>
      </c>
      <c r="BN361" s="428">
        <f t="shared" si="691"/>
        <v>0</v>
      </c>
      <c r="BO361" s="428">
        <f t="shared" si="692"/>
        <v>6503.2186315115314</v>
      </c>
      <c r="BP361" s="428">
        <f t="shared" si="692"/>
        <v>-2350</v>
      </c>
      <c r="BQ361" s="428">
        <f t="shared" si="693"/>
        <v>0</v>
      </c>
      <c r="BR361" s="428">
        <f t="shared" si="694"/>
        <v>0</v>
      </c>
      <c r="BS361" s="428">
        <f t="shared" si="695"/>
        <v>0</v>
      </c>
      <c r="BT361" s="428">
        <f t="shared" si="696"/>
        <v>0</v>
      </c>
      <c r="BU361" s="428">
        <f t="shared" si="697"/>
        <v>7139.7440390577631</v>
      </c>
      <c r="BV361" s="428">
        <f t="shared" si="697"/>
        <v>-2350</v>
      </c>
      <c r="BW361" s="428">
        <f t="shared" si="698"/>
        <v>0</v>
      </c>
      <c r="BX361" s="428">
        <f t="shared" si="699"/>
        <v>0</v>
      </c>
      <c r="BY361" s="428">
        <f t="shared" si="700"/>
        <v>0</v>
      </c>
      <c r="BZ361" s="428">
        <f t="shared" si="701"/>
        <v>0</v>
      </c>
      <c r="CA361" s="428">
        <f t="shared" si="702"/>
        <v>7776.2694466039957</v>
      </c>
      <c r="CB361" s="428">
        <f t="shared" si="702"/>
        <v>-2350</v>
      </c>
      <c r="CC361" s="428">
        <f t="shared" si="703"/>
        <v>0</v>
      </c>
      <c r="CD361" s="428">
        <f t="shared" si="704"/>
        <v>0</v>
      </c>
      <c r="CE361" s="428">
        <f t="shared" si="705"/>
        <v>0</v>
      </c>
      <c r="CF361" s="428">
        <f t="shared" si="706"/>
        <v>0</v>
      </c>
      <c r="CG361" s="428">
        <f t="shared" si="707"/>
        <v>8412.7948541502283</v>
      </c>
      <c r="CH361" s="428">
        <f t="shared" si="707"/>
        <v>-2350</v>
      </c>
      <c r="CI361" s="428">
        <f t="shared" si="708"/>
        <v>0</v>
      </c>
      <c r="CJ361" s="428">
        <f t="shared" si="709"/>
        <v>0</v>
      </c>
      <c r="CK361" s="428">
        <f t="shared" si="710"/>
        <v>0</v>
      </c>
      <c r="CL361" s="428">
        <f t="shared" si="711"/>
        <v>0</v>
      </c>
      <c r="CM361" s="428">
        <f t="shared" si="712"/>
        <v>9049.3202616964609</v>
      </c>
      <c r="CN361" s="428">
        <f t="shared" si="712"/>
        <v>-2350</v>
      </c>
      <c r="CO361" s="428">
        <f t="shared" si="713"/>
        <v>0</v>
      </c>
      <c r="CP361" s="428">
        <f t="shared" si="714"/>
        <v>0</v>
      </c>
      <c r="CQ361" s="428">
        <f t="shared" si="715"/>
        <v>0</v>
      </c>
      <c r="CR361" s="428">
        <f t="shared" si="716"/>
        <v>0</v>
      </c>
      <c r="CS361" s="428">
        <f t="shared" si="717"/>
        <v>9685.8456692426935</v>
      </c>
      <c r="CT361" s="428">
        <f t="shared" si="717"/>
        <v>-2350</v>
      </c>
      <c r="CU361" s="428">
        <f t="shared" si="718"/>
        <v>0</v>
      </c>
      <c r="CV361" s="428">
        <f t="shared" si="719"/>
        <v>0</v>
      </c>
      <c r="CW361" s="428">
        <f t="shared" si="720"/>
        <v>0</v>
      </c>
      <c r="CX361" s="428">
        <f t="shared" si="721"/>
        <v>0</v>
      </c>
      <c r="CY361" s="428">
        <f t="shared" si="722"/>
        <v>10322.371076788924</v>
      </c>
      <c r="CZ361" s="428">
        <f t="shared" si="722"/>
        <v>-2350</v>
      </c>
      <c r="DA361" s="428">
        <f t="shared" si="723"/>
        <v>0</v>
      </c>
      <c r="DB361" s="428">
        <f t="shared" si="724"/>
        <v>0</v>
      </c>
      <c r="DC361" s="428">
        <f t="shared" si="725"/>
        <v>0</v>
      </c>
      <c r="DD361" s="428">
        <f t="shared" si="726"/>
        <v>0</v>
      </c>
      <c r="DE361" s="428">
        <f t="shared" si="727"/>
        <v>10958.896484335157</v>
      </c>
    </row>
    <row r="362" spans="1:109" ht="15" customHeight="1">
      <c r="A362" s="417"/>
      <c r="B362" s="829"/>
      <c r="C362" s="780">
        <f>C361+$G$441</f>
        <v>1.7631712259371835</v>
      </c>
      <c r="D362" s="790">
        <f t="shared" si="671"/>
        <v>0.21401176746533834</v>
      </c>
      <c r="E362" s="790">
        <f t="shared" si="672"/>
        <v>0.23798546025491985</v>
      </c>
      <c r="F362" s="790">
        <f t="shared" si="673"/>
        <v>0.26023425292703717</v>
      </c>
      <c r="G362" s="790">
        <f t="shared" si="674"/>
        <v>0.28101451680645173</v>
      </c>
      <c r="H362" s="790">
        <f t="shared" si="675"/>
        <v>0.30052783898445146</v>
      </c>
      <c r="I362" s="790">
        <f t="shared" si="676"/>
        <v>0.31893579109981274</v>
      </c>
      <c r="J362" s="790">
        <f t="shared" si="677"/>
        <v>0.3363700000165577</v>
      </c>
      <c r="K362" s="790">
        <f t="shared" si="678"/>
        <v>0.35293921487359969</v>
      </c>
      <c r="L362" s="790">
        <f t="shared" si="679"/>
        <v>0.36873438981628093</v>
      </c>
      <c r="M362" s="417"/>
      <c r="N362" s="417"/>
      <c r="O362" s="417"/>
      <c r="P362" s="417"/>
      <c r="Q362" s="417"/>
      <c r="AT362" s="804">
        <f t="shared" si="680"/>
        <v>0</v>
      </c>
      <c r="AU362" s="804">
        <f t="shared" si="680"/>
        <v>0</v>
      </c>
      <c r="AV362" s="804">
        <f t="shared" si="680"/>
        <v>0</v>
      </c>
      <c r="AW362" s="804">
        <f t="shared" si="680"/>
        <v>1</v>
      </c>
      <c r="AX362" s="804">
        <f t="shared" si="680"/>
        <v>3</v>
      </c>
      <c r="AY362" s="804">
        <f t="shared" si="680"/>
        <v>5</v>
      </c>
      <c r="AZ362" s="804">
        <f t="shared" si="680"/>
        <v>7</v>
      </c>
      <c r="BA362" s="804">
        <f t="shared" ref="BA362:BB362" si="733">IF(AG376&lt;$G$449,0,MIN($G$446,1+IFERROR(INT((AG376-$G$449)/$G$468),0)))</f>
        <v>9</v>
      </c>
      <c r="BB362" s="804">
        <f t="shared" si="733"/>
        <v>10</v>
      </c>
      <c r="BD362" s="428">
        <f t="shared" si="682"/>
        <v>-2350</v>
      </c>
      <c r="BE362" s="428">
        <f t="shared" si="683"/>
        <v>0</v>
      </c>
      <c r="BF362" s="428">
        <f t="shared" si="684"/>
        <v>0</v>
      </c>
      <c r="BG362" s="428">
        <f t="shared" si="685"/>
        <v>0</v>
      </c>
      <c r="BH362" s="428">
        <f t="shared" si="686"/>
        <v>0</v>
      </c>
      <c r="BI362" s="428">
        <f t="shared" si="687"/>
        <v>6197.0121015163186</v>
      </c>
      <c r="BJ362" s="428">
        <f t="shared" si="687"/>
        <v>-2350</v>
      </c>
      <c r="BK362" s="428">
        <f t="shared" si="688"/>
        <v>0</v>
      </c>
      <c r="BL362" s="428">
        <f t="shared" si="689"/>
        <v>0</v>
      </c>
      <c r="BM362" s="428">
        <f t="shared" si="690"/>
        <v>0</v>
      </c>
      <c r="BN362" s="428">
        <f t="shared" si="691"/>
        <v>0</v>
      </c>
      <c r="BO362" s="428">
        <f t="shared" si="692"/>
        <v>6833.5375090625512</v>
      </c>
      <c r="BP362" s="428">
        <f t="shared" si="692"/>
        <v>-2350</v>
      </c>
      <c r="BQ362" s="428">
        <f t="shared" si="693"/>
        <v>0</v>
      </c>
      <c r="BR362" s="428">
        <f t="shared" si="694"/>
        <v>0</v>
      </c>
      <c r="BS362" s="428">
        <f t="shared" si="695"/>
        <v>0</v>
      </c>
      <c r="BT362" s="428">
        <f t="shared" si="696"/>
        <v>0</v>
      </c>
      <c r="BU362" s="428">
        <f t="shared" si="697"/>
        <v>7470.0629166087829</v>
      </c>
      <c r="BV362" s="428">
        <f t="shared" si="697"/>
        <v>-2350</v>
      </c>
      <c r="BW362" s="428">
        <f t="shared" si="698"/>
        <v>0</v>
      </c>
      <c r="BX362" s="428">
        <f t="shared" si="699"/>
        <v>0</v>
      </c>
      <c r="BY362" s="428">
        <f t="shared" si="700"/>
        <v>0</v>
      </c>
      <c r="BZ362" s="428">
        <f t="shared" si="701"/>
        <v>0</v>
      </c>
      <c r="CA362" s="428">
        <f t="shared" si="702"/>
        <v>8106.5883241550146</v>
      </c>
      <c r="CB362" s="428">
        <f t="shared" si="702"/>
        <v>-2350</v>
      </c>
      <c r="CC362" s="428">
        <f t="shared" si="703"/>
        <v>0</v>
      </c>
      <c r="CD362" s="428">
        <f t="shared" si="704"/>
        <v>0</v>
      </c>
      <c r="CE362" s="428">
        <f t="shared" si="705"/>
        <v>0</v>
      </c>
      <c r="CF362" s="428">
        <f t="shared" si="706"/>
        <v>0</v>
      </c>
      <c r="CG362" s="428">
        <f t="shared" si="707"/>
        <v>8743.113731701249</v>
      </c>
      <c r="CH362" s="428">
        <f t="shared" si="707"/>
        <v>-2350</v>
      </c>
      <c r="CI362" s="428">
        <f t="shared" si="708"/>
        <v>0</v>
      </c>
      <c r="CJ362" s="428">
        <f t="shared" si="709"/>
        <v>0</v>
      </c>
      <c r="CK362" s="428">
        <f t="shared" si="710"/>
        <v>0</v>
      </c>
      <c r="CL362" s="428">
        <f t="shared" si="711"/>
        <v>0</v>
      </c>
      <c r="CM362" s="428">
        <f t="shared" si="712"/>
        <v>9379.6391392474816</v>
      </c>
      <c r="CN362" s="428">
        <f t="shared" si="712"/>
        <v>-2350</v>
      </c>
      <c r="CO362" s="428">
        <f t="shared" si="713"/>
        <v>0</v>
      </c>
      <c r="CP362" s="428">
        <f t="shared" si="714"/>
        <v>0</v>
      </c>
      <c r="CQ362" s="428">
        <f t="shared" si="715"/>
        <v>0</v>
      </c>
      <c r="CR362" s="428">
        <f t="shared" si="716"/>
        <v>0</v>
      </c>
      <c r="CS362" s="428">
        <f t="shared" si="717"/>
        <v>10016.164546793714</v>
      </c>
      <c r="CT362" s="428">
        <f t="shared" si="717"/>
        <v>-2350</v>
      </c>
      <c r="CU362" s="428">
        <f t="shared" si="718"/>
        <v>0</v>
      </c>
      <c r="CV362" s="428">
        <f t="shared" si="719"/>
        <v>0</v>
      </c>
      <c r="CW362" s="428">
        <f t="shared" si="720"/>
        <v>0</v>
      </c>
      <c r="CX362" s="428">
        <f t="shared" si="721"/>
        <v>0</v>
      </c>
      <c r="CY362" s="428">
        <f t="shared" si="722"/>
        <v>10652.689954339945</v>
      </c>
      <c r="CZ362" s="428">
        <f t="shared" si="722"/>
        <v>-2350</v>
      </c>
      <c r="DA362" s="428">
        <f t="shared" si="723"/>
        <v>0</v>
      </c>
      <c r="DB362" s="428">
        <f t="shared" si="724"/>
        <v>0</v>
      </c>
      <c r="DC362" s="428">
        <f t="shared" si="725"/>
        <v>0</v>
      </c>
      <c r="DD362" s="428">
        <f t="shared" si="726"/>
        <v>0</v>
      </c>
      <c r="DE362" s="428">
        <f t="shared" si="727"/>
        <v>11289.215361886178</v>
      </c>
    </row>
    <row r="363" spans="1:109" ht="3.95" hidden="1" customHeight="1">
      <c r="A363" s="417"/>
      <c r="B363" s="423" t="str">
        <f>"IRR: Yr 0 = cash at close less Keystone today; earnout Yr "&amp;$G$444&amp;"; Yr 5 = stake value; net client wins held at model (G456); rollover fixed at "&amp;TEXT($G$436,"0%")</f>
        <v>IRR: Yr 0 = cash at close less Keystone today; earnout Yr 3; Yr 5 = stake value; net client wins held at model (G456); rollover fixed at 30%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7"/>
      <c r="O363" s="417"/>
      <c r="P363" s="417"/>
      <c r="Q363" s="417"/>
    </row>
    <row r="364" spans="1:109" ht="3.95" customHeight="1">
      <c r="A364" s="417"/>
      <c r="B364" s="423"/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7"/>
      <c r="O364" s="417"/>
      <c r="P364" s="417"/>
      <c r="Q364" s="417"/>
    </row>
    <row r="365" spans="1:109" ht="15" customHeight="1">
      <c r="A365" s="417"/>
      <c r="B365" s="794" t="str">
        <f>"Ben's Return Profile Based on Partnering — Keystone Multiple × Topkey Growth ("&amp;TEXT($G$436,"0%")&amp;" Rollover) — Less Standalone"</f>
        <v>Ben's Return Profile Based on Partnering — Keystone Multiple × Topkey Growth (30% Rollover) — Less Standalone</v>
      </c>
      <c r="C365" s="794"/>
      <c r="D365" s="794"/>
      <c r="E365" s="794"/>
      <c r="F365" s="794"/>
      <c r="G365" s="794"/>
      <c r="H365" s="794"/>
      <c r="I365" s="794"/>
      <c r="J365" s="794"/>
      <c r="K365" s="794"/>
      <c r="L365" s="794"/>
      <c r="M365" s="417"/>
      <c r="N365" s="417"/>
      <c r="O365" s="417"/>
      <c r="P365" s="417"/>
      <c r="Q365" s="417"/>
    </row>
    <row r="366" spans="1:109" ht="15" customHeight="1">
      <c r="A366" s="417"/>
      <c r="B366" s="148" t="s">
        <v>2767</v>
      </c>
      <c r="C366" s="417"/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7"/>
      <c r="O366" s="417"/>
      <c r="P366" s="417"/>
      <c r="Q366" s="417"/>
    </row>
    <row r="367" spans="1:109" ht="2.1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</row>
    <row r="368" spans="1:109" ht="12.75" customHeight="1">
      <c r="A368" s="417"/>
      <c r="B368" s="454"/>
      <c r="C368" s="454"/>
      <c r="D368" s="767" t="s">
        <v>2751</v>
      </c>
      <c r="E368" s="767"/>
      <c r="F368" s="767"/>
      <c r="G368" s="767"/>
      <c r="H368" s="767"/>
      <c r="I368" s="767"/>
      <c r="J368" s="767"/>
      <c r="K368" s="767"/>
      <c r="L368" s="767"/>
      <c r="M368" s="417"/>
      <c r="N368" s="417"/>
      <c r="O368" s="417"/>
      <c r="P368" s="417"/>
      <c r="Q368" s="417"/>
      <c r="Z368" s="786" t="s">
        <v>2754</v>
      </c>
      <c r="AA368" s="746"/>
      <c r="AB368" s="746"/>
      <c r="AC368" s="746"/>
      <c r="AD368" s="746"/>
      <c r="AE368" s="746"/>
      <c r="AF368" s="746"/>
      <c r="AG368" s="746"/>
      <c r="AH368" s="746"/>
    </row>
    <row r="369" spans="1:54" ht="12.75" customHeight="1">
      <c r="A369" s="417"/>
      <c r="B369" s="454"/>
      <c r="C369" s="454"/>
      <c r="D369" s="815">
        <f>E369-$G$466</f>
        <v>1</v>
      </c>
      <c r="E369" s="815">
        <f>F369-$G$466</f>
        <v>1.25</v>
      </c>
      <c r="F369" s="815">
        <f>G369-$G$466</f>
        <v>1.5</v>
      </c>
      <c r="G369" s="815">
        <f>H369-$G$466</f>
        <v>1.75</v>
      </c>
      <c r="H369" s="815">
        <f>$G$465</f>
        <v>2</v>
      </c>
      <c r="I369" s="815">
        <f>H369+$G$466</f>
        <v>2.25</v>
      </c>
      <c r="J369" s="815">
        <f>I369+$G$466</f>
        <v>2.5</v>
      </c>
      <c r="K369" s="815">
        <f>J369+$G$466</f>
        <v>2.75</v>
      </c>
      <c r="L369" s="815">
        <f>K369+$G$466</f>
        <v>3</v>
      </c>
      <c r="M369" s="417"/>
      <c r="N369" s="417"/>
      <c r="O369" s="417"/>
      <c r="P369" s="417"/>
      <c r="Q369" s="417"/>
      <c r="Z369" s="816">
        <f t="shared" ref="Z369:AF369" si="734">D$369</f>
        <v>1</v>
      </c>
      <c r="AA369" s="816">
        <f t="shared" si="734"/>
        <v>1.25</v>
      </c>
      <c r="AB369" s="816">
        <f t="shared" si="734"/>
        <v>1.5</v>
      </c>
      <c r="AC369" s="816">
        <f t="shared" si="734"/>
        <v>1.75</v>
      </c>
      <c r="AD369" s="816">
        <f t="shared" si="734"/>
        <v>2</v>
      </c>
      <c r="AE369" s="816">
        <f t="shared" si="734"/>
        <v>2.25</v>
      </c>
      <c r="AF369" s="816">
        <f t="shared" si="734"/>
        <v>2.5</v>
      </c>
      <c r="AG369" s="816">
        <f t="shared" ref="AG369:AH369" si="735">K$369</f>
        <v>2.75</v>
      </c>
      <c r="AH369" s="816">
        <f t="shared" si="735"/>
        <v>3</v>
      </c>
      <c r="AT369" s="772" t="s">
        <v>2614</v>
      </c>
      <c r="AU369" s="427"/>
      <c r="AV369" s="427"/>
      <c r="AW369" s="427"/>
      <c r="AX369" s="427"/>
      <c r="AY369" s="427"/>
      <c r="AZ369" s="427"/>
      <c r="BA369" s="427"/>
      <c r="BB369" s="427"/>
    </row>
    <row r="370" spans="1:54" ht="15" customHeight="1">
      <c r="A370" s="417"/>
      <c r="B370" s="827" t="s">
        <v>2525</v>
      </c>
      <c r="C370" s="779">
        <f>C371-$G$441</f>
        <v>0.26317122593718345</v>
      </c>
      <c r="D370" s="620">
        <f>ROUND(Z370,$G$452)</f>
        <v>-2600</v>
      </c>
      <c r="E370" s="620">
        <f t="shared" ref="E370:E376" si="736">ROUND(AA370,$G$452)</f>
        <v>-2000</v>
      </c>
      <c r="F370" s="620">
        <f t="shared" ref="F370:F376" si="737">ROUND(AB370,$G$452)</f>
        <v>-1400</v>
      </c>
      <c r="G370" s="620">
        <f t="shared" ref="G370:G376" si="738">ROUND(AC370,$G$452)</f>
        <v>-700</v>
      </c>
      <c r="H370" s="620">
        <f t="shared" ref="H370:H376" si="739">ROUND(AD370,$G$452)</f>
        <v>-100</v>
      </c>
      <c r="I370" s="620">
        <f t="shared" ref="I370:I376" si="740">ROUND(AE370,$G$452)</f>
        <v>600</v>
      </c>
      <c r="J370" s="620">
        <f t="shared" ref="J370:J376" si="741">ROUND(AF370,$G$452)</f>
        <v>1200</v>
      </c>
      <c r="K370" s="620">
        <f t="shared" ref="K370:K376" si="742">ROUND(AG370,$G$452)</f>
        <v>1800</v>
      </c>
      <c r="L370" s="620">
        <f t="shared" ref="L370:L376" si="743">ROUND(AH370,$G$452)</f>
        <v>2500</v>
      </c>
      <c r="M370" s="417"/>
      <c r="N370" s="417"/>
      <c r="O370" s="417"/>
      <c r="P370" s="417"/>
      <c r="Q370" s="417"/>
      <c r="Z370" s="367">
        <f t="shared" ref="Z370:AF376" si="744">Z330+$G$430-$AL330</f>
        <v>-2625.1588625186159</v>
      </c>
      <c r="AA370" s="367">
        <f t="shared" si="744"/>
        <v>-1988.6334549723833</v>
      </c>
      <c r="AB370" s="367">
        <f t="shared" si="744"/>
        <v>-1352.1080474261516</v>
      </c>
      <c r="AC370" s="367">
        <f t="shared" si="744"/>
        <v>-715.58263987991904</v>
      </c>
      <c r="AD370" s="367">
        <f t="shared" si="744"/>
        <v>-79.057232333686443</v>
      </c>
      <c r="AE370" s="367">
        <f t="shared" si="744"/>
        <v>557.46817521254707</v>
      </c>
      <c r="AF370" s="367">
        <f t="shared" si="744"/>
        <v>1193.9935827587797</v>
      </c>
      <c r="AG370" s="367">
        <f t="shared" ref="AG370:AH370" si="745">AG330+$G$430-$AL330</f>
        <v>1830.5189903050104</v>
      </c>
      <c r="AH370" s="367">
        <f t="shared" si="745"/>
        <v>2467.044397851243</v>
      </c>
      <c r="AT370" s="804">
        <f t="shared" ref="AT370:AZ376" si="746">IF(Z370&lt;$G$449,0,MIN($G$446,1+IFERROR(INT((Z370-$G$449)/$G$468),0)))</f>
        <v>0</v>
      </c>
      <c r="AU370" s="804">
        <f t="shared" si="746"/>
        <v>0</v>
      </c>
      <c r="AV370" s="804">
        <f t="shared" si="746"/>
        <v>0</v>
      </c>
      <c r="AW370" s="804">
        <f t="shared" si="746"/>
        <v>0</v>
      </c>
      <c r="AX370" s="804">
        <f t="shared" si="746"/>
        <v>0</v>
      </c>
      <c r="AY370" s="804">
        <f t="shared" si="746"/>
        <v>0</v>
      </c>
      <c r="AZ370" s="804">
        <f t="shared" si="746"/>
        <v>1</v>
      </c>
      <c r="BA370" s="804">
        <f t="shared" ref="BA370:BB376" si="747">IF(AG370&lt;$G$449,0,MIN($G$446,1+IFERROR(INT((AG370-$G$449)/$G$468),0)))</f>
        <v>3</v>
      </c>
      <c r="BB370" s="804">
        <f t="shared" si="747"/>
        <v>5</v>
      </c>
    </row>
    <row r="371" spans="1:54" ht="15" customHeight="1">
      <c r="A371" s="417"/>
      <c r="B371" s="828"/>
      <c r="C371" s="779">
        <f>C372-$G$441</f>
        <v>0.51317122593718345</v>
      </c>
      <c r="D371" s="470">
        <f t="shared" ref="D371:D376" si="748">ROUND(Z371,$G$452)</f>
        <v>-2300</v>
      </c>
      <c r="E371" s="470">
        <f t="shared" si="736"/>
        <v>-1700</v>
      </c>
      <c r="F371" s="470">
        <f t="shared" si="737"/>
        <v>-1000</v>
      </c>
      <c r="G371" s="470">
        <f t="shared" si="738"/>
        <v>-400</v>
      </c>
      <c r="H371" s="470">
        <f t="shared" si="739"/>
        <v>300</v>
      </c>
      <c r="I371" s="470">
        <f t="shared" si="740"/>
        <v>900</v>
      </c>
      <c r="J371" s="470">
        <f t="shared" si="741"/>
        <v>1500</v>
      </c>
      <c r="K371" s="470">
        <f t="shared" si="742"/>
        <v>2200</v>
      </c>
      <c r="L371" s="470">
        <f t="shared" si="743"/>
        <v>2800</v>
      </c>
      <c r="M371" s="417"/>
      <c r="N371" s="417"/>
      <c r="O371" s="417"/>
      <c r="P371" s="417"/>
      <c r="Q371" s="417"/>
      <c r="Z371" s="367">
        <f t="shared" si="744"/>
        <v>-2294.8399849675952</v>
      </c>
      <c r="AA371" s="367">
        <f t="shared" si="744"/>
        <v>-1658.3145774213626</v>
      </c>
      <c r="AB371" s="367">
        <f t="shared" si="744"/>
        <v>-1021.7891698751309</v>
      </c>
      <c r="AC371" s="367">
        <f t="shared" si="744"/>
        <v>-385.26376232889925</v>
      </c>
      <c r="AD371" s="367">
        <f t="shared" si="744"/>
        <v>251.26164521733426</v>
      </c>
      <c r="AE371" s="367">
        <f t="shared" si="744"/>
        <v>887.78705276356777</v>
      </c>
      <c r="AF371" s="367">
        <f t="shared" si="744"/>
        <v>1524.3124603098004</v>
      </c>
      <c r="AG371" s="367">
        <f t="shared" ref="AG371:AH371" si="749">AG331+$G$430-$AL331</f>
        <v>2160.8378678560312</v>
      </c>
      <c r="AH371" s="367">
        <f t="shared" si="749"/>
        <v>2797.3632754022638</v>
      </c>
      <c r="AT371" s="804">
        <f t="shared" si="746"/>
        <v>0</v>
      </c>
      <c r="AU371" s="804">
        <f t="shared" si="746"/>
        <v>0</v>
      </c>
      <c r="AV371" s="804">
        <f t="shared" si="746"/>
        <v>0</v>
      </c>
      <c r="AW371" s="804">
        <f t="shared" si="746"/>
        <v>0</v>
      </c>
      <c r="AX371" s="804">
        <f t="shared" si="746"/>
        <v>0</v>
      </c>
      <c r="AY371" s="804">
        <f t="shared" si="746"/>
        <v>0</v>
      </c>
      <c r="AZ371" s="804">
        <f t="shared" si="746"/>
        <v>2</v>
      </c>
      <c r="BA371" s="804">
        <f t="shared" si="747"/>
        <v>4</v>
      </c>
      <c r="BB371" s="804">
        <f t="shared" si="747"/>
        <v>6</v>
      </c>
    </row>
    <row r="372" spans="1:54" ht="15" customHeight="1">
      <c r="A372" s="417"/>
      <c r="B372" s="828"/>
      <c r="C372" s="779">
        <f>C373-$G$441</f>
        <v>0.76317122593718345</v>
      </c>
      <c r="D372" s="470">
        <f t="shared" si="748"/>
        <v>-2000</v>
      </c>
      <c r="E372" s="470">
        <f t="shared" si="736"/>
        <v>-1300</v>
      </c>
      <c r="F372" s="470">
        <f t="shared" si="737"/>
        <v>-700</v>
      </c>
      <c r="G372" s="470">
        <f t="shared" si="738"/>
        <v>-100</v>
      </c>
      <c r="H372" s="470">
        <f t="shared" si="739"/>
        <v>600</v>
      </c>
      <c r="I372" s="470">
        <f t="shared" si="740"/>
        <v>1200</v>
      </c>
      <c r="J372" s="470">
        <f t="shared" si="741"/>
        <v>1900</v>
      </c>
      <c r="K372" s="470">
        <f t="shared" si="742"/>
        <v>2500</v>
      </c>
      <c r="L372" s="470">
        <f t="shared" si="743"/>
        <v>3100</v>
      </c>
      <c r="M372" s="417"/>
      <c r="N372" s="417"/>
      <c r="O372" s="417"/>
      <c r="P372" s="417"/>
      <c r="Q372" s="417"/>
      <c r="Z372" s="367">
        <f t="shared" si="744"/>
        <v>-1964.5211074165745</v>
      </c>
      <c r="AA372" s="367">
        <f t="shared" si="744"/>
        <v>-1327.9956998703419</v>
      </c>
      <c r="AB372" s="367">
        <f t="shared" si="744"/>
        <v>-691.47029232411114</v>
      </c>
      <c r="AC372" s="367">
        <f t="shared" si="744"/>
        <v>-54.944884777878542</v>
      </c>
      <c r="AD372" s="367">
        <f t="shared" si="744"/>
        <v>581.58052276835406</v>
      </c>
      <c r="AE372" s="367">
        <f t="shared" si="744"/>
        <v>1218.1059303145867</v>
      </c>
      <c r="AF372" s="367">
        <f t="shared" si="744"/>
        <v>1854.6313378608193</v>
      </c>
      <c r="AG372" s="367">
        <f t="shared" ref="AG372:AH372" si="750">AG332+$G$430-$AL332</f>
        <v>2491.15674540705</v>
      </c>
      <c r="AH372" s="367">
        <f t="shared" si="750"/>
        <v>3127.6821529532845</v>
      </c>
      <c r="AT372" s="804">
        <f t="shared" si="746"/>
        <v>0</v>
      </c>
      <c r="AU372" s="804">
        <f t="shared" si="746"/>
        <v>0</v>
      </c>
      <c r="AV372" s="804">
        <f t="shared" si="746"/>
        <v>0</v>
      </c>
      <c r="AW372" s="804">
        <f t="shared" si="746"/>
        <v>0</v>
      </c>
      <c r="AX372" s="804">
        <f t="shared" si="746"/>
        <v>0</v>
      </c>
      <c r="AY372" s="804">
        <f t="shared" si="746"/>
        <v>1</v>
      </c>
      <c r="AZ372" s="804">
        <f t="shared" si="746"/>
        <v>3</v>
      </c>
      <c r="BA372" s="804">
        <f t="shared" si="747"/>
        <v>5</v>
      </c>
      <c r="BB372" s="804">
        <f t="shared" si="747"/>
        <v>7</v>
      </c>
    </row>
    <row r="373" spans="1:54" ht="15" customHeight="1">
      <c r="A373" s="417"/>
      <c r="B373" s="828"/>
      <c r="C373" s="779">
        <f>$G$440</f>
        <v>1.0131712259371835</v>
      </c>
      <c r="D373" s="470">
        <f t="shared" si="748"/>
        <v>-1600</v>
      </c>
      <c r="E373" s="470">
        <f t="shared" si="736"/>
        <v>-1000</v>
      </c>
      <c r="F373" s="470">
        <f t="shared" si="737"/>
        <v>-400</v>
      </c>
      <c r="G373" s="470">
        <f t="shared" si="738"/>
        <v>300</v>
      </c>
      <c r="H373" s="781">
        <f t="shared" si="739"/>
        <v>900</v>
      </c>
      <c r="I373" s="470">
        <f t="shared" si="740"/>
        <v>1500</v>
      </c>
      <c r="J373" s="470">
        <f t="shared" si="741"/>
        <v>2200</v>
      </c>
      <c r="K373" s="470">
        <f t="shared" si="742"/>
        <v>2800</v>
      </c>
      <c r="L373" s="470">
        <f t="shared" si="743"/>
        <v>3500</v>
      </c>
      <c r="M373" s="417"/>
      <c r="N373" s="417"/>
      <c r="O373" s="417"/>
      <c r="P373" s="417"/>
      <c r="Q373" s="417"/>
      <c r="Z373" s="367">
        <f t="shared" si="744"/>
        <v>-1634.2022298655538</v>
      </c>
      <c r="AA373" s="367">
        <f t="shared" si="744"/>
        <v>-997.67682231932122</v>
      </c>
      <c r="AB373" s="367">
        <f t="shared" si="744"/>
        <v>-361.15141477309044</v>
      </c>
      <c r="AC373" s="367">
        <f t="shared" si="744"/>
        <v>275.37399277314216</v>
      </c>
      <c r="AD373" s="367">
        <f t="shared" si="744"/>
        <v>911.89940031937476</v>
      </c>
      <c r="AE373" s="367">
        <f t="shared" si="744"/>
        <v>1548.4248078656074</v>
      </c>
      <c r="AF373" s="367">
        <f t="shared" si="744"/>
        <v>2184.95021541184</v>
      </c>
      <c r="AG373" s="367">
        <f t="shared" ref="AG373:AH373" si="751">AG333+$G$430-$AL333</f>
        <v>2821.4756229580707</v>
      </c>
      <c r="AH373" s="367">
        <f t="shared" si="751"/>
        <v>3458.0010305043033</v>
      </c>
      <c r="AT373" s="804">
        <f t="shared" si="746"/>
        <v>0</v>
      </c>
      <c r="AU373" s="804">
        <f t="shared" si="746"/>
        <v>0</v>
      </c>
      <c r="AV373" s="804">
        <f t="shared" si="746"/>
        <v>0</v>
      </c>
      <c r="AW373" s="804">
        <f t="shared" si="746"/>
        <v>0</v>
      </c>
      <c r="AX373" s="804">
        <f t="shared" si="746"/>
        <v>0</v>
      </c>
      <c r="AY373" s="804">
        <f t="shared" si="746"/>
        <v>2</v>
      </c>
      <c r="AZ373" s="804">
        <f t="shared" si="746"/>
        <v>4</v>
      </c>
      <c r="BA373" s="804">
        <f t="shared" si="747"/>
        <v>6</v>
      </c>
      <c r="BB373" s="804">
        <f t="shared" si="747"/>
        <v>8</v>
      </c>
    </row>
    <row r="374" spans="1:54" ht="15" customHeight="1">
      <c r="A374" s="417"/>
      <c r="B374" s="828"/>
      <c r="C374" s="779">
        <f>C373+$G$441</f>
        <v>1.2631712259371835</v>
      </c>
      <c r="D374" s="470">
        <f t="shared" si="748"/>
        <v>-1300</v>
      </c>
      <c r="E374" s="470">
        <f t="shared" si="736"/>
        <v>-700</v>
      </c>
      <c r="F374" s="470">
        <f t="shared" si="737"/>
        <v>0</v>
      </c>
      <c r="G374" s="470">
        <f t="shared" si="738"/>
        <v>600</v>
      </c>
      <c r="H374" s="470">
        <f t="shared" si="739"/>
        <v>1200</v>
      </c>
      <c r="I374" s="470">
        <f t="shared" si="740"/>
        <v>1900</v>
      </c>
      <c r="J374" s="470">
        <f t="shared" si="741"/>
        <v>2500</v>
      </c>
      <c r="K374" s="470">
        <f t="shared" si="742"/>
        <v>3200</v>
      </c>
      <c r="L374" s="470">
        <f t="shared" si="743"/>
        <v>3800</v>
      </c>
      <c r="M374" s="417"/>
      <c r="N374" s="417"/>
      <c r="O374" s="417"/>
      <c r="P374" s="417"/>
      <c r="Q374" s="417"/>
      <c r="Z374" s="367">
        <f t="shared" si="744"/>
        <v>-1303.883352314534</v>
      </c>
      <c r="AA374" s="367">
        <f t="shared" si="744"/>
        <v>-667.35794476830051</v>
      </c>
      <c r="AB374" s="367">
        <f t="shared" si="744"/>
        <v>-30.832537222069732</v>
      </c>
      <c r="AC374" s="367">
        <f t="shared" si="744"/>
        <v>605.69287032416287</v>
      </c>
      <c r="AD374" s="367">
        <f t="shared" si="744"/>
        <v>1242.2182778703955</v>
      </c>
      <c r="AE374" s="367">
        <f t="shared" si="744"/>
        <v>1878.7436854166281</v>
      </c>
      <c r="AF374" s="367">
        <f t="shared" si="744"/>
        <v>2515.2690929628607</v>
      </c>
      <c r="AG374" s="367">
        <f t="shared" ref="AG374:AH374" si="752">AG334+$G$430-$AL334</f>
        <v>3151.7945005090914</v>
      </c>
      <c r="AH374" s="367">
        <f t="shared" si="752"/>
        <v>3788.319908055324</v>
      </c>
      <c r="AT374" s="804">
        <f t="shared" si="746"/>
        <v>0</v>
      </c>
      <c r="AU374" s="804">
        <f t="shared" si="746"/>
        <v>0</v>
      </c>
      <c r="AV374" s="804">
        <f t="shared" si="746"/>
        <v>0</v>
      </c>
      <c r="AW374" s="804">
        <f t="shared" si="746"/>
        <v>0</v>
      </c>
      <c r="AX374" s="804">
        <f t="shared" si="746"/>
        <v>1</v>
      </c>
      <c r="AY374" s="804">
        <f t="shared" si="746"/>
        <v>3</v>
      </c>
      <c r="AZ374" s="804">
        <f t="shared" si="746"/>
        <v>5</v>
      </c>
      <c r="BA374" s="804">
        <f t="shared" si="747"/>
        <v>7</v>
      </c>
      <c r="BB374" s="804">
        <f t="shared" si="747"/>
        <v>9</v>
      </c>
    </row>
    <row r="375" spans="1:54" ht="15" customHeight="1">
      <c r="A375" s="417"/>
      <c r="B375" s="828"/>
      <c r="C375" s="779">
        <f>C374+$G$441</f>
        <v>1.5131712259371835</v>
      </c>
      <c r="D375" s="470">
        <f t="shared" si="748"/>
        <v>-1000</v>
      </c>
      <c r="E375" s="470">
        <f t="shared" si="736"/>
        <v>-300</v>
      </c>
      <c r="F375" s="470">
        <f t="shared" si="737"/>
        <v>300</v>
      </c>
      <c r="G375" s="470">
        <f t="shared" si="738"/>
        <v>900</v>
      </c>
      <c r="H375" s="470">
        <f t="shared" si="739"/>
        <v>1600</v>
      </c>
      <c r="I375" s="470">
        <f t="shared" si="740"/>
        <v>2200</v>
      </c>
      <c r="J375" s="470">
        <f t="shared" si="741"/>
        <v>2800</v>
      </c>
      <c r="K375" s="470">
        <f t="shared" si="742"/>
        <v>3500</v>
      </c>
      <c r="L375" s="470">
        <f t="shared" si="743"/>
        <v>4100</v>
      </c>
      <c r="M375" s="417"/>
      <c r="N375" s="417"/>
      <c r="O375" s="417"/>
      <c r="P375" s="417"/>
      <c r="Q375" s="417"/>
      <c r="Z375" s="367">
        <f t="shared" si="744"/>
        <v>-973.56447476351332</v>
      </c>
      <c r="AA375" s="367">
        <f t="shared" si="744"/>
        <v>-337.03906721728072</v>
      </c>
      <c r="AB375" s="367">
        <f t="shared" si="744"/>
        <v>299.48634032895097</v>
      </c>
      <c r="AC375" s="367">
        <f t="shared" si="744"/>
        <v>936.01174787518357</v>
      </c>
      <c r="AD375" s="367">
        <f t="shared" si="744"/>
        <v>1572.5371554214162</v>
      </c>
      <c r="AE375" s="367">
        <f t="shared" si="744"/>
        <v>2209.0625629676488</v>
      </c>
      <c r="AF375" s="367">
        <f t="shared" si="744"/>
        <v>2845.5879705138814</v>
      </c>
      <c r="AG375" s="367">
        <f t="shared" ref="AG375:AH375" si="753">AG335+$G$430-$AL335</f>
        <v>3482.1133780601122</v>
      </c>
      <c r="AH375" s="367">
        <f t="shared" si="753"/>
        <v>4118.6387856063448</v>
      </c>
      <c r="AT375" s="804">
        <f t="shared" si="746"/>
        <v>0</v>
      </c>
      <c r="AU375" s="804">
        <f t="shared" si="746"/>
        <v>0</v>
      </c>
      <c r="AV375" s="804">
        <f t="shared" si="746"/>
        <v>0</v>
      </c>
      <c r="AW375" s="804">
        <f t="shared" si="746"/>
        <v>0</v>
      </c>
      <c r="AX375" s="804">
        <f t="shared" si="746"/>
        <v>2</v>
      </c>
      <c r="AY375" s="804">
        <f t="shared" si="746"/>
        <v>4</v>
      </c>
      <c r="AZ375" s="804">
        <f t="shared" si="746"/>
        <v>6</v>
      </c>
      <c r="BA375" s="804">
        <f t="shared" si="747"/>
        <v>8</v>
      </c>
      <c r="BB375" s="804">
        <f t="shared" si="747"/>
        <v>10</v>
      </c>
    </row>
    <row r="376" spans="1:54" ht="15" customHeight="1">
      <c r="A376" s="417"/>
      <c r="B376" s="829"/>
      <c r="C376" s="780">
        <f>C375+$G$441</f>
        <v>1.7631712259371835</v>
      </c>
      <c r="D376" s="771">
        <f t="shared" si="748"/>
        <v>-600</v>
      </c>
      <c r="E376" s="771">
        <f t="shared" si="736"/>
        <v>0</v>
      </c>
      <c r="F376" s="771">
        <f t="shared" si="737"/>
        <v>600</v>
      </c>
      <c r="G376" s="771">
        <f t="shared" si="738"/>
        <v>1300</v>
      </c>
      <c r="H376" s="771">
        <f t="shared" si="739"/>
        <v>1900</v>
      </c>
      <c r="I376" s="771">
        <f t="shared" si="740"/>
        <v>2500</v>
      </c>
      <c r="J376" s="771">
        <f t="shared" si="741"/>
        <v>3200</v>
      </c>
      <c r="K376" s="771">
        <f t="shared" si="742"/>
        <v>3800</v>
      </c>
      <c r="L376" s="771">
        <f t="shared" si="743"/>
        <v>4400</v>
      </c>
      <c r="M376" s="417"/>
      <c r="N376" s="417"/>
      <c r="O376" s="417"/>
      <c r="P376" s="417"/>
      <c r="Q376" s="417"/>
      <c r="Z376" s="367">
        <f t="shared" si="744"/>
        <v>-643.24559721249352</v>
      </c>
      <c r="AA376" s="367">
        <f t="shared" si="744"/>
        <v>-6.7201896662609215</v>
      </c>
      <c r="AB376" s="367">
        <f t="shared" si="744"/>
        <v>629.80521787997077</v>
      </c>
      <c r="AC376" s="367">
        <f t="shared" si="744"/>
        <v>1266.3306254262025</v>
      </c>
      <c r="AD376" s="367">
        <f t="shared" si="744"/>
        <v>1902.8560329724369</v>
      </c>
      <c r="AE376" s="367">
        <f t="shared" si="744"/>
        <v>2539.3814405186695</v>
      </c>
      <c r="AF376" s="367">
        <f t="shared" si="744"/>
        <v>3175.9068480649021</v>
      </c>
      <c r="AG376" s="367">
        <f t="shared" ref="AG376:AH376" si="754">AG336+$G$430-$AL336</f>
        <v>3812.4322556111329</v>
      </c>
      <c r="AH376" s="367">
        <f t="shared" si="754"/>
        <v>4448.9576631573655</v>
      </c>
      <c r="AT376" s="804">
        <f t="shared" si="746"/>
        <v>0</v>
      </c>
      <c r="AU376" s="804">
        <f t="shared" si="746"/>
        <v>0</v>
      </c>
      <c r="AV376" s="804">
        <f t="shared" si="746"/>
        <v>0</v>
      </c>
      <c r="AW376" s="804">
        <f t="shared" si="746"/>
        <v>1</v>
      </c>
      <c r="AX376" s="804">
        <f t="shared" si="746"/>
        <v>3</v>
      </c>
      <c r="AY376" s="804">
        <f t="shared" si="746"/>
        <v>5</v>
      </c>
      <c r="AZ376" s="804">
        <f t="shared" si="746"/>
        <v>7</v>
      </c>
      <c r="BA376" s="804">
        <f t="shared" si="747"/>
        <v>9</v>
      </c>
      <c r="BB376" s="804">
        <f t="shared" si="747"/>
        <v>10</v>
      </c>
    </row>
    <row r="377" spans="1:54" ht="3.95" hidden="1" customHeight="1">
      <c r="A377" s="417"/>
      <c r="B377" s="423" t="s">
        <v>2770</v>
      </c>
      <c r="C377" s="784"/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7"/>
      <c r="O377" s="417"/>
      <c r="P377" s="417"/>
      <c r="Q377" s="417"/>
    </row>
    <row r="378" spans="1:54" ht="3.9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7"/>
      <c r="O378" s="417"/>
      <c r="P378" s="417"/>
      <c r="Q378" s="417"/>
    </row>
    <row r="379" spans="1:54" ht="15" customHeight="1">
      <c r="A379" s="417"/>
      <c r="B379" s="148" t="s">
        <v>2768</v>
      </c>
      <c r="C379" s="417"/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7"/>
      <c r="O379" s="417"/>
      <c r="P379" s="417"/>
      <c r="Q379" s="417"/>
    </row>
    <row r="380" spans="1:54" ht="2.1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7"/>
      <c r="O380" s="417"/>
      <c r="P380" s="417"/>
      <c r="Q380" s="417"/>
    </row>
    <row r="381" spans="1:54" ht="12.75" customHeight="1">
      <c r="A381" s="417"/>
      <c r="B381" s="454"/>
      <c r="C381" s="454"/>
      <c r="D381" s="767" t="s">
        <v>2751</v>
      </c>
      <c r="E381" s="767"/>
      <c r="F381" s="767"/>
      <c r="G381" s="767"/>
      <c r="H381" s="767"/>
      <c r="I381" s="767"/>
      <c r="J381" s="767"/>
      <c r="K381" s="767"/>
      <c r="L381" s="767"/>
      <c r="M381" s="417"/>
      <c r="N381" s="417"/>
      <c r="O381" s="417"/>
      <c r="P381" s="417"/>
      <c r="Q381" s="417"/>
    </row>
    <row r="382" spans="1:54" ht="12.75" customHeight="1">
      <c r="A382" s="417"/>
      <c r="B382" s="454"/>
      <c r="C382" s="454"/>
      <c r="D382" s="815">
        <f>E382-$G$466</f>
        <v>1</v>
      </c>
      <c r="E382" s="815">
        <f>F382-$G$466</f>
        <v>1.25</v>
      </c>
      <c r="F382" s="815">
        <f>G382-$G$466</f>
        <v>1.5</v>
      </c>
      <c r="G382" s="815">
        <f>H382-$G$466</f>
        <v>1.75</v>
      </c>
      <c r="H382" s="815">
        <f>$G$465</f>
        <v>2</v>
      </c>
      <c r="I382" s="815">
        <f>H382+$G$466</f>
        <v>2.25</v>
      </c>
      <c r="J382" s="815">
        <f>I382+$G$466</f>
        <v>2.5</v>
      </c>
      <c r="K382" s="815">
        <f>J382+$G$466</f>
        <v>2.75</v>
      </c>
      <c r="L382" s="815">
        <f>K382+$G$466</f>
        <v>3</v>
      </c>
      <c r="M382" s="417"/>
      <c r="N382" s="417"/>
      <c r="O382" s="417"/>
      <c r="P382" s="417"/>
      <c r="Q382" s="417"/>
      <c r="AT382" s="772" t="s">
        <v>2614</v>
      </c>
      <c r="AU382" s="427"/>
      <c r="AV382" s="427"/>
      <c r="AW382" s="427"/>
      <c r="AX382" s="427"/>
      <c r="AY382" s="427"/>
      <c r="AZ382" s="427"/>
      <c r="BA382" s="427"/>
      <c r="BB382" s="427"/>
    </row>
    <row r="383" spans="1:54" ht="15" customHeight="1">
      <c r="A383" s="417"/>
      <c r="B383" s="827" t="s">
        <v>2525</v>
      </c>
      <c r="C383" s="779">
        <f>C384-$G$441</f>
        <v>0.26317122593718345</v>
      </c>
      <c r="D383" s="490">
        <f>IFERROR(Z370/$AL330,0)</f>
        <v>-0.3504764412797356</v>
      </c>
      <c r="E383" s="490">
        <f t="shared" ref="E383:E389" si="755">IFERROR(AA370/$AL330,0)</f>
        <v>-0.26549599959823528</v>
      </c>
      <c r="F383" s="490">
        <f t="shared" ref="F383:F389" si="756">IFERROR(AB370/$AL330,0)</f>
        <v>-0.18051555791673507</v>
      </c>
      <c r="G383" s="490">
        <f t="shared" ref="G383:G389" si="757">IFERROR(AC370/$AL330,0)</f>
        <v>-9.5535116235234752E-2</v>
      </c>
      <c r="H383" s="490">
        <f t="shared" ref="H383:H389" si="758">IFERROR(AD370/$AL330,0)</f>
        <v>-1.0554674553734435E-2</v>
      </c>
      <c r="I383" s="490">
        <f t="shared" ref="I383:I389" si="759">IFERROR(AE370/$AL330,0)</f>
        <v>7.442576712776601E-2</v>
      </c>
      <c r="J383" s="490">
        <f t="shared" ref="J383:J389" si="760">IFERROR(AF370/$AL330,0)</f>
        <v>0.15940620880926631</v>
      </c>
      <c r="K383" s="490">
        <f t="shared" ref="K383:K389" si="761">IFERROR(AG370/$AL330,0)</f>
        <v>0.24438665049076641</v>
      </c>
      <c r="L383" s="490">
        <f t="shared" ref="L383:L389" si="762">IFERROR(AH370/$AL330,0)</f>
        <v>0.32936709217226673</v>
      </c>
      <c r="M383" s="417"/>
      <c r="N383" s="417"/>
      <c r="O383" s="417"/>
      <c r="P383" s="417"/>
      <c r="Q383" s="417"/>
      <c r="AT383" s="804">
        <f t="shared" ref="AT383:AZ389" si="763">IF(Z370&lt;$G$449,0,MIN($G$446,1+IFERROR(INT((Z370-$G$449)/$G$468),0)))</f>
        <v>0</v>
      </c>
      <c r="AU383" s="804">
        <f t="shared" si="763"/>
        <v>0</v>
      </c>
      <c r="AV383" s="804">
        <f t="shared" si="763"/>
        <v>0</v>
      </c>
      <c r="AW383" s="804">
        <f t="shared" si="763"/>
        <v>0</v>
      </c>
      <c r="AX383" s="804">
        <f t="shared" si="763"/>
        <v>0</v>
      </c>
      <c r="AY383" s="804">
        <f t="shared" si="763"/>
        <v>0</v>
      </c>
      <c r="AZ383" s="804">
        <f t="shared" si="763"/>
        <v>1</v>
      </c>
      <c r="BA383" s="804">
        <f t="shared" ref="BA383:BB383" si="764">IF(AG370&lt;$G$449,0,MIN($G$446,1+IFERROR(INT((AG370-$G$449)/$G$468),0)))</f>
        <v>3</v>
      </c>
      <c r="BB383" s="804">
        <f t="shared" si="764"/>
        <v>5</v>
      </c>
    </row>
    <row r="384" spans="1:54" ht="15" customHeight="1">
      <c r="A384" s="417"/>
      <c r="B384" s="828"/>
      <c r="C384" s="779">
        <f>C385-$G$441</f>
        <v>0.51317122593718345</v>
      </c>
      <c r="D384" s="490">
        <f t="shared" ref="D384:D389" si="765">IFERROR(Z371/$AL331,0)</f>
        <v>-0.30637663979932994</v>
      </c>
      <c r="E384" s="490">
        <f t="shared" si="755"/>
        <v>-0.22139619811782962</v>
      </c>
      <c r="F384" s="490">
        <f t="shared" si="756"/>
        <v>-0.13641575643632942</v>
      </c>
      <c r="G384" s="490">
        <f t="shared" si="757"/>
        <v>-5.1435314754829223E-2</v>
      </c>
      <c r="H384" s="490">
        <f t="shared" si="758"/>
        <v>3.354512692667122E-2</v>
      </c>
      <c r="I384" s="490">
        <f t="shared" si="759"/>
        <v>0.11852556860817166</v>
      </c>
      <c r="J384" s="490">
        <f t="shared" si="760"/>
        <v>0.20350601028967197</v>
      </c>
      <c r="K384" s="490">
        <f t="shared" si="761"/>
        <v>0.28848645197117206</v>
      </c>
      <c r="L384" s="490">
        <f t="shared" si="762"/>
        <v>0.37346689365267238</v>
      </c>
      <c r="M384" s="417"/>
      <c r="N384" s="417"/>
      <c r="O384" s="417"/>
      <c r="P384" s="417"/>
      <c r="Q384" s="417"/>
      <c r="AT384" s="804">
        <f t="shared" si="763"/>
        <v>0</v>
      </c>
      <c r="AU384" s="804">
        <f t="shared" si="763"/>
        <v>0</v>
      </c>
      <c r="AV384" s="804">
        <f t="shared" si="763"/>
        <v>0</v>
      </c>
      <c r="AW384" s="804">
        <f t="shared" si="763"/>
        <v>0</v>
      </c>
      <c r="AX384" s="804">
        <f t="shared" si="763"/>
        <v>0</v>
      </c>
      <c r="AY384" s="804">
        <f t="shared" si="763"/>
        <v>0</v>
      </c>
      <c r="AZ384" s="804">
        <f t="shared" si="763"/>
        <v>2</v>
      </c>
      <c r="BA384" s="804">
        <f t="shared" ref="BA384:BB384" si="766">IF(AG371&lt;$G$449,0,MIN($G$446,1+IFERROR(INT((AG371-$G$449)/$G$468),0)))</f>
        <v>4</v>
      </c>
      <c r="BB384" s="804">
        <f t="shared" si="766"/>
        <v>6</v>
      </c>
    </row>
    <row r="385" spans="1:54" ht="15" customHeight="1">
      <c r="A385" s="417"/>
      <c r="B385" s="828"/>
      <c r="C385" s="779">
        <f>C386-$G$441</f>
        <v>0.76317122593718345</v>
      </c>
      <c r="D385" s="490">
        <f t="shared" si="765"/>
        <v>-0.26227683831892429</v>
      </c>
      <c r="E385" s="490">
        <f t="shared" si="755"/>
        <v>-0.17729639663742397</v>
      </c>
      <c r="F385" s="490">
        <f t="shared" si="756"/>
        <v>-9.2315954955923887E-2</v>
      </c>
      <c r="G385" s="490">
        <f t="shared" si="757"/>
        <v>-7.3355132744235699E-3</v>
      </c>
      <c r="H385" s="490">
        <f t="shared" si="758"/>
        <v>7.7644928407076749E-2</v>
      </c>
      <c r="I385" s="490">
        <f t="shared" si="759"/>
        <v>0.16262537008857705</v>
      </c>
      <c r="J385" s="490">
        <f t="shared" si="760"/>
        <v>0.2476058117700774</v>
      </c>
      <c r="K385" s="490">
        <f t="shared" si="761"/>
        <v>0.33258625345157744</v>
      </c>
      <c r="L385" s="490">
        <f t="shared" si="762"/>
        <v>0.41756669513307804</v>
      </c>
      <c r="M385" s="417"/>
      <c r="N385" s="417"/>
      <c r="O385" s="417"/>
      <c r="P385" s="417"/>
      <c r="Q385" s="417"/>
      <c r="AT385" s="804">
        <f t="shared" si="763"/>
        <v>0</v>
      </c>
      <c r="AU385" s="804">
        <f t="shared" si="763"/>
        <v>0</v>
      </c>
      <c r="AV385" s="804">
        <f t="shared" si="763"/>
        <v>0</v>
      </c>
      <c r="AW385" s="804">
        <f t="shared" si="763"/>
        <v>0</v>
      </c>
      <c r="AX385" s="804">
        <f t="shared" si="763"/>
        <v>0</v>
      </c>
      <c r="AY385" s="804">
        <f t="shared" si="763"/>
        <v>1</v>
      </c>
      <c r="AZ385" s="804">
        <f t="shared" si="763"/>
        <v>3</v>
      </c>
      <c r="BA385" s="804">
        <f t="shared" ref="BA385:BB385" si="767">IF(AG372&lt;$G$449,0,MIN($G$446,1+IFERROR(INT((AG372-$G$449)/$G$468),0)))</f>
        <v>5</v>
      </c>
      <c r="BB385" s="804">
        <f t="shared" si="767"/>
        <v>7</v>
      </c>
    </row>
    <row r="386" spans="1:54" ht="15" customHeight="1">
      <c r="A386" s="417"/>
      <c r="B386" s="828"/>
      <c r="C386" s="779">
        <f>$G$440</f>
        <v>1.0131712259371835</v>
      </c>
      <c r="D386" s="490">
        <f t="shared" si="765"/>
        <v>-0.21817703683851863</v>
      </c>
      <c r="E386" s="490">
        <f t="shared" si="755"/>
        <v>-0.13319659515701832</v>
      </c>
      <c r="F386" s="490">
        <f t="shared" si="756"/>
        <v>-4.8216153475518234E-2</v>
      </c>
      <c r="G386" s="490">
        <f t="shared" si="757"/>
        <v>3.6764288205982085E-2</v>
      </c>
      <c r="H386" s="782">
        <f t="shared" si="758"/>
        <v>0.1217447298874824</v>
      </c>
      <c r="I386" s="490">
        <f t="shared" si="759"/>
        <v>0.20672517156898271</v>
      </c>
      <c r="J386" s="490">
        <f t="shared" si="760"/>
        <v>0.29170561325048305</v>
      </c>
      <c r="K386" s="490">
        <f t="shared" si="761"/>
        <v>0.37668605493198309</v>
      </c>
      <c r="L386" s="490">
        <f t="shared" si="762"/>
        <v>0.46166649661348341</v>
      </c>
      <c r="M386" s="417"/>
      <c r="N386" s="417"/>
      <c r="O386" s="417"/>
      <c r="P386" s="417"/>
      <c r="Q386" s="417"/>
      <c r="AT386" s="804">
        <f t="shared" si="763"/>
        <v>0</v>
      </c>
      <c r="AU386" s="804">
        <f t="shared" si="763"/>
        <v>0</v>
      </c>
      <c r="AV386" s="804">
        <f t="shared" si="763"/>
        <v>0</v>
      </c>
      <c r="AW386" s="804">
        <f t="shared" si="763"/>
        <v>0</v>
      </c>
      <c r="AX386" s="804">
        <f t="shared" si="763"/>
        <v>0</v>
      </c>
      <c r="AY386" s="804">
        <f t="shared" si="763"/>
        <v>2</v>
      </c>
      <c r="AZ386" s="804">
        <f t="shared" si="763"/>
        <v>4</v>
      </c>
      <c r="BA386" s="804">
        <f t="shared" ref="BA386:BB386" si="768">IF(AG373&lt;$G$449,0,MIN($G$446,1+IFERROR(INT((AG373-$G$449)/$G$468),0)))</f>
        <v>6</v>
      </c>
      <c r="BB386" s="804">
        <f t="shared" si="768"/>
        <v>8</v>
      </c>
    </row>
    <row r="387" spans="1:54" ht="15" customHeight="1">
      <c r="A387" s="417"/>
      <c r="B387" s="828"/>
      <c r="C387" s="779">
        <f>C386+$G$441</f>
        <v>1.2631712259371835</v>
      </c>
      <c r="D387" s="490">
        <f t="shared" si="765"/>
        <v>-0.17407723535811309</v>
      </c>
      <c r="E387" s="490">
        <f t="shared" si="755"/>
        <v>-8.9096793676612662E-2</v>
      </c>
      <c r="F387" s="490">
        <f t="shared" si="756"/>
        <v>-4.1163519951125833E-3</v>
      </c>
      <c r="G387" s="490">
        <f t="shared" si="757"/>
        <v>8.0864089686387738E-2</v>
      </c>
      <c r="H387" s="490">
        <f t="shared" si="758"/>
        <v>0.16584453136788804</v>
      </c>
      <c r="I387" s="490">
        <f t="shared" si="759"/>
        <v>0.25082497304938839</v>
      </c>
      <c r="J387" s="490">
        <f t="shared" si="760"/>
        <v>0.33580541473088871</v>
      </c>
      <c r="K387" s="490">
        <f t="shared" si="761"/>
        <v>0.42078585641238875</v>
      </c>
      <c r="L387" s="490">
        <f t="shared" si="762"/>
        <v>0.50576629809388907</v>
      </c>
      <c r="M387" s="417"/>
      <c r="N387" s="417"/>
      <c r="O387" s="417"/>
      <c r="P387" s="417"/>
      <c r="Q387" s="417"/>
      <c r="AT387" s="804">
        <f t="shared" si="763"/>
        <v>0</v>
      </c>
      <c r="AU387" s="804">
        <f t="shared" si="763"/>
        <v>0</v>
      </c>
      <c r="AV387" s="804">
        <f t="shared" si="763"/>
        <v>0</v>
      </c>
      <c r="AW387" s="804">
        <f t="shared" si="763"/>
        <v>0</v>
      </c>
      <c r="AX387" s="804">
        <f t="shared" si="763"/>
        <v>1</v>
      </c>
      <c r="AY387" s="804">
        <f t="shared" si="763"/>
        <v>3</v>
      </c>
      <c r="AZ387" s="804">
        <f t="shared" si="763"/>
        <v>5</v>
      </c>
      <c r="BA387" s="804">
        <f t="shared" ref="BA387:BB387" si="769">IF(AG374&lt;$G$449,0,MIN($G$446,1+IFERROR(INT((AG374-$G$449)/$G$468),0)))</f>
        <v>7</v>
      </c>
      <c r="BB387" s="804">
        <f t="shared" si="769"/>
        <v>9</v>
      </c>
    </row>
    <row r="388" spans="1:54" ht="15" customHeight="1">
      <c r="A388" s="417"/>
      <c r="B388" s="828"/>
      <c r="C388" s="779">
        <f>C387+$G$441</f>
        <v>1.5131712259371835</v>
      </c>
      <c r="D388" s="490">
        <f t="shared" si="765"/>
        <v>-0.12997743387770744</v>
      </c>
      <c r="E388" s="490">
        <f t="shared" si="755"/>
        <v>-4.4996992196207126E-2</v>
      </c>
      <c r="F388" s="490">
        <f t="shared" si="756"/>
        <v>3.9983449485293067E-2</v>
      </c>
      <c r="G388" s="490">
        <f t="shared" si="757"/>
        <v>0.12496389116679339</v>
      </c>
      <c r="H388" s="490">
        <f t="shared" si="758"/>
        <v>0.2099443328482937</v>
      </c>
      <c r="I388" s="490">
        <f t="shared" si="759"/>
        <v>0.29492477452979404</v>
      </c>
      <c r="J388" s="490">
        <f t="shared" si="760"/>
        <v>0.37990521621129436</v>
      </c>
      <c r="K388" s="490">
        <f t="shared" si="761"/>
        <v>0.4648856578927944</v>
      </c>
      <c r="L388" s="490">
        <f t="shared" si="762"/>
        <v>0.54986609957429478</v>
      </c>
      <c r="M388" s="417"/>
      <c r="N388" s="417"/>
      <c r="O388" s="417"/>
      <c r="P388" s="417"/>
      <c r="Q388" s="417"/>
      <c r="AT388" s="804">
        <f t="shared" si="763"/>
        <v>0</v>
      </c>
      <c r="AU388" s="804">
        <f t="shared" si="763"/>
        <v>0</v>
      </c>
      <c r="AV388" s="804">
        <f t="shared" si="763"/>
        <v>0</v>
      </c>
      <c r="AW388" s="804">
        <f t="shared" si="763"/>
        <v>0</v>
      </c>
      <c r="AX388" s="804">
        <f t="shared" si="763"/>
        <v>2</v>
      </c>
      <c r="AY388" s="804">
        <f t="shared" si="763"/>
        <v>4</v>
      </c>
      <c r="AZ388" s="804">
        <f t="shared" si="763"/>
        <v>6</v>
      </c>
      <c r="BA388" s="804">
        <f t="shared" ref="BA388:BB388" si="770">IF(AG375&lt;$G$449,0,MIN($G$446,1+IFERROR(INT((AG375-$G$449)/$G$468),0)))</f>
        <v>8</v>
      </c>
      <c r="BB388" s="804">
        <f t="shared" si="770"/>
        <v>10</v>
      </c>
    </row>
    <row r="389" spans="1:54" ht="15" customHeight="1">
      <c r="A389" s="417"/>
      <c r="B389" s="829"/>
      <c r="C389" s="780">
        <f>C388+$G$441</f>
        <v>1.7631712259371835</v>
      </c>
      <c r="D389" s="783">
        <f t="shared" si="765"/>
        <v>-8.5877632397301909E-2</v>
      </c>
      <c r="E389" s="783">
        <f t="shared" si="755"/>
        <v>-8.9719071580159646E-4</v>
      </c>
      <c r="F389" s="783">
        <f t="shared" si="756"/>
        <v>8.4083250965698603E-2</v>
      </c>
      <c r="G389" s="783">
        <f t="shared" si="757"/>
        <v>0.16906369264719881</v>
      </c>
      <c r="H389" s="783">
        <f t="shared" si="758"/>
        <v>0.25404413432869938</v>
      </c>
      <c r="I389" s="783">
        <f t="shared" si="759"/>
        <v>0.3390245760101997</v>
      </c>
      <c r="J389" s="783">
        <f t="shared" si="760"/>
        <v>0.42400501769170001</v>
      </c>
      <c r="K389" s="783">
        <f t="shared" si="761"/>
        <v>0.50898545937320006</v>
      </c>
      <c r="L389" s="783">
        <f t="shared" si="762"/>
        <v>0.59396590105470037</v>
      </c>
      <c r="M389" s="417"/>
      <c r="N389" s="417"/>
      <c r="O389" s="417"/>
      <c r="P389" s="417"/>
      <c r="Q389" s="417"/>
      <c r="AT389" s="804">
        <f t="shared" si="763"/>
        <v>0</v>
      </c>
      <c r="AU389" s="804">
        <f t="shared" si="763"/>
        <v>0</v>
      </c>
      <c r="AV389" s="804">
        <f t="shared" si="763"/>
        <v>0</v>
      </c>
      <c r="AW389" s="804">
        <f t="shared" si="763"/>
        <v>1</v>
      </c>
      <c r="AX389" s="804">
        <f t="shared" si="763"/>
        <v>3</v>
      </c>
      <c r="AY389" s="804">
        <f t="shared" si="763"/>
        <v>5</v>
      </c>
      <c r="AZ389" s="804">
        <f t="shared" si="763"/>
        <v>7</v>
      </c>
      <c r="BA389" s="804">
        <f t="shared" ref="BA389:BB389" si="771">IF(AG376&lt;$G$449,0,MIN($G$446,1+IFERROR(INT((AG376-$G$449)/$G$468),0)))</f>
        <v>9</v>
      </c>
      <c r="BB389" s="804">
        <f t="shared" si="771"/>
        <v>10</v>
      </c>
    </row>
    <row r="390" spans="1:54" ht="3.95" hidden="1" customHeight="1">
      <c r="A390" s="417"/>
      <c r="B390" s="423" t="s">
        <v>2771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7"/>
      <c r="O390" s="417"/>
      <c r="P390" s="417"/>
      <c r="Q390" s="417"/>
    </row>
    <row r="391" spans="1:54" ht="3.95" customHeight="1">
      <c r="A391" s="417"/>
      <c r="M391" s="417"/>
      <c r="N391" s="417"/>
      <c r="O391" s="417"/>
      <c r="P391" s="417"/>
      <c r="Q391" s="417"/>
    </row>
    <row r="392" spans="1:54" ht="15" customHeight="1">
      <c r="A392" s="417"/>
      <c r="B392" s="148" t="s">
        <v>2769</v>
      </c>
      <c r="C392" s="417"/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7"/>
      <c r="O392" s="417"/>
      <c r="P392" s="417"/>
      <c r="Q392" s="417"/>
    </row>
    <row r="393" spans="1:54" ht="2.1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7"/>
      <c r="O393" s="417"/>
      <c r="P393" s="417"/>
      <c r="Q393" s="417"/>
    </row>
    <row r="394" spans="1:54" ht="12.75" customHeight="1">
      <c r="A394" s="417"/>
      <c r="B394" s="454"/>
      <c r="C394" s="454"/>
      <c r="D394" s="767" t="s">
        <v>2751</v>
      </c>
      <c r="E394" s="767"/>
      <c r="F394" s="767"/>
      <c r="G394" s="767"/>
      <c r="H394" s="767"/>
      <c r="I394" s="767"/>
      <c r="J394" s="767"/>
      <c r="K394" s="767"/>
      <c r="L394" s="767"/>
      <c r="M394" s="417"/>
      <c r="N394" s="417"/>
      <c r="O394" s="417"/>
      <c r="P394" s="417"/>
      <c r="Q394" s="417"/>
    </row>
    <row r="395" spans="1:54" ht="12.75" customHeight="1">
      <c r="A395" s="417"/>
      <c r="B395" s="454"/>
      <c r="C395" s="454"/>
      <c r="D395" s="815">
        <f>E395-$G$466</f>
        <v>1</v>
      </c>
      <c r="E395" s="815">
        <f>F395-$G$466</f>
        <v>1.25</v>
      </c>
      <c r="F395" s="815">
        <f>G395-$G$466</f>
        <v>1.5</v>
      </c>
      <c r="G395" s="815">
        <f>H395-$G$466</f>
        <v>1.75</v>
      </c>
      <c r="H395" s="815">
        <f>$G$465</f>
        <v>2</v>
      </c>
      <c r="I395" s="815">
        <f>H395+$G$466</f>
        <v>2.25</v>
      </c>
      <c r="J395" s="815">
        <f>I395+$G$466</f>
        <v>2.5</v>
      </c>
      <c r="K395" s="815">
        <f>J395+$G$466</f>
        <v>2.75</v>
      </c>
      <c r="L395" s="815">
        <f>K395+$G$466</f>
        <v>3</v>
      </c>
      <c r="M395" s="417"/>
      <c r="N395" s="417"/>
      <c r="O395" s="417"/>
      <c r="P395" s="417"/>
      <c r="Q395" s="417"/>
      <c r="AT395" s="772" t="s">
        <v>2614</v>
      </c>
      <c r="AU395" s="427"/>
      <c r="AV395" s="427"/>
      <c r="AW395" s="427"/>
      <c r="AX395" s="427"/>
      <c r="AY395" s="427"/>
      <c r="AZ395" s="427"/>
      <c r="BA395" s="427"/>
      <c r="BB395" s="427"/>
    </row>
    <row r="396" spans="1:54" ht="15" customHeight="1">
      <c r="A396" s="417"/>
      <c r="B396" s="827" t="s">
        <v>2525</v>
      </c>
      <c r="C396" s="779">
        <f>C397-$G$441</f>
        <v>0.26317122593718345</v>
      </c>
      <c r="D396" s="631">
        <f>D356-$AM330</f>
        <v>-7.6859668025056616E-2</v>
      </c>
      <c r="E396" s="631">
        <f t="shared" ref="E396:J396" si="772">E356-$AM330</f>
        <v>-4.4796188634927958E-2</v>
      </c>
      <c r="F396" s="631">
        <f t="shared" si="772"/>
        <v>-1.5939735108009723E-2</v>
      </c>
      <c r="G396" s="631">
        <f t="shared" si="772"/>
        <v>1.0352009469506873E-2</v>
      </c>
      <c r="H396" s="631">
        <f t="shared" si="772"/>
        <v>3.454110361822571E-2</v>
      </c>
      <c r="I396" s="631">
        <f t="shared" si="772"/>
        <v>5.6971798790366623E-2</v>
      </c>
      <c r="J396" s="631">
        <f t="shared" si="772"/>
        <v>7.7907926608753897E-2</v>
      </c>
      <c r="K396" s="631">
        <f t="shared" ref="K396:L396" si="773">K356-$AM330</f>
        <v>9.755644559102139E-2</v>
      </c>
      <c r="L396" s="631">
        <f t="shared" si="773"/>
        <v>0.11608289807798577</v>
      </c>
      <c r="M396" s="417"/>
      <c r="N396" s="417"/>
      <c r="O396" s="417"/>
      <c r="P396" s="417"/>
      <c r="Q396" s="417"/>
      <c r="AT396" s="804">
        <f t="shared" ref="AT396:AZ402" si="774">IF(Z370&lt;$G$449,0,MIN($G$446,1+IFERROR(INT((Z370-$G$449)/$G$468),0)))</f>
        <v>0</v>
      </c>
      <c r="AU396" s="804">
        <f t="shared" si="774"/>
        <v>0</v>
      </c>
      <c r="AV396" s="804">
        <f t="shared" si="774"/>
        <v>0</v>
      </c>
      <c r="AW396" s="804">
        <f t="shared" si="774"/>
        <v>0</v>
      </c>
      <c r="AX396" s="804">
        <f t="shared" si="774"/>
        <v>0</v>
      </c>
      <c r="AY396" s="804">
        <f t="shared" si="774"/>
        <v>0</v>
      </c>
      <c r="AZ396" s="804">
        <f t="shared" si="774"/>
        <v>1</v>
      </c>
      <c r="BA396" s="804">
        <f t="shared" ref="BA396:BB396" si="775">IF(AG370&lt;$G$449,0,MIN($G$446,1+IFERROR(INT((AG370-$G$449)/$G$468),0)))</f>
        <v>3</v>
      </c>
      <c r="BB396" s="804">
        <f t="shared" si="775"/>
        <v>5</v>
      </c>
    </row>
    <row r="397" spans="1:54" ht="15" customHeight="1">
      <c r="A397" s="417"/>
      <c r="B397" s="828"/>
      <c r="C397" s="779">
        <f>C398-$G$441</f>
        <v>0.51317122593718345</v>
      </c>
      <c r="D397" s="631">
        <f t="shared" ref="D397:J397" si="776">D357-$AM331</f>
        <v>-5.9771389504794215E-2</v>
      </c>
      <c r="E397" s="631">
        <f t="shared" si="776"/>
        <v>-2.9466881186955618E-2</v>
      </c>
      <c r="F397" s="631">
        <f t="shared" si="776"/>
        <v>-2.0082753560193289E-3</v>
      </c>
      <c r="G397" s="631">
        <f t="shared" si="776"/>
        <v>2.3143181188457485E-2</v>
      </c>
      <c r="H397" s="631">
        <f t="shared" si="776"/>
        <v>4.6382558151778275E-2</v>
      </c>
      <c r="I397" s="631">
        <f t="shared" si="776"/>
        <v>6.8008760186189621E-2</v>
      </c>
      <c r="J397" s="631">
        <f t="shared" si="776"/>
        <v>8.8253772407764552E-2</v>
      </c>
      <c r="K397" s="631">
        <f t="shared" ref="K397:L397" si="777">K357-$AM331</f>
        <v>0.10730149813339462</v>
      </c>
      <c r="L397" s="631">
        <f t="shared" si="777"/>
        <v>0.12530035735633138</v>
      </c>
      <c r="M397" s="417"/>
      <c r="N397" s="417"/>
      <c r="O397" s="417"/>
      <c r="P397" s="417"/>
      <c r="Q397" s="417"/>
      <c r="AT397" s="804">
        <f t="shared" si="774"/>
        <v>0</v>
      </c>
      <c r="AU397" s="804">
        <f t="shared" si="774"/>
        <v>0</v>
      </c>
      <c r="AV397" s="804">
        <f t="shared" si="774"/>
        <v>0</v>
      </c>
      <c r="AW397" s="804">
        <f t="shared" si="774"/>
        <v>0</v>
      </c>
      <c r="AX397" s="804">
        <f t="shared" si="774"/>
        <v>0</v>
      </c>
      <c r="AY397" s="804">
        <f t="shared" si="774"/>
        <v>0</v>
      </c>
      <c r="AZ397" s="804">
        <f t="shared" si="774"/>
        <v>2</v>
      </c>
      <c r="BA397" s="804">
        <f t="shared" ref="BA397:BB397" si="778">IF(AG371&lt;$G$449,0,MIN($G$446,1+IFERROR(INT((AG371-$G$449)/$G$468),0)))</f>
        <v>4</v>
      </c>
      <c r="BB397" s="804">
        <f t="shared" si="778"/>
        <v>6</v>
      </c>
    </row>
    <row r="398" spans="1:54" ht="15" customHeight="1">
      <c r="A398" s="417"/>
      <c r="B398" s="828"/>
      <c r="C398" s="779">
        <f>C399-$G$441</f>
        <v>0.76317122593718345</v>
      </c>
      <c r="D398" s="631">
        <f t="shared" ref="D398:J398" si="779">D358-$AM332</f>
        <v>-4.3649396953216346E-2</v>
      </c>
      <c r="E398" s="631">
        <f t="shared" si="779"/>
        <v>-1.4900405582114029E-2</v>
      </c>
      <c r="F398" s="631">
        <f t="shared" si="779"/>
        <v>1.1304162245541427E-2</v>
      </c>
      <c r="G398" s="631">
        <f t="shared" si="779"/>
        <v>3.5420973036709658E-2</v>
      </c>
      <c r="H398" s="631">
        <f t="shared" si="779"/>
        <v>5.7790662919647851E-2</v>
      </c>
      <c r="I398" s="631">
        <f t="shared" si="779"/>
        <v>7.867454432866805E-2</v>
      </c>
      <c r="J398" s="631">
        <f t="shared" si="779"/>
        <v>9.8277763916424954E-2</v>
      </c>
      <c r="K398" s="631">
        <f t="shared" ref="K398:L398" si="780">K358-$AM332</f>
        <v>0.11676452586472297</v>
      </c>
      <c r="L398" s="631">
        <f t="shared" si="780"/>
        <v>0.13426844798599746</v>
      </c>
      <c r="M398" s="417"/>
      <c r="N398" s="417"/>
      <c r="O398" s="417"/>
      <c r="P398" s="417"/>
      <c r="Q398" s="417"/>
      <c r="AT398" s="804">
        <f t="shared" si="774"/>
        <v>0</v>
      </c>
      <c r="AU398" s="804">
        <f t="shared" si="774"/>
        <v>0</v>
      </c>
      <c r="AV398" s="804">
        <f t="shared" si="774"/>
        <v>0</v>
      </c>
      <c r="AW398" s="804">
        <f t="shared" si="774"/>
        <v>0</v>
      </c>
      <c r="AX398" s="804">
        <f t="shared" si="774"/>
        <v>0</v>
      </c>
      <c r="AY398" s="804">
        <f t="shared" si="774"/>
        <v>1</v>
      </c>
      <c r="AZ398" s="804">
        <f t="shared" si="774"/>
        <v>3</v>
      </c>
      <c r="BA398" s="804">
        <f t="shared" ref="BA398:BB398" si="781">IF(AG372&lt;$G$449,0,MIN($G$446,1+IFERROR(INT((AG372-$G$449)/$G$468),0)))</f>
        <v>5</v>
      </c>
      <c r="BB398" s="804">
        <f t="shared" si="781"/>
        <v>7</v>
      </c>
    </row>
    <row r="399" spans="1:54" ht="15" customHeight="1">
      <c r="A399" s="417"/>
      <c r="B399" s="828"/>
      <c r="C399" s="779">
        <f>$G$440</f>
        <v>1.0131712259371835</v>
      </c>
      <c r="D399" s="631">
        <f t="shared" ref="D399:J399" si="782">D359-$AM333</f>
        <v>-2.8378815861018536E-2</v>
      </c>
      <c r="E399" s="631">
        <f t="shared" si="782"/>
        <v>-1.0163242818517215E-3</v>
      </c>
      <c r="F399" s="631">
        <f t="shared" si="782"/>
        <v>2.4056224332016374E-2</v>
      </c>
      <c r="G399" s="631">
        <f t="shared" si="782"/>
        <v>4.722954100233312E-2</v>
      </c>
      <c r="H399" s="789">
        <f t="shared" si="782"/>
        <v>6.8799546004345791E-2</v>
      </c>
      <c r="I399" s="631">
        <f t="shared" si="782"/>
        <v>8.8996108915985417E-2</v>
      </c>
      <c r="J399" s="631">
        <f t="shared" si="782"/>
        <v>0.10800158955878381</v>
      </c>
      <c r="K399" s="631">
        <f t="shared" ref="K399:L399" si="783">K359-$AM333</f>
        <v>0.12596325405205744</v>
      </c>
      <c r="L399" s="631">
        <f t="shared" si="783"/>
        <v>0.14300185441437518</v>
      </c>
      <c r="M399" s="417"/>
      <c r="N399" s="417"/>
      <c r="O399" s="417"/>
      <c r="P399" s="417"/>
      <c r="Q399" s="417"/>
      <c r="AT399" s="804">
        <f t="shared" si="774"/>
        <v>0</v>
      </c>
      <c r="AU399" s="804">
        <f t="shared" si="774"/>
        <v>0</v>
      </c>
      <c r="AV399" s="804">
        <f t="shared" si="774"/>
        <v>0</v>
      </c>
      <c r="AW399" s="804">
        <f t="shared" si="774"/>
        <v>0</v>
      </c>
      <c r="AX399" s="804">
        <f t="shared" si="774"/>
        <v>0</v>
      </c>
      <c r="AY399" s="804">
        <f t="shared" si="774"/>
        <v>2</v>
      </c>
      <c r="AZ399" s="804">
        <f t="shared" si="774"/>
        <v>4</v>
      </c>
      <c r="BA399" s="804">
        <f t="shared" ref="BA399:BB399" si="784">IF(AG373&lt;$G$449,0,MIN($G$446,1+IFERROR(INT((AG373-$G$449)/$G$468),0)))</f>
        <v>6</v>
      </c>
      <c r="BB399" s="804">
        <f t="shared" si="784"/>
        <v>8</v>
      </c>
    </row>
    <row r="400" spans="1:54" ht="15" customHeight="1">
      <c r="A400" s="417"/>
      <c r="B400" s="828"/>
      <c r="C400" s="779">
        <f>C399+$G$441</f>
        <v>1.2631712259371835</v>
      </c>
      <c r="D400" s="631">
        <f t="shared" ref="D400:J400" si="785">D360-$AM334</f>
        <v>-1.3864706796427706E-2</v>
      </c>
      <c r="E400" s="631">
        <f t="shared" si="785"/>
        <v>1.2253332612959467E-2</v>
      </c>
      <c r="F400" s="631">
        <f t="shared" si="785"/>
        <v>3.6298344630641743E-2</v>
      </c>
      <c r="G400" s="631">
        <f t="shared" si="785"/>
        <v>5.860740152178634E-2</v>
      </c>
      <c r="H400" s="631">
        <f t="shared" si="785"/>
        <v>7.9439329132062531E-2</v>
      </c>
      <c r="I400" s="631">
        <f t="shared" si="785"/>
        <v>9.8997483745911552E-2</v>
      </c>
      <c r="J400" s="631">
        <f t="shared" si="785"/>
        <v>0.11744474604530697</v>
      </c>
      <c r="K400" s="631">
        <f t="shared" ref="K400:L400" si="786">K360-$AM334</f>
        <v>0.13491373329175849</v>
      </c>
      <c r="L400" s="631">
        <f t="shared" si="786"/>
        <v>0.15151395845582938</v>
      </c>
      <c r="M400" s="417"/>
      <c r="N400" s="417"/>
      <c r="O400" s="417"/>
      <c r="P400" s="417"/>
      <c r="Q400" s="417"/>
      <c r="AT400" s="804">
        <f t="shared" si="774"/>
        <v>0</v>
      </c>
      <c r="AU400" s="804">
        <f t="shared" si="774"/>
        <v>0</v>
      </c>
      <c r="AV400" s="804">
        <f t="shared" si="774"/>
        <v>0</v>
      </c>
      <c r="AW400" s="804">
        <f t="shared" si="774"/>
        <v>0</v>
      </c>
      <c r="AX400" s="804">
        <f t="shared" si="774"/>
        <v>1</v>
      </c>
      <c r="AY400" s="804">
        <f t="shared" si="774"/>
        <v>3</v>
      </c>
      <c r="AZ400" s="804">
        <f t="shared" si="774"/>
        <v>5</v>
      </c>
      <c r="BA400" s="804">
        <f t="shared" ref="BA400:BB400" si="787">IF(AG374&lt;$G$449,0,MIN($G$446,1+IFERROR(INT((AG374-$G$449)/$G$468),0)))</f>
        <v>7</v>
      </c>
      <c r="BB400" s="804">
        <f t="shared" si="787"/>
        <v>9</v>
      </c>
    </row>
    <row r="401" spans="1:54" ht="15" customHeight="1">
      <c r="A401" s="417"/>
      <c r="B401" s="828"/>
      <c r="C401" s="779">
        <f>C400+$G$441</f>
        <v>1.5131712259371835</v>
      </c>
      <c r="D401" s="631">
        <f t="shared" ref="D401:J401" si="788">D361-$AM335</f>
        <v>-2.7642848059894476E-5</v>
      </c>
      <c r="E401" s="631">
        <f t="shared" si="788"/>
        <v>2.4966553157499627E-2</v>
      </c>
      <c r="F401" s="631">
        <f t="shared" si="788"/>
        <v>4.8074230857055422E-2</v>
      </c>
      <c r="G401" s="631">
        <f t="shared" si="788"/>
        <v>6.9588366532937318E-2</v>
      </c>
      <c r="H401" s="631">
        <f t="shared" si="788"/>
        <v>8.9736740370169876E-2</v>
      </c>
      <c r="I401" s="631">
        <f t="shared" si="788"/>
        <v>0.10870018625085898</v>
      </c>
      <c r="J401" s="631">
        <f t="shared" si="788"/>
        <v>0.12662482857731483</v>
      </c>
      <c r="K401" s="631">
        <f t="shared" ref="K401:L401" si="789">K361-$AM335</f>
        <v>0.14363054725784896</v>
      </c>
      <c r="L401" s="631">
        <f t="shared" si="789"/>
        <v>0.15981699131403082</v>
      </c>
      <c r="M401" s="417"/>
      <c r="N401" s="417"/>
      <c r="O401" s="417"/>
      <c r="P401" s="417"/>
      <c r="Q401" s="417"/>
      <c r="AT401" s="804">
        <f t="shared" si="774"/>
        <v>0</v>
      </c>
      <c r="AU401" s="804">
        <f t="shared" si="774"/>
        <v>0</v>
      </c>
      <c r="AV401" s="804">
        <f t="shared" si="774"/>
        <v>0</v>
      </c>
      <c r="AW401" s="804">
        <f t="shared" si="774"/>
        <v>0</v>
      </c>
      <c r="AX401" s="804">
        <f t="shared" si="774"/>
        <v>2</v>
      </c>
      <c r="AY401" s="804">
        <f t="shared" si="774"/>
        <v>4</v>
      </c>
      <c r="AZ401" s="804">
        <f t="shared" si="774"/>
        <v>6</v>
      </c>
      <c r="BA401" s="804">
        <f t="shared" ref="BA401:BB401" si="790">IF(AG375&lt;$G$449,0,MIN($G$446,1+IFERROR(INT((AG375-$G$449)/$G$468),0)))</f>
        <v>8</v>
      </c>
      <c r="BB401" s="804">
        <f t="shared" si="790"/>
        <v>10</v>
      </c>
    </row>
    <row r="402" spans="1:54" ht="15" customHeight="1">
      <c r="A402" s="417"/>
      <c r="B402" s="829"/>
      <c r="C402" s="780">
        <f>C401+$G$441</f>
        <v>1.7631712259371835</v>
      </c>
      <c r="D402" s="790">
        <f t="shared" ref="D402:J402" si="791">D362-$AM336</f>
        <v>1.3199541508726487E-2</v>
      </c>
      <c r="E402" s="790">
        <f t="shared" si="791"/>
        <v>3.7173234298307989E-2</v>
      </c>
      <c r="F402" s="790">
        <f t="shared" si="791"/>
        <v>5.9422026970425312E-2</v>
      </c>
      <c r="G402" s="790">
        <f t="shared" si="791"/>
        <v>8.0202290849839875E-2</v>
      </c>
      <c r="H402" s="790">
        <f t="shared" si="791"/>
        <v>9.97156130278396E-2</v>
      </c>
      <c r="I402" s="790">
        <f t="shared" si="791"/>
        <v>0.11812356514320088</v>
      </c>
      <c r="J402" s="790">
        <f t="shared" si="791"/>
        <v>0.13555777405994585</v>
      </c>
      <c r="K402" s="790">
        <f t="shared" ref="K402:L402" si="792">K362-$AM336</f>
        <v>0.15212698891698784</v>
      </c>
      <c r="L402" s="790">
        <f t="shared" si="792"/>
        <v>0.16792216385966907</v>
      </c>
      <c r="M402" s="417"/>
      <c r="N402" s="417"/>
      <c r="O402" s="417"/>
      <c r="P402" s="417"/>
      <c r="Q402" s="417"/>
      <c r="AT402" s="804">
        <f t="shared" si="774"/>
        <v>0</v>
      </c>
      <c r="AU402" s="804">
        <f t="shared" si="774"/>
        <v>0</v>
      </c>
      <c r="AV402" s="804">
        <f t="shared" si="774"/>
        <v>0</v>
      </c>
      <c r="AW402" s="804">
        <f t="shared" si="774"/>
        <v>1</v>
      </c>
      <c r="AX402" s="804">
        <f t="shared" si="774"/>
        <v>3</v>
      </c>
      <c r="AY402" s="804">
        <f t="shared" si="774"/>
        <v>5</v>
      </c>
      <c r="AZ402" s="804">
        <f t="shared" si="774"/>
        <v>7</v>
      </c>
      <c r="BA402" s="804">
        <f t="shared" ref="BA402:BB402" si="793">IF(AG376&lt;$G$449,0,MIN($G$446,1+IFERROR(INT((AG376-$G$449)/$G$468),0)))</f>
        <v>9</v>
      </c>
      <c r="BB402" s="804">
        <f t="shared" si="793"/>
        <v>10</v>
      </c>
    </row>
    <row r="403" spans="1:54" ht="3.95" hidden="1" customHeight="1">
      <c r="A403" s="417"/>
      <c r="B403" s="423" t="s">
        <v>2772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7"/>
      <c r="O403" s="417"/>
      <c r="P403" s="417"/>
      <c r="Q403" s="417"/>
    </row>
    <row r="404" spans="1:54" ht="3.95" customHeight="1">
      <c r="A404" s="417"/>
      <c r="M404" s="417"/>
    </row>
    <row r="405" spans="1:54" ht="12" customHeight="1">
      <c r="A405" s="417"/>
      <c r="B405" s="374" t="s">
        <v>2501</v>
      </c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417"/>
    </row>
    <row r="406" spans="1:54" ht="12" customHeight="1">
      <c r="A406" s="417"/>
      <c r="B406" s="417" t="s">
        <v>2502</v>
      </c>
      <c r="G406" s="620">
        <f>$O18+$G$435+$N18*$G$431+$R18*($Q18*(1+$G$437)+$G$431*(1-$N18))-$G$430</f>
        <v>5402.1570990481869</v>
      </c>
      <c r="H406" s="417"/>
      <c r="M406" s="417"/>
    </row>
    <row r="407" spans="1:54" ht="12" customHeight="1">
      <c r="A407" s="417"/>
      <c r="B407" s="765" t="s">
        <v>2506</v>
      </c>
      <c r="C407" s="792"/>
      <c r="D407" s="792"/>
      <c r="E407" s="792"/>
      <c r="F407" s="792"/>
      <c r="G407" s="771">
        <f>'Partnership Analysis'!$D$92-'Partnership Analysis'!$C$185</f>
        <v>5402.1570990481869</v>
      </c>
      <c r="H407" s="417"/>
      <c r="M407" s="417"/>
    </row>
    <row r="408" spans="1:54" ht="12" customHeight="1">
      <c r="A408" s="417"/>
      <c r="B408" s="480" t="s">
        <v>304</v>
      </c>
      <c r="G408" s="793">
        <f>G406-G407</f>
        <v>0</v>
      </c>
      <c r="H408" s="417"/>
      <c r="M408" s="417"/>
    </row>
    <row r="409" spans="1:54" ht="12" customHeight="1">
      <c r="A409" s="417"/>
      <c r="B409" s="417" t="s">
        <v>2537</v>
      </c>
      <c r="G409" s="620">
        <f>G406+$G$430-$G$447</f>
        <v>911.89940031937476</v>
      </c>
      <c r="H409" s="417"/>
      <c r="M409" s="417"/>
    </row>
    <row r="410" spans="1:54" ht="12" customHeight="1">
      <c r="A410" s="417"/>
      <c r="B410" s="765" t="s">
        <v>2538</v>
      </c>
      <c r="C410" s="792"/>
      <c r="D410" s="792"/>
      <c r="E410" s="792"/>
      <c r="F410" s="792"/>
      <c r="G410" s="771">
        <f>'Partnership Analysis'!$D$95</f>
        <v>911.89940031937476</v>
      </c>
      <c r="H410" s="417"/>
      <c r="M410" s="417"/>
    </row>
    <row r="411" spans="1:54" ht="12" customHeight="1">
      <c r="A411" s="417"/>
      <c r="B411" s="480" t="s">
        <v>2539</v>
      </c>
      <c r="G411" s="793">
        <f>ROUND(G409-G410,6)</f>
        <v>0</v>
      </c>
      <c r="H411" s="417"/>
      <c r="M411" s="417"/>
    </row>
    <row r="412" spans="1:54" ht="12" customHeight="1">
      <c r="A412" s="417"/>
      <c r="B412" s="417" t="s">
        <v>2554</v>
      </c>
      <c r="G412" s="620">
        <f>($G$453+$G$456*$G$445*$G$454)*$G$455</f>
        <v>15975.965836610165</v>
      </c>
      <c r="H412" s="417"/>
      <c r="M412" s="417"/>
    </row>
    <row r="413" spans="1:54" ht="12" customHeight="1">
      <c r="A413" s="417"/>
      <c r="B413" s="765" t="s">
        <v>2555</v>
      </c>
      <c r="C413" s="792"/>
      <c r="D413" s="792"/>
      <c r="E413" s="792"/>
      <c r="F413" s="792"/>
      <c r="G413" s="771">
        <f>$G$431</f>
        <v>15975.965836610165</v>
      </c>
      <c r="H413" s="417"/>
      <c r="M413" s="417"/>
    </row>
    <row r="414" spans="1:54" ht="12" customHeight="1">
      <c r="A414" s="417"/>
      <c r="B414" s="480" t="s">
        <v>2556</v>
      </c>
      <c r="G414" s="793">
        <f>ROUND(G412-G413,6)</f>
        <v>0</v>
      </c>
      <c r="H414" s="417"/>
      <c r="M414" s="417"/>
    </row>
    <row r="415" spans="1:54" ht="12" customHeight="1">
      <c r="A415" s="417"/>
      <c r="B415" s="417" t="s">
        <v>2584</v>
      </c>
      <c r="G415" s="620">
        <f>($G$453+($G$456-$G$459)*$G$445*$G$460)*$G$461*$G$462</f>
        <v>7490.2576987288121</v>
      </c>
      <c r="H415" s="417"/>
      <c r="M415" s="417"/>
    </row>
    <row r="416" spans="1:54" ht="12" customHeight="1">
      <c r="A416" s="417"/>
      <c r="B416" s="765" t="s">
        <v>2585</v>
      </c>
      <c r="C416" s="792"/>
      <c r="D416" s="792"/>
      <c r="E416" s="792"/>
      <c r="F416" s="792"/>
      <c r="G416" s="771">
        <f>$G$447</f>
        <v>7490.2576987288121</v>
      </c>
      <c r="H416" s="417"/>
      <c r="M416" s="417"/>
    </row>
    <row r="417" spans="1:13" ht="12" customHeight="1">
      <c r="A417" s="417"/>
      <c r="B417" s="480" t="s">
        <v>2586</v>
      </c>
      <c r="G417" s="793">
        <f>ROUND(G415-G416,6)</f>
        <v>0</v>
      </c>
      <c r="H417" s="417"/>
      <c r="M417" s="417"/>
    </row>
    <row r="418" spans="1:13" ht="12" customHeight="1">
      <c r="A418" s="417"/>
      <c r="B418" s="417" t="str">
        <f>"Ben's Yr 5 Value Less Keystone Today — Rebuilt at Model Wins &amp; Growth ("&amp;TEXT($G$436,"0%")&amp;" Rollover)"</f>
        <v>Ben's Yr 5 Value Less Keystone Today — Rebuilt at Model Wins &amp; Growth (30% Rollover)</v>
      </c>
      <c r="G418" s="620">
        <f>$O$18+$G$435+$N$18*$G$412+$R$18*($Q$18*(1+$G$437)+$G$412*(1-$N$18))-$G$430</f>
        <v>5402.1570990481869</v>
      </c>
      <c r="H418" s="417"/>
      <c r="M418" s="417"/>
    </row>
    <row r="419" spans="1:13" ht="12" customHeight="1">
      <c r="A419" s="417"/>
      <c r="B419" s="765" t="s">
        <v>2506</v>
      </c>
      <c r="C419" s="792"/>
      <c r="D419" s="792"/>
      <c r="E419" s="792"/>
      <c r="F419" s="792"/>
      <c r="G419" s="771">
        <f>$G$407</f>
        <v>5402.1570990481869</v>
      </c>
      <c r="H419" s="417"/>
      <c r="M419" s="417"/>
    </row>
    <row r="420" spans="1:13" ht="12" customHeight="1">
      <c r="A420" s="417"/>
      <c r="B420" s="480" t="s">
        <v>2605</v>
      </c>
      <c r="G420" s="793">
        <f>ROUND(G418-G419,6)</f>
        <v>0</v>
      </c>
      <c r="H420" s="417"/>
      <c r="M420" s="417"/>
    </row>
    <row r="421" spans="1:13" ht="12" customHeight="1">
      <c r="A421" s="417"/>
      <c r="B421" s="417" t="s">
        <v>2785</v>
      </c>
      <c r="G421" s="620">
        <f>$AD$253</f>
        <v>5402.1570990481869</v>
      </c>
      <c r="H421" s="417" t="s">
        <v>2786</v>
      </c>
      <c r="M421" s="417"/>
    </row>
    <row r="422" spans="1:13" ht="12" customHeight="1">
      <c r="A422" s="417"/>
      <c r="B422" s="765" t="s">
        <v>2506</v>
      </c>
      <c r="C422" s="792"/>
      <c r="D422" s="792"/>
      <c r="E422" s="792"/>
      <c r="F422" s="792"/>
      <c r="G422" s="771">
        <f>$G$407</f>
        <v>5402.1570990481869</v>
      </c>
      <c r="H422" s="417"/>
      <c r="M422" s="417"/>
    </row>
    <row r="423" spans="1:13" ht="12" customHeight="1">
      <c r="A423" s="417"/>
      <c r="B423" s="480" t="s">
        <v>2787</v>
      </c>
      <c r="G423" s="793">
        <f>ROUND(G421-G422,6)</f>
        <v>0</v>
      </c>
      <c r="H423" s="417" t="s">
        <v>2107</v>
      </c>
      <c r="M423" s="417"/>
    </row>
    <row r="424" spans="1:13" ht="12" customHeight="1">
      <c r="A424" s="417"/>
      <c r="B424" s="417" t="s">
        <v>2788</v>
      </c>
      <c r="G424" s="620">
        <f>$O$18+$G$435+$N$18*$AK333*$G$455+$R$18*($Q$18*(1+$G$437)+$AK333*$G$455*(1-$N$18))-$G$430</f>
        <v>5402.1570990481869</v>
      </c>
      <c r="H424" s="417" t="s">
        <v>2789</v>
      </c>
      <c r="M424" s="417"/>
    </row>
    <row r="425" spans="1:13" ht="12" customHeight="1">
      <c r="A425" s="417"/>
      <c r="B425" s="765" t="s">
        <v>2506</v>
      </c>
      <c r="C425" s="792"/>
      <c r="D425" s="792"/>
      <c r="E425" s="792"/>
      <c r="F425" s="792"/>
      <c r="G425" s="771">
        <f>$G$407</f>
        <v>5402.1570990481869</v>
      </c>
      <c r="H425" s="417"/>
      <c r="M425" s="417"/>
    </row>
    <row r="426" spans="1:13" ht="12" customHeight="1">
      <c r="A426" s="417"/>
      <c r="B426" s="480" t="s">
        <v>2790</v>
      </c>
      <c r="G426" s="793">
        <f>ROUND(G424-G425,6)</f>
        <v>0</v>
      </c>
      <c r="H426" s="417" t="s">
        <v>2107</v>
      </c>
      <c r="M426" s="417"/>
    </row>
    <row r="427" spans="1:13" ht="12" customHeight="1">
      <c r="A427" s="417"/>
      <c r="B427" s="480"/>
      <c r="G427" s="793"/>
      <c r="H427" s="417"/>
      <c r="M427" s="417"/>
    </row>
    <row r="428" spans="1:13" ht="12" customHeight="1">
      <c r="A428" s="417"/>
      <c r="B428" s="417"/>
      <c r="G428" s="417"/>
      <c r="H428" s="417"/>
      <c r="M428" s="417"/>
    </row>
    <row r="429" spans="1:13" ht="12" customHeight="1">
      <c r="A429" s="417"/>
      <c r="B429" s="374" t="s">
        <v>2095</v>
      </c>
      <c r="C429" s="374"/>
      <c r="D429" s="374"/>
      <c r="E429" s="374"/>
      <c r="F429" s="374"/>
      <c r="G429" s="791" t="s">
        <v>1197</v>
      </c>
      <c r="H429" s="374" t="s">
        <v>287</v>
      </c>
      <c r="I429" s="374"/>
      <c r="J429" s="374"/>
      <c r="K429" s="374"/>
      <c r="L429" s="374"/>
      <c r="M429" s="417"/>
    </row>
    <row r="430" spans="1:13" ht="12" customHeight="1">
      <c r="B430" s="417" t="s">
        <v>2166</v>
      </c>
      <c r="G430" s="634">
        <f>'Partnership Analysis'!$C$185</f>
        <v>3000</v>
      </c>
      <c r="H430" s="417" t="s">
        <v>2483</v>
      </c>
    </row>
    <row r="431" spans="1:13" ht="12" customHeight="1">
      <c r="B431" s="417" t="s">
        <v>2503</v>
      </c>
      <c r="G431" s="472">
        <f>'Partnership Analysis'!$D$77</f>
        <v>15975.965836610165</v>
      </c>
      <c r="H431" s="417" t="s">
        <v>2484</v>
      </c>
    </row>
    <row r="432" spans="1:13" ht="12" customHeight="1">
      <c r="B432" s="417" t="s">
        <v>2037</v>
      </c>
      <c r="G432" s="472">
        <f>'Partnership Analysis'!$C$191</f>
        <v>50000</v>
      </c>
      <c r="H432" s="417" t="s">
        <v>2734</v>
      </c>
    </row>
    <row r="433" spans="2:8" ht="12" customHeight="1">
      <c r="B433" s="417" t="s">
        <v>2801</v>
      </c>
      <c r="G433" s="472">
        <f>'Partnership Analysis'!$C$189</f>
        <v>650</v>
      </c>
      <c r="H433" s="417" t="s">
        <v>2802</v>
      </c>
    </row>
    <row r="434" spans="2:8" ht="12" customHeight="1">
      <c r="B434" s="417" t="s">
        <v>2504</v>
      </c>
      <c r="G434" s="766">
        <f>'Partnership Analysis'!$C$8</f>
        <v>0.05</v>
      </c>
      <c r="H434" s="417" t="s">
        <v>2485</v>
      </c>
    </row>
    <row r="435" spans="2:8" ht="12" customHeight="1">
      <c r="B435" s="417" t="s">
        <v>2400</v>
      </c>
      <c r="G435" s="472">
        <f>'Partnership Analysis'!$C$58</f>
        <v>0</v>
      </c>
      <c r="H435" s="417" t="s">
        <v>2486</v>
      </c>
    </row>
    <row r="436" spans="2:8" ht="12" customHeight="1">
      <c r="B436" s="417" t="s">
        <v>2487</v>
      </c>
      <c r="G436" s="766">
        <f>'Partnership Analysis'!$C$7</f>
        <v>0.3</v>
      </c>
      <c r="H436" s="417" t="s">
        <v>2488</v>
      </c>
    </row>
    <row r="437" spans="2:8" ht="12" customHeight="1">
      <c r="B437" s="417" t="s">
        <v>2505</v>
      </c>
      <c r="G437" s="766">
        <f>'Partnership Analysis'!$C$19</f>
        <v>1.0131712259371835</v>
      </c>
      <c r="H437" s="417" t="s">
        <v>2489</v>
      </c>
    </row>
    <row r="438" spans="2:8" ht="12" customHeight="1">
      <c r="B438" s="417" t="s">
        <v>2490</v>
      </c>
      <c r="G438" s="635">
        <f>$G$436</f>
        <v>0.3</v>
      </c>
      <c r="H438" s="417" t="s">
        <v>2797</v>
      </c>
    </row>
    <row r="439" spans="2:8" ht="12" customHeight="1">
      <c r="B439" s="417" t="s">
        <v>2491</v>
      </c>
      <c r="G439" s="633">
        <v>0.05</v>
      </c>
      <c r="H439" s="417" t="s">
        <v>2492</v>
      </c>
    </row>
    <row r="440" spans="2:8" ht="12" customHeight="1">
      <c r="B440" s="417" t="s">
        <v>2493</v>
      </c>
      <c r="G440" s="635">
        <f>$G$437</f>
        <v>1.0131712259371835</v>
      </c>
      <c r="H440" s="417" t="s">
        <v>2798</v>
      </c>
    </row>
    <row r="441" spans="2:8" ht="12" customHeight="1">
      <c r="B441" s="417" t="s">
        <v>2494</v>
      </c>
      <c r="G441" s="633">
        <v>0.25</v>
      </c>
      <c r="H441" s="417" t="s">
        <v>2495</v>
      </c>
    </row>
    <row r="442" spans="2:8" ht="12" customHeight="1">
      <c r="B442" s="417" t="s">
        <v>2529</v>
      </c>
      <c r="G442" s="542">
        <f>$G$447-$G$430+$G$449</f>
        <v>5490.2576987288121</v>
      </c>
      <c r="H442" s="417" t="s">
        <v>2781</v>
      </c>
    </row>
    <row r="443" spans="2:8" ht="12" customHeight="1">
      <c r="B443" s="417" t="s">
        <v>2530</v>
      </c>
      <c r="G443" s="616">
        <f>IFERROR(($G$447+$G$449)/$G$430-1,0)</f>
        <v>1.8300858995762708</v>
      </c>
      <c r="H443" s="417" t="s">
        <v>2782</v>
      </c>
    </row>
    <row r="444" spans="2:8" ht="12" customHeight="1">
      <c r="B444" s="417" t="s">
        <v>2254</v>
      </c>
      <c r="G444" s="53">
        <f>'Partnership Analysis'!$C$46</f>
        <v>3</v>
      </c>
      <c r="H444" s="417" t="s">
        <v>2532</v>
      </c>
    </row>
    <row r="445" spans="2:8" ht="12" customHeight="1">
      <c r="B445" s="417" t="s">
        <v>2533</v>
      </c>
      <c r="G445" s="53">
        <f>'Partnership Analysis'!$C$9</f>
        <v>5</v>
      </c>
      <c r="H445" s="417" t="s">
        <v>2534</v>
      </c>
    </row>
    <row r="446" spans="2:8" ht="12" customHeight="1">
      <c r="B446" s="417" t="s">
        <v>2608</v>
      </c>
      <c r="G446" s="82">
        <v>10</v>
      </c>
      <c r="H446" s="417" t="s">
        <v>2609</v>
      </c>
    </row>
    <row r="447" spans="2:8" ht="12" customHeight="1">
      <c r="B447" s="417" t="s">
        <v>2540</v>
      </c>
      <c r="G447" s="53">
        <f>'Partnership Analysis'!$D$74</f>
        <v>7490.2576987288121</v>
      </c>
      <c r="H447" s="417" t="s">
        <v>2541</v>
      </c>
    </row>
    <row r="448" spans="2:8" ht="12" customHeight="1">
      <c r="B448" s="417" t="s">
        <v>2542</v>
      </c>
      <c r="G448" s="797">
        <f>IFERROR((G447/G430)^(1/G445)-1,0)</f>
        <v>0.20081222595661186</v>
      </c>
      <c r="H448" s="417" t="s">
        <v>2783</v>
      </c>
    </row>
    <row r="449" spans="2:8" ht="12" customHeight="1">
      <c r="B449" s="417" t="s">
        <v>2551</v>
      </c>
      <c r="G449" s="46">
        <v>1000</v>
      </c>
      <c r="H449" s="417" t="s">
        <v>2552</v>
      </c>
    </row>
    <row r="450" spans="2:8" ht="12" customHeight="1">
      <c r="B450" s="417" t="s">
        <v>2543</v>
      </c>
      <c r="G450" s="797">
        <f>IFERROR($G$449/$G$447,0)</f>
        <v>0.13350675507061821</v>
      </c>
      <c r="H450" s="417" t="s">
        <v>2553</v>
      </c>
    </row>
    <row r="451" spans="2:8" ht="12" customHeight="1">
      <c r="B451" s="417" t="s">
        <v>2610</v>
      </c>
      <c r="G451" s="542">
        <f>(MAX($Z$50:$AH$56)-$G$449)/$G$446</f>
        <v>228.2504224797307</v>
      </c>
      <c r="H451" s="417" t="s">
        <v>2611</v>
      </c>
    </row>
    <row r="452" spans="2:8" ht="12" customHeight="1">
      <c r="B452" s="417" t="s">
        <v>2547</v>
      </c>
      <c r="G452" s="787">
        <v>-2</v>
      </c>
      <c r="H452" s="417" t="s">
        <v>2548</v>
      </c>
    </row>
    <row r="453" spans="2:8" ht="12" customHeight="1">
      <c r="B453" s="417" t="s">
        <v>2255</v>
      </c>
      <c r="G453" s="53">
        <f>'Partnership Analysis'!$C$184</f>
        <v>2998.5410200000001</v>
      </c>
      <c r="H453" s="417" t="s">
        <v>2557</v>
      </c>
    </row>
    <row r="454" spans="2:8" ht="12" customHeight="1">
      <c r="B454" s="417" t="s">
        <v>2558</v>
      </c>
      <c r="G454" s="385">
        <f>'Partnership Analysis'!$C$36</f>
        <v>16.631472994350275</v>
      </c>
      <c r="H454" s="417" t="s">
        <v>2559</v>
      </c>
    </row>
    <row r="455" spans="2:8" ht="12" customHeight="1">
      <c r="B455" s="417" t="s">
        <v>2077</v>
      </c>
      <c r="G455" s="605">
        <f>'Partnership Analysis'!$C$31</f>
        <v>2</v>
      </c>
      <c r="H455" s="417" t="s">
        <v>2560</v>
      </c>
    </row>
    <row r="456" spans="2:8" ht="12" customHeight="1">
      <c r="B456" s="417" t="s">
        <v>2561</v>
      </c>
      <c r="G456" s="53">
        <f>'Partnership Analysis'!$C$40</f>
        <v>60</v>
      </c>
      <c r="H456" s="417" t="s">
        <v>2784</v>
      </c>
    </row>
    <row r="457" spans="2:8" ht="12" customHeight="1">
      <c r="B457" s="417" t="s">
        <v>2562</v>
      </c>
      <c r="G457" s="83">
        <f>$G$456</f>
        <v>60</v>
      </c>
      <c r="H457" s="417" t="s">
        <v>2799</v>
      </c>
    </row>
    <row r="458" spans="2:8" ht="12" customHeight="1">
      <c r="B458" s="417" t="s">
        <v>2563</v>
      </c>
      <c r="G458" s="82">
        <v>4</v>
      </c>
      <c r="H458" s="417" t="s">
        <v>2564</v>
      </c>
    </row>
    <row r="459" spans="2:8" ht="12" customHeight="1">
      <c r="B459" s="417" t="s">
        <v>2576</v>
      </c>
      <c r="G459" s="53">
        <f>'Partnership Analysis'!$C$39</f>
        <v>24</v>
      </c>
      <c r="H459" s="417" t="s">
        <v>2577</v>
      </c>
    </row>
    <row r="460" spans="2:8" ht="12" customHeight="1">
      <c r="B460" s="417" t="s">
        <v>2578</v>
      </c>
      <c r="G460" s="385">
        <f>'Partnership Analysis'!$C$24</f>
        <v>16.631472994350275</v>
      </c>
      <c r="H460" s="417" t="s">
        <v>2579</v>
      </c>
    </row>
    <row r="461" spans="2:8" ht="12" customHeight="1">
      <c r="B461" s="417" t="s">
        <v>2580</v>
      </c>
      <c r="G461" s="605">
        <f>'Partnership Analysis'!$C$23</f>
        <v>1.25</v>
      </c>
      <c r="H461" s="417" t="s">
        <v>2581</v>
      </c>
    </row>
    <row r="462" spans="2:8" ht="12" customHeight="1">
      <c r="B462" s="417" t="s">
        <v>2582</v>
      </c>
      <c r="G462" s="570">
        <f>'Partnership Analysis'!$C$73</f>
        <v>1</v>
      </c>
      <c r="H462" s="417" t="s">
        <v>2583</v>
      </c>
    </row>
    <row r="463" spans="2:8" ht="12" customHeight="1">
      <c r="B463" s="417" t="s">
        <v>2612</v>
      </c>
      <c r="G463" s="542">
        <f>(MAX($Z$130:$AH$136)-$G$449)/$G$446</f>
        <v>180.16581913385727</v>
      </c>
      <c r="H463" s="417" t="s">
        <v>2611</v>
      </c>
    </row>
    <row r="464" spans="2:8" ht="12" customHeight="1">
      <c r="B464" s="417" t="s">
        <v>2613</v>
      </c>
      <c r="G464" s="542">
        <f>(MAX($Z$210:$AH$216)-$G$449)/$G$446</f>
        <v>184.43985139566411</v>
      </c>
      <c r="H464" s="417" t="s">
        <v>2611</v>
      </c>
    </row>
    <row r="465" spans="2:8">
      <c r="B465" s="417" t="s">
        <v>2747</v>
      </c>
      <c r="G465" s="817">
        <f>$G$455</f>
        <v>2</v>
      </c>
      <c r="H465" s="417" t="s">
        <v>2800</v>
      </c>
    </row>
    <row r="466" spans="2:8">
      <c r="B466" s="417" t="s">
        <v>2748</v>
      </c>
      <c r="G466" s="814">
        <v>0.25</v>
      </c>
      <c r="H466" s="417" t="s">
        <v>2791</v>
      </c>
    </row>
    <row r="467" spans="2:8">
      <c r="B467" s="417" t="s">
        <v>2749</v>
      </c>
      <c r="G467" s="542">
        <f>(MAX($Z$290:$AH$296)-$G$449)/$G$446</f>
        <v>275.11561983659448</v>
      </c>
      <c r="H467" s="417" t="s">
        <v>2611</v>
      </c>
    </row>
    <row r="468" spans="2:8">
      <c r="B468" s="417" t="s">
        <v>2750</v>
      </c>
      <c r="G468" s="542">
        <f>(MAX($Z$370:$AH$376)-$G$449)/$G$446</f>
        <v>344.89576631573652</v>
      </c>
      <c r="H468" s="417" t="s">
        <v>2611</v>
      </c>
    </row>
  </sheetData>
  <mergeCells count="30">
    <mergeCell ref="B210:B216"/>
    <mergeCell ref="B370:B376"/>
    <mergeCell ref="B383:B389"/>
    <mergeCell ref="B396:B402"/>
    <mergeCell ref="B303:B309"/>
    <mergeCell ref="B316:B322"/>
    <mergeCell ref="B330:B336"/>
    <mergeCell ref="B343:B349"/>
    <mergeCell ref="B356:B362"/>
    <mergeCell ref="B250:B256"/>
    <mergeCell ref="B263:B269"/>
    <mergeCell ref="B276:B282"/>
    <mergeCell ref="B290:B296"/>
    <mergeCell ref="B236:B242"/>
    <mergeCell ref="B223:B229"/>
    <mergeCell ref="B10:B16"/>
    <mergeCell ref="B23:B29"/>
    <mergeCell ref="B36:B42"/>
    <mergeCell ref="B50:B56"/>
    <mergeCell ref="B63:B69"/>
    <mergeCell ref="B76:B82"/>
    <mergeCell ref="B90:B96"/>
    <mergeCell ref="B103:B109"/>
    <mergeCell ref="B116:B122"/>
    <mergeCell ref="B130:B136"/>
    <mergeCell ref="B143:B149"/>
    <mergeCell ref="B156:B162"/>
    <mergeCell ref="B170:B176"/>
    <mergeCell ref="B183:B189"/>
    <mergeCell ref="B196:B202"/>
  </mergeCells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89" priority="11">
      <formula>$O$3=1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88" priority="1">
      <formula>AT10=1</formula>
    </cfRule>
    <cfRule type="expression" dxfId="87" priority="2">
      <formula>AT10=2</formula>
    </cfRule>
    <cfRule type="expression" dxfId="86" priority="3">
      <formula>AT10=3</formula>
    </cfRule>
    <cfRule type="expression" dxfId="85" priority="4">
      <formula>AT10=4</formula>
    </cfRule>
    <cfRule type="expression" dxfId="84" priority="5">
      <formula>AT10=5</formula>
    </cfRule>
    <cfRule type="expression" dxfId="83" priority="6">
      <formula>AT10=6</formula>
    </cfRule>
    <cfRule type="expression" dxfId="82" priority="7">
      <formula>AT10=7</formula>
    </cfRule>
    <cfRule type="expression" dxfId="81" priority="8">
      <formula>AT10=8</formula>
    </cfRule>
    <cfRule type="expression" dxfId="80" priority="9">
      <formula>AT10=9</formula>
    </cfRule>
    <cfRule type="expression" dxfId="79" priority="10">
      <formula>AT10=10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1"/>
      <c r="B1" s="541"/>
      <c r="C1" s="541"/>
      <c r="D1" s="541"/>
      <c r="E1" s="541"/>
      <c r="F1" s="541"/>
    </row>
    <row r="2" spans="1:8" ht="16.5">
      <c r="A2" s="541"/>
      <c r="B2" s="566" t="str">
        <f>Cover!$B$24</f>
        <v>Keystone Bookkeepers</v>
      </c>
      <c r="C2" s="541"/>
      <c r="D2" s="541"/>
      <c r="E2" s="541"/>
      <c r="F2" s="541"/>
      <c r="G2" s="2"/>
      <c r="H2" s="2"/>
    </row>
    <row r="3" spans="1:8">
      <c r="A3" s="541"/>
      <c r="B3" s="568" t="s">
        <v>2053</v>
      </c>
      <c r="C3" s="568"/>
      <c r="D3" s="568"/>
      <c r="E3" s="541"/>
      <c r="G3" s="541" t="s">
        <v>276</v>
      </c>
      <c r="H3" s="603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1"/>
      <c r="B5" s="370" t="s">
        <v>2080</v>
      </c>
      <c r="C5" s="371" t="s">
        <v>1197</v>
      </c>
      <c r="D5" s="541"/>
      <c r="E5" s="541"/>
      <c r="F5" s="370" t="s">
        <v>2103</v>
      </c>
      <c r="G5" s="2"/>
    </row>
    <row r="6" spans="1:8">
      <c r="A6" s="541"/>
      <c r="B6" s="569" t="s">
        <v>2076</v>
      </c>
      <c r="C6" s="569"/>
      <c r="D6" s="541"/>
      <c r="E6" s="541"/>
      <c r="F6" s="541"/>
      <c r="G6" s="2"/>
    </row>
    <row r="7" spans="1:8" s="2" customFormat="1" ht="14.25">
      <c r="A7" s="541"/>
      <c r="B7" s="541" t="s">
        <v>2057</v>
      </c>
      <c r="C7" s="700">
        <f>'Offer Comparison'!$D$7</f>
        <v>5</v>
      </c>
      <c r="D7" s="541"/>
      <c r="E7" s="541"/>
      <c r="F7" s="541" t="s">
        <v>2628</v>
      </c>
    </row>
    <row r="8" spans="1:8" s="2" customFormat="1" ht="14.25">
      <c r="A8" s="541"/>
      <c r="B8" s="541" t="s">
        <v>2325</v>
      </c>
      <c r="C8" s="701">
        <f>'Offer Comparison'!$D$8</f>
        <v>0.05</v>
      </c>
      <c r="D8" s="541"/>
      <c r="E8" s="541"/>
      <c r="F8" s="541" t="s">
        <v>2629</v>
      </c>
    </row>
    <row r="9" spans="1:8" s="2" customFormat="1" ht="14.25">
      <c r="A9" s="541"/>
      <c r="B9" s="541" t="s">
        <v>2097</v>
      </c>
      <c r="C9" s="702">
        <f>'Offer Comparison'!$D$18</f>
        <v>261</v>
      </c>
      <c r="D9" s="541"/>
      <c r="E9" s="541"/>
      <c r="F9" s="85" t="s">
        <v>2630</v>
      </c>
    </row>
    <row r="10" spans="1:8" s="2" customFormat="1" ht="14.25">
      <c r="A10" s="541"/>
      <c r="B10" s="541" t="s">
        <v>2088</v>
      </c>
      <c r="C10" s="606">
        <f>C9*12</f>
        <v>3132</v>
      </c>
      <c r="D10" s="541"/>
      <c r="E10" s="541"/>
      <c r="F10" s="85"/>
    </row>
    <row r="11" spans="1:8" s="2" customFormat="1" ht="14.25">
      <c r="A11" s="541"/>
      <c r="B11" s="541" t="s">
        <v>2086</v>
      </c>
      <c r="C11" s="607">
        <f>IFERROR(C176/C10,0)</f>
        <v>15.964240102171138</v>
      </c>
      <c r="D11" s="541"/>
      <c r="E11" s="541"/>
      <c r="F11" s="541" t="s">
        <v>2631</v>
      </c>
    </row>
    <row r="12" spans="1:8" s="2" customFormat="1" ht="14.25">
      <c r="A12" s="541"/>
      <c r="B12" s="541" t="s">
        <v>2087</v>
      </c>
      <c r="C12" s="608">
        <f>C11</f>
        <v>15.964240102171138</v>
      </c>
      <c r="D12" s="541"/>
      <c r="E12" s="541"/>
      <c r="F12" s="541" t="s">
        <v>2632</v>
      </c>
    </row>
    <row r="13" spans="1:8" s="2" customFormat="1" ht="14.25">
      <c r="A13" s="541"/>
      <c r="B13" s="541" t="s">
        <v>2098</v>
      </c>
      <c r="C13" s="53">
        <f>'Offer Comparison'!$D$19</f>
        <v>325</v>
      </c>
      <c r="D13" s="541"/>
      <c r="E13" s="541"/>
      <c r="F13" s="85" t="s">
        <v>2633</v>
      </c>
    </row>
    <row r="14" spans="1:8" s="2" customFormat="1" ht="14.25">
      <c r="A14" s="541"/>
      <c r="B14" s="541" t="s">
        <v>2078</v>
      </c>
      <c r="C14" s="609">
        <f>C10/C13</f>
        <v>9.6369230769230771</v>
      </c>
      <c r="D14" s="541"/>
      <c r="E14" s="541"/>
      <c r="F14" s="541"/>
    </row>
    <row r="15" spans="1:8" s="2" customFormat="1" ht="14.25">
      <c r="A15" s="541"/>
      <c r="B15" s="541" t="s">
        <v>2079</v>
      </c>
      <c r="C15" s="53">
        <f>'Offer Comparison'!$D$20</f>
        <v>65</v>
      </c>
      <c r="D15" s="541"/>
      <c r="E15" s="541"/>
      <c r="F15" s="85" t="s">
        <v>2634</v>
      </c>
    </row>
    <row r="16" spans="1:8" s="2" customFormat="1" ht="14.25">
      <c r="A16" s="541"/>
      <c r="B16" s="576" t="s">
        <v>2083</v>
      </c>
      <c r="C16" s="593">
        <f>C15*$C$7</f>
        <v>325</v>
      </c>
      <c r="D16" s="541"/>
      <c r="E16" s="541"/>
      <c r="F16" s="541"/>
    </row>
    <row r="17" spans="1:7" s="2" customFormat="1" ht="14.25">
      <c r="A17" s="541"/>
      <c r="B17" s="587" t="s">
        <v>2085</v>
      </c>
      <c r="C17" s="590">
        <f>C16*C14</f>
        <v>3132</v>
      </c>
      <c r="D17" s="541"/>
      <c r="E17" s="541"/>
      <c r="F17" s="541"/>
    </row>
    <row r="18" spans="1:7" ht="14.25" customHeight="1">
      <c r="A18" s="541"/>
      <c r="B18" s="678" t="str">
        <f>"Check - "&amp;$C$7&amp;" Year Topkey Valuation Growth"</f>
        <v>Check - 5 Year Topkey Valuation Growth</v>
      </c>
      <c r="C18" s="679">
        <f>IFERROR(D75/C75-1,0)</f>
        <v>1</v>
      </c>
      <c r="D18" s="541"/>
      <c r="E18" s="541"/>
      <c r="F18" s="541" t="s">
        <v>2635</v>
      </c>
      <c r="G18" s="2"/>
    </row>
    <row r="19" spans="1:7" ht="3.95" customHeight="1">
      <c r="A19" s="541"/>
      <c r="B19" s="552"/>
      <c r="C19" s="680"/>
      <c r="D19" s="541"/>
      <c r="E19" s="541"/>
      <c r="F19" s="541"/>
      <c r="G19" s="2"/>
    </row>
    <row r="20" spans="1:7">
      <c r="A20" s="541"/>
      <c r="B20" s="569" t="s">
        <v>2081</v>
      </c>
      <c r="C20" s="569"/>
      <c r="D20" s="541"/>
      <c r="E20" s="541"/>
      <c r="F20" s="541"/>
      <c r="G20" s="2"/>
    </row>
    <row r="21" spans="1:7" ht="15" customHeight="1">
      <c r="A21" s="541"/>
      <c r="B21" s="541" t="s">
        <v>2027</v>
      </c>
      <c r="C21" s="721">
        <f>'Offer Comparison'!$D$13</f>
        <v>1</v>
      </c>
      <c r="D21" s="541"/>
      <c r="E21" s="541"/>
      <c r="F21" s="541" t="s">
        <v>2636</v>
      </c>
      <c r="G21" s="2"/>
    </row>
    <row r="22" spans="1:7" ht="15" customHeight="1">
      <c r="A22" s="541"/>
      <c r="B22" s="541" t="s">
        <v>2109</v>
      </c>
      <c r="C22" s="721">
        <f>'Offer Comparison'!$D$14</f>
        <v>1.25</v>
      </c>
      <c r="D22" s="541"/>
      <c r="E22" s="541"/>
      <c r="F22" s="541" t="s">
        <v>2637</v>
      </c>
      <c r="G22" s="2"/>
    </row>
    <row r="23" spans="1:7">
      <c r="A23" s="541"/>
      <c r="B23" s="541" t="s">
        <v>2073</v>
      </c>
      <c r="C23" s="581">
        <f>'Offer Comparison'!$D$23</f>
        <v>16.631472994350275</v>
      </c>
      <c r="D23" s="2"/>
      <c r="E23" s="541"/>
      <c r="F23" s="541" t="s">
        <v>2638</v>
      </c>
      <c r="G23" s="2"/>
    </row>
    <row r="24" spans="1:7">
      <c r="A24" s="541"/>
      <c r="B24" s="541" t="s">
        <v>2121</v>
      </c>
      <c r="C24" s="385">
        <f>'Offer Comparison'!$D$25</f>
        <v>3</v>
      </c>
      <c r="D24" s="2"/>
      <c r="E24" s="541"/>
      <c r="F24" s="541" t="s">
        <v>2639</v>
      </c>
      <c r="G24" s="2"/>
    </row>
    <row r="25" spans="1:7">
      <c r="A25" s="541"/>
      <c r="B25" s="576" t="s">
        <v>2072</v>
      </c>
      <c r="C25" s="613">
        <f>C24*12</f>
        <v>36</v>
      </c>
      <c r="D25" s="541"/>
      <c r="E25" s="541"/>
      <c r="F25" s="541" t="s">
        <v>2122</v>
      </c>
      <c r="G25" s="2"/>
    </row>
    <row r="26" spans="1:7">
      <c r="A26" s="541"/>
      <c r="B26" s="587" t="s">
        <v>2083</v>
      </c>
      <c r="C26" s="588">
        <f>C25*$C$7</f>
        <v>180</v>
      </c>
      <c r="D26" s="541"/>
      <c r="E26" s="541"/>
      <c r="F26" s="541"/>
      <c r="G26" s="2"/>
    </row>
    <row r="27" spans="1:7">
      <c r="A27" s="541"/>
      <c r="B27" s="586" t="s">
        <v>2085</v>
      </c>
      <c r="C27" s="589">
        <f>C26*C23</f>
        <v>2993.6651389830495</v>
      </c>
      <c r="D27" s="541"/>
      <c r="E27" s="541"/>
      <c r="F27" s="541"/>
      <c r="G27" s="2"/>
    </row>
    <row r="28" spans="1:7" ht="3.95" customHeight="1">
      <c r="A28" s="541"/>
      <c r="B28" s="2"/>
      <c r="C28" s="2"/>
      <c r="D28" s="541"/>
      <c r="E28" s="541"/>
      <c r="F28" s="541"/>
      <c r="G28" s="2"/>
    </row>
    <row r="29" spans="1:7" ht="12.75" customHeight="1">
      <c r="A29" s="541"/>
      <c r="B29" s="569" t="s">
        <v>2082</v>
      </c>
      <c r="C29" s="569"/>
      <c r="D29" s="541"/>
      <c r="E29" s="541"/>
      <c r="F29" s="541"/>
      <c r="G29" s="2"/>
    </row>
    <row r="30" spans="1:7" ht="12.75" customHeight="1">
      <c r="A30" s="541"/>
      <c r="B30" s="541" t="s">
        <v>2077</v>
      </c>
      <c r="C30" s="721">
        <f>'Offer Comparison'!$D$15</f>
        <v>2</v>
      </c>
      <c r="D30" s="541"/>
      <c r="E30" s="541"/>
      <c r="F30" s="541" t="s">
        <v>2640</v>
      </c>
      <c r="G30" s="2"/>
    </row>
    <row r="31" spans="1:7" ht="12.75" customHeight="1">
      <c r="A31" s="541"/>
      <c r="B31" s="541" t="s">
        <v>2099</v>
      </c>
      <c r="C31" s="47">
        <f>'Offer Comparison'!$D$27</f>
        <v>240</v>
      </c>
      <c r="D31" s="541"/>
      <c r="E31" s="541"/>
      <c r="F31" s="541" t="s">
        <v>2641</v>
      </c>
      <c r="G31" s="2"/>
    </row>
    <row r="32" spans="1:7" ht="3.95" customHeight="1">
      <c r="A32" s="541"/>
      <c r="B32" s="541"/>
      <c r="C32" s="582"/>
      <c r="D32" s="541"/>
      <c r="E32" s="541"/>
      <c r="F32" s="541"/>
      <c r="G32" s="2"/>
    </row>
    <row r="33" spans="1:7" s="583" customFormat="1" ht="12.75" customHeight="1">
      <c r="A33" s="541"/>
      <c r="B33" s="612" t="str">
        <f>+B23</f>
        <v>Avg. Revenue Per Client</v>
      </c>
      <c r="C33" s="584">
        <f>+C23</f>
        <v>16.631472994350275</v>
      </c>
      <c r="D33" s="541"/>
      <c r="E33" s="541"/>
      <c r="F33" s="541"/>
      <c r="G33" s="612"/>
    </row>
    <row r="34" spans="1:7" s="583" customFormat="1" ht="12.75" customHeight="1">
      <c r="A34" s="541"/>
      <c r="B34" s="614" t="s">
        <v>2232</v>
      </c>
      <c r="C34" s="581">
        <f>'Offer Comparison'!$D$28</f>
        <v>0</v>
      </c>
      <c r="D34" s="541"/>
      <c r="E34" s="541"/>
      <c r="F34" s="541" t="s">
        <v>2642</v>
      </c>
      <c r="G34" s="612"/>
    </row>
    <row r="35" spans="1:7" s="583" customFormat="1" ht="12.75" customHeight="1">
      <c r="A35" s="541"/>
      <c r="B35" s="60" t="s">
        <v>2075</v>
      </c>
      <c r="C35" s="383">
        <f>+C33+C34</f>
        <v>16.631472994350275</v>
      </c>
      <c r="D35" s="541"/>
      <c r="E35" s="541"/>
      <c r="F35" s="541"/>
      <c r="G35" s="612"/>
    </row>
    <row r="36" spans="1:7" s="583" customFormat="1" ht="3.95" customHeight="1">
      <c r="A36" s="541"/>
      <c r="B36" s="612"/>
      <c r="C36" s="612"/>
      <c r="D36" s="541"/>
      <c r="E36" s="541"/>
      <c r="F36" s="541"/>
      <c r="G36" s="612"/>
    </row>
    <row r="37" spans="1:7" s="583" customFormat="1" ht="12.75" customHeight="1">
      <c r="A37" s="541"/>
      <c r="B37" s="612" t="str">
        <f>+B25</f>
        <v>Annual Net Client Wins</v>
      </c>
      <c r="C37" s="83">
        <f>+C25</f>
        <v>36</v>
      </c>
      <c r="D37" s="541"/>
      <c r="E37" s="541"/>
      <c r="F37" s="541"/>
      <c r="G37" s="612"/>
    </row>
    <row r="38" spans="1:7" s="583" customFormat="1" ht="12.75" customHeight="1">
      <c r="A38" s="541"/>
      <c r="B38" s="614" t="s">
        <v>2074</v>
      </c>
      <c r="C38" s="53">
        <f>'Offer Comparison'!$D$29</f>
        <v>24</v>
      </c>
      <c r="D38" s="541"/>
      <c r="E38" s="541"/>
      <c r="F38" s="85" t="s">
        <v>2643</v>
      </c>
      <c r="G38" s="612"/>
    </row>
    <row r="39" spans="1:7" s="583" customFormat="1" ht="12.75" customHeight="1">
      <c r="A39" s="541"/>
      <c r="B39" s="104" t="s">
        <v>2084</v>
      </c>
      <c r="C39" s="585">
        <f>SUM(C37:C38)</f>
        <v>60</v>
      </c>
      <c r="D39" s="541"/>
      <c r="E39" s="541"/>
      <c r="F39" s="541"/>
      <c r="G39" s="612"/>
    </row>
    <row r="40" spans="1:7">
      <c r="A40" s="541"/>
      <c r="B40" s="587" t="s">
        <v>2083</v>
      </c>
      <c r="C40" s="588">
        <f>C39*$C$7</f>
        <v>300</v>
      </c>
      <c r="D40" s="541"/>
      <c r="E40" s="541"/>
      <c r="F40" s="541"/>
      <c r="G40" s="2"/>
    </row>
    <row r="41" spans="1:7">
      <c r="A41" s="541"/>
      <c r="B41" s="587" t="s">
        <v>2085</v>
      </c>
      <c r="C41" s="590">
        <f>C40*C35</f>
        <v>4989.4418983050828</v>
      </c>
      <c r="D41" s="541"/>
      <c r="E41" s="541"/>
      <c r="F41" s="541"/>
      <c r="G41" s="2"/>
    </row>
    <row r="42" spans="1:7">
      <c r="A42" s="541"/>
      <c r="B42" s="662" t="s">
        <v>2089</v>
      </c>
      <c r="C42" s="663">
        <f>C41-C27</f>
        <v>1995.7767593220333</v>
      </c>
      <c r="D42" s="541"/>
      <c r="E42" s="541"/>
      <c r="F42" s="541"/>
      <c r="G42" s="2"/>
    </row>
    <row r="43" spans="1:7" s="583" customFormat="1" ht="3.95" customHeight="1">
      <c r="A43" s="541"/>
      <c r="B43" s="612"/>
      <c r="C43" s="612"/>
      <c r="D43" s="541"/>
      <c r="E43" s="541"/>
      <c r="F43" s="541"/>
      <c r="G43" s="612"/>
    </row>
    <row r="44" spans="1:7" s="583" customFormat="1" ht="15" customHeight="1">
      <c r="A44" s="541"/>
      <c r="B44" s="569" t="s">
        <v>2298</v>
      </c>
      <c r="C44" s="569"/>
      <c r="D44" s="541"/>
      <c r="E44" s="541"/>
      <c r="F44" s="452"/>
      <c r="G44" s="612"/>
    </row>
    <row r="45" spans="1:7" s="583" customFormat="1" ht="15" customHeight="1">
      <c r="A45" s="541"/>
      <c r="B45" s="541" t="s">
        <v>2254</v>
      </c>
      <c r="C45" s="82">
        <v>3</v>
      </c>
      <c r="D45" s="541"/>
      <c r="E45" s="541"/>
      <c r="F45" s="452" t="s">
        <v>2644</v>
      </c>
      <c r="G45" s="612"/>
    </row>
    <row r="46" spans="1:7" s="583" customFormat="1" ht="15" customHeight="1">
      <c r="A46" s="541"/>
      <c r="B46" s="541" t="s">
        <v>2255</v>
      </c>
      <c r="C46" s="86">
        <f>C172</f>
        <v>2998.5410200000001</v>
      </c>
      <c r="D46" s="541"/>
      <c r="E46" s="541"/>
      <c r="F46" s="452" t="s">
        <v>2645</v>
      </c>
      <c r="G46" s="612"/>
    </row>
    <row r="47" spans="1:7" s="583" customFormat="1" ht="15" customHeight="1">
      <c r="A47" s="541"/>
      <c r="B47" s="541" t="s">
        <v>2311</v>
      </c>
      <c r="C47" s="154">
        <f>C46+C41*(C45-(C56-1)/2/12)/C7</f>
        <v>5909.048794011298</v>
      </c>
      <c r="D47" s="541"/>
      <c r="E47" s="541"/>
      <c r="F47" s="452" t="s">
        <v>2312</v>
      </c>
      <c r="G47" s="612"/>
    </row>
    <row r="48" spans="1:7" s="583" customFormat="1" ht="15" customHeight="1">
      <c r="A48" s="541"/>
      <c r="B48" s="558" t="s">
        <v>2256</v>
      </c>
      <c r="C48" s="618">
        <v>1</v>
      </c>
      <c r="D48" s="541"/>
      <c r="E48" s="541"/>
      <c r="F48" s="452" t="s">
        <v>2262</v>
      </c>
      <c r="G48" s="612"/>
    </row>
    <row r="49" spans="1:7" s="583" customFormat="1" ht="15" customHeight="1">
      <c r="A49" s="541"/>
      <c r="B49" s="664" t="s">
        <v>2313</v>
      </c>
      <c r="C49" s="665">
        <f>C47*C48</f>
        <v>5909.048794011298</v>
      </c>
      <c r="D49" s="541"/>
      <c r="E49" s="541"/>
      <c r="F49" s="452"/>
      <c r="G49" s="612"/>
    </row>
    <row r="50" spans="1:7" s="583" customFormat="1" ht="15" customHeight="1">
      <c r="A50" s="541"/>
      <c r="B50" s="541" t="s">
        <v>2257</v>
      </c>
      <c r="C50" s="618">
        <v>0.8</v>
      </c>
      <c r="D50" s="541"/>
      <c r="E50" s="541"/>
      <c r="F50" s="452" t="s">
        <v>2304</v>
      </c>
      <c r="G50" s="612"/>
    </row>
    <row r="51" spans="1:7" s="583" customFormat="1" ht="15" customHeight="1">
      <c r="A51" s="541"/>
      <c r="B51" s="541" t="s">
        <v>2299</v>
      </c>
      <c r="C51" s="46">
        <v>500</v>
      </c>
      <c r="D51" s="541"/>
      <c r="E51" s="541"/>
      <c r="F51" s="452" t="s">
        <v>2305</v>
      </c>
      <c r="G51" s="612"/>
    </row>
    <row r="52" spans="1:7" s="583" customFormat="1" ht="15" customHeight="1">
      <c r="A52" s="541"/>
      <c r="B52" s="541" t="s">
        <v>2300</v>
      </c>
      <c r="C52" s="618">
        <v>0.5</v>
      </c>
      <c r="D52" s="541"/>
      <c r="E52" s="541"/>
      <c r="F52" s="452" t="s">
        <v>2306</v>
      </c>
      <c r="G52" s="612"/>
    </row>
    <row r="53" spans="1:7" s="583" customFormat="1" ht="15" customHeight="1">
      <c r="A53" s="541"/>
      <c r="B53" s="541" t="s">
        <v>2301</v>
      </c>
      <c r="C53" s="618">
        <v>1.5</v>
      </c>
      <c r="D53" s="541"/>
      <c r="E53" s="541"/>
      <c r="F53" s="452" t="s">
        <v>2646</v>
      </c>
      <c r="G53" s="612"/>
    </row>
    <row r="54" spans="1:7" s="583" customFormat="1" ht="15" customHeight="1">
      <c r="A54" s="541"/>
      <c r="B54" s="541" t="s">
        <v>2302</v>
      </c>
      <c r="C54" s="616">
        <f>IF(C48&lt;C50,0,MIN(C53,C52+(1-C52)*(C48-C50)/(1-C50)))</f>
        <v>1</v>
      </c>
      <c r="D54" s="541"/>
      <c r="E54" s="541"/>
      <c r="F54" s="452" t="s">
        <v>2307</v>
      </c>
      <c r="G54" s="612"/>
    </row>
    <row r="55" spans="1:7" s="583" customFormat="1" ht="15" customHeight="1">
      <c r="A55" s="541"/>
      <c r="B55" s="541" t="s">
        <v>2303</v>
      </c>
      <c r="C55" s="154">
        <f>C51*C53</f>
        <v>750</v>
      </c>
      <c r="D55" s="541"/>
      <c r="E55" s="541"/>
      <c r="F55" s="452" t="s">
        <v>2308</v>
      </c>
      <c r="G55" s="612"/>
    </row>
    <row r="56" spans="1:7" s="583" customFormat="1" ht="15" customHeight="1">
      <c r="A56" s="541"/>
      <c r="B56" s="541" t="s">
        <v>2309</v>
      </c>
      <c r="C56" s="82">
        <v>3</v>
      </c>
      <c r="D56" s="541"/>
      <c r="E56" s="541"/>
      <c r="F56" s="452" t="s">
        <v>2310</v>
      </c>
      <c r="G56" s="612"/>
    </row>
    <row r="57" spans="1:7" s="583" customFormat="1" ht="15" customHeight="1">
      <c r="A57" s="541"/>
      <c r="B57" s="537" t="s">
        <v>2258</v>
      </c>
      <c r="C57" s="594">
        <f>C51*C54</f>
        <v>500</v>
      </c>
      <c r="D57" s="539"/>
      <c r="E57" s="541"/>
      <c r="F57" s="452" t="s">
        <v>2647</v>
      </c>
      <c r="G57" s="612"/>
    </row>
    <row r="58" spans="1:7" s="583" customFormat="1" ht="15" customHeight="1">
      <c r="A58" s="541"/>
      <c r="B58" s="541" t="s">
        <v>2259</v>
      </c>
      <c r="C58" s="618">
        <v>0.7</v>
      </c>
      <c r="D58" s="541"/>
      <c r="E58" s="541"/>
      <c r="F58" s="452" t="s">
        <v>2263</v>
      </c>
      <c r="G58" s="612"/>
    </row>
    <row r="59" spans="1:7" s="583" customFormat="1" ht="15" customHeight="1">
      <c r="A59" s="541"/>
      <c r="B59" s="541" t="s">
        <v>2260</v>
      </c>
      <c r="C59" s="611">
        <v>0.15</v>
      </c>
      <c r="D59" s="541"/>
      <c r="E59" s="541"/>
      <c r="F59" s="452" t="s">
        <v>2263</v>
      </c>
      <c r="G59" s="612"/>
    </row>
    <row r="60" spans="1:7" s="583" customFormat="1" ht="15" customHeight="1">
      <c r="A60" s="541"/>
      <c r="B60" s="541" t="s">
        <v>2261</v>
      </c>
      <c r="C60" s="542">
        <f>C57*C58/(1+C59)^C45</f>
        <v>230.13068135119593</v>
      </c>
      <c r="D60" s="541"/>
      <c r="E60" s="541"/>
      <c r="F60" s="452" t="s">
        <v>2264</v>
      </c>
      <c r="G60" s="612"/>
    </row>
    <row r="61" spans="1:7" s="583" customFormat="1" ht="3.95" customHeight="1">
      <c r="A61" s="541"/>
      <c r="B61" s="612"/>
      <c r="C61" s="612"/>
      <c r="D61" s="541"/>
      <c r="E61" s="541"/>
      <c r="F61" s="541"/>
      <c r="G61" s="612"/>
    </row>
    <row r="62" spans="1:7" s="583" customFormat="1" ht="15" customHeight="1">
      <c r="A62" s="541"/>
      <c r="B62" s="454" t="s">
        <v>2351</v>
      </c>
      <c r="C62" s="455" t="str">
        <f>C$171</f>
        <v>Today</v>
      </c>
      <c r="D62" s="455" t="s">
        <v>1861</v>
      </c>
      <c r="E62" s="452"/>
      <c r="F62" s="452"/>
      <c r="G62" s="612"/>
    </row>
    <row r="63" spans="1:7" s="583" customFormat="1" ht="15" customHeight="1">
      <c r="A63" s="541"/>
      <c r="B63" s="452" t="s">
        <v>2055</v>
      </c>
      <c r="C63" s="429">
        <f>$C$174</f>
        <v>500</v>
      </c>
      <c r="D63" s="528">
        <f>IFERROR(C63/C$65,0)</f>
        <v>0.16666666666666666</v>
      </c>
      <c r="E63" s="452"/>
      <c r="F63" s="452" t="s">
        <v>2511</v>
      </c>
      <c r="G63" s="612"/>
    </row>
    <row r="64" spans="1:7" s="583" customFormat="1" ht="15" customHeight="1">
      <c r="A64" s="541"/>
      <c r="B64" s="559" t="s">
        <v>2268</v>
      </c>
      <c r="C64" s="433">
        <f>$C$175</f>
        <v>2500</v>
      </c>
      <c r="D64" s="528">
        <f>IFERROR(C64/C$65,0)</f>
        <v>0.83333333333333337</v>
      </c>
      <c r="E64" s="452"/>
      <c r="F64" s="452" t="s">
        <v>2512</v>
      </c>
      <c r="G64" s="612"/>
    </row>
    <row r="65" spans="1:7" s="583" customFormat="1" ht="15" customHeight="1">
      <c r="A65" s="541"/>
      <c r="B65" s="773" t="s">
        <v>2507</v>
      </c>
      <c r="C65" s="441">
        <f>SUM(C63:C64)</f>
        <v>3000</v>
      </c>
      <c r="D65" s="774">
        <f>IFERROR(C65/C$65,0)</f>
        <v>1</v>
      </c>
      <c r="E65" s="452"/>
      <c r="F65" s="452" t="s">
        <v>2513</v>
      </c>
      <c r="G65" s="612"/>
    </row>
    <row r="66" spans="1:7" s="583" customFormat="1" ht="15" customHeight="1">
      <c r="A66" s="541"/>
      <c r="B66" s="559" t="s">
        <v>2508</v>
      </c>
      <c r="C66" s="433">
        <f>$C$57</f>
        <v>500</v>
      </c>
      <c r="D66" s="528">
        <f>IFERROR(C66/C$65,0)</f>
        <v>0.16666666666666666</v>
      </c>
      <c r="E66" s="452"/>
      <c r="F66" s="452" t="s">
        <v>2509</v>
      </c>
      <c r="G66" s="612"/>
    </row>
    <row r="67" spans="1:7" s="583" customFormat="1" ht="15" customHeight="1">
      <c r="A67" s="541"/>
      <c r="B67" s="521" t="s">
        <v>2510</v>
      </c>
      <c r="C67" s="525">
        <f>C65+C66</f>
        <v>3500</v>
      </c>
      <c r="D67" s="778">
        <f>IFERROR(C67/C$65,0)</f>
        <v>1.1666666666666667</v>
      </c>
      <c r="E67" s="452"/>
      <c r="F67" s="452" t="s">
        <v>2648</v>
      </c>
      <c r="G67" s="612"/>
    </row>
    <row r="68" spans="1:7" s="583" customFormat="1" ht="3.95" customHeight="1">
      <c r="A68" s="541"/>
      <c r="B68" s="452"/>
      <c r="C68" s="452"/>
      <c r="D68" s="452"/>
      <c r="E68" s="452"/>
      <c r="F68" s="452"/>
      <c r="G68" s="612"/>
    </row>
    <row r="69" spans="1:7">
      <c r="A69" s="541"/>
      <c r="B69" s="370" t="s">
        <v>2003</v>
      </c>
      <c r="C69" s="371" t="str">
        <f>C$171</f>
        <v>Today</v>
      </c>
      <c r="D69" s="371" t="str">
        <f>"Year "&amp;$C$7</f>
        <v>Year 5</v>
      </c>
      <c r="E69" s="541"/>
      <c r="F69" s="541"/>
      <c r="G69" s="2"/>
    </row>
    <row r="70" spans="1:7">
      <c r="A70" s="541"/>
      <c r="B70" s="541" t="s">
        <v>2005</v>
      </c>
      <c r="C70" s="166">
        <f>ROUND(C172*C21,-1)</f>
        <v>3000</v>
      </c>
      <c r="D70" s="542">
        <f>(C172+C27)*$C$22</f>
        <v>7490.2576987288121</v>
      </c>
      <c r="E70" s="541"/>
      <c r="F70" s="541" t="s">
        <v>2649</v>
      </c>
      <c r="G70" s="2"/>
    </row>
    <row r="71" spans="1:7">
      <c r="A71" s="541"/>
      <c r="B71" s="541" t="s">
        <v>2006</v>
      </c>
      <c r="C71" s="618">
        <v>1</v>
      </c>
      <c r="D71" s="543">
        <f>$C$71</f>
        <v>1</v>
      </c>
      <c r="E71" s="541"/>
      <c r="F71" s="541"/>
      <c r="G71" s="2"/>
    </row>
    <row r="72" spans="1:7">
      <c r="A72" s="541"/>
      <c r="B72" s="537" t="s">
        <v>2058</v>
      </c>
      <c r="C72" s="551">
        <f>C70*C71</f>
        <v>3000</v>
      </c>
      <c r="D72" s="594">
        <f>D70*D71</f>
        <v>7490.2576987288121</v>
      </c>
      <c r="E72" s="541"/>
      <c r="F72" s="541"/>
      <c r="G72" s="2"/>
    </row>
    <row r="73" spans="1:7" ht="3.95" customHeight="1">
      <c r="A73" s="541"/>
      <c r="B73" s="541"/>
      <c r="C73" s="541"/>
      <c r="D73" s="541"/>
      <c r="E73" s="541"/>
      <c r="F73" s="541"/>
      <c r="G73" s="2"/>
    </row>
    <row r="74" spans="1:7">
      <c r="A74" s="541"/>
      <c r="B74" s="370" t="s">
        <v>2010</v>
      </c>
      <c r="C74" s="371" t="str">
        <f>C$171</f>
        <v>Today</v>
      </c>
      <c r="D74" s="371" t="str">
        <f>D$69</f>
        <v>Year 5</v>
      </c>
      <c r="E74" s="541"/>
      <c r="F74" s="541"/>
      <c r="G74" s="2"/>
    </row>
    <row r="75" spans="1:7">
      <c r="A75" s="541"/>
      <c r="B75" s="541" t="s">
        <v>2059</v>
      </c>
      <c r="C75" s="86">
        <f>C179</f>
        <v>49500</v>
      </c>
      <c r="D75" s="542">
        <f>(C10+C17)*C12-C174-$C$57</f>
        <v>99000</v>
      </c>
      <c r="E75" s="541"/>
      <c r="F75" s="541"/>
      <c r="G75" s="2"/>
    </row>
    <row r="76" spans="1:7">
      <c r="A76" s="541"/>
      <c r="B76" s="558" t="s">
        <v>2060</v>
      </c>
      <c r="C76" s="83">
        <f>C70</f>
        <v>3000</v>
      </c>
      <c r="D76" s="154">
        <f>(C41+C172)*C30</f>
        <v>15975.965836610165</v>
      </c>
      <c r="E76" s="541"/>
      <c r="F76" s="541" t="s">
        <v>2108</v>
      </c>
      <c r="G76" s="2"/>
    </row>
    <row r="77" spans="1:7">
      <c r="A77" s="541"/>
      <c r="B77" s="536" t="s">
        <v>2061</v>
      </c>
      <c r="C77" s="550">
        <f>C75+C76</f>
        <v>52500</v>
      </c>
      <c r="D77" s="550">
        <f>D75+D76</f>
        <v>114975.96583661016</v>
      </c>
      <c r="E77" s="541"/>
      <c r="F77" s="154"/>
      <c r="G77" s="2"/>
    </row>
    <row r="78" spans="1:7">
      <c r="A78" s="541"/>
      <c r="B78" s="541" t="s">
        <v>2062</v>
      </c>
      <c r="C78" s="154">
        <f>C77*$C$178</f>
        <v>2500</v>
      </c>
      <c r="D78" s="154">
        <f>D77*$D$178</f>
        <v>5201.293692608554</v>
      </c>
      <c r="E78" s="541"/>
      <c r="F78" s="541"/>
      <c r="G78" s="2"/>
    </row>
    <row r="79" spans="1:7">
      <c r="A79" s="541"/>
      <c r="B79" s="558" t="s">
        <v>2063</v>
      </c>
      <c r="C79" s="83">
        <f>$C$174</f>
        <v>500</v>
      </c>
      <c r="D79" s="83">
        <f>$C$174</f>
        <v>500</v>
      </c>
      <c r="E79" s="541"/>
      <c r="F79" s="541"/>
      <c r="G79" s="2"/>
    </row>
    <row r="80" spans="1:7" ht="15" customHeight="1">
      <c r="A80" s="541"/>
      <c r="B80" s="558" t="s">
        <v>2265</v>
      </c>
      <c r="C80" s="83"/>
      <c r="D80" s="83">
        <f>$C$57</f>
        <v>500</v>
      </c>
      <c r="E80" s="541"/>
      <c r="F80" s="452"/>
      <c r="G80" s="2"/>
    </row>
    <row r="81" spans="1:7">
      <c r="A81" s="541"/>
      <c r="B81" s="537" t="s">
        <v>2064</v>
      </c>
      <c r="C81" s="551">
        <f>C78+C79+C80</f>
        <v>3000</v>
      </c>
      <c r="D81" s="594">
        <f>D78+D79+D80</f>
        <v>6201.293692608554</v>
      </c>
      <c r="E81" s="541"/>
      <c r="F81" s="452"/>
      <c r="G81" s="2"/>
    </row>
    <row r="82" spans="1:7" ht="3.95" customHeight="1">
      <c r="A82" s="541"/>
      <c r="B82" s="541"/>
      <c r="C82" s="541"/>
      <c r="D82" s="541"/>
      <c r="E82" s="541"/>
      <c r="F82" s="452"/>
      <c r="G82" s="2"/>
    </row>
    <row r="83" spans="1:7">
      <c r="A83" s="541"/>
      <c r="B83" s="370" t="s">
        <v>2070</v>
      </c>
      <c r="C83" s="371" t="str">
        <f>C$171</f>
        <v>Today</v>
      </c>
      <c r="D83" s="371" t="str">
        <f>D$69</f>
        <v>Year 5</v>
      </c>
      <c r="E83" s="541"/>
      <c r="F83" s="452"/>
      <c r="G83" s="2"/>
    </row>
    <row r="84" spans="1:7">
      <c r="A84" s="541"/>
      <c r="B84" s="576" t="s">
        <v>2071</v>
      </c>
      <c r="C84" s="595">
        <f>C81-C72</f>
        <v>0</v>
      </c>
      <c r="D84" s="596">
        <f>D81-D72</f>
        <v>-1288.9640061202581</v>
      </c>
      <c r="E84" s="541"/>
      <c r="F84" s="452"/>
      <c r="G84" s="2"/>
    </row>
    <row r="85" spans="1:7">
      <c r="A85" s="541"/>
      <c r="B85" s="666" t="s">
        <v>285</v>
      </c>
      <c r="C85" s="610">
        <f>IFERROR(C81/C72-1,0)</f>
        <v>0</v>
      </c>
      <c r="D85" s="667">
        <f>IFERROR(D81/D72-1,0)</f>
        <v>-0.17208540185994015</v>
      </c>
      <c r="E85" s="541"/>
      <c r="F85" s="452"/>
      <c r="G85" s="2"/>
    </row>
    <row r="86" spans="1:7" ht="15" customHeight="1">
      <c r="A86" s="541"/>
      <c r="B86" s="587" t="s">
        <v>2314</v>
      </c>
      <c r="C86" s="668"/>
      <c r="D86" s="669">
        <f>IFERROR(D81/C173,0)</f>
        <v>2.0670978975361849</v>
      </c>
      <c r="E86" s="541"/>
      <c r="F86" s="541" t="s">
        <v>2650</v>
      </c>
      <c r="G86" s="2"/>
    </row>
    <row r="87" spans="1:7" ht="15" customHeight="1">
      <c r="A87" s="541"/>
      <c r="B87" s="587" t="s">
        <v>2315</v>
      </c>
      <c r="C87" s="668"/>
      <c r="D87" s="670">
        <f>IFERROR(IRR(D199:D204),0)</f>
        <v>0.18762214777801023</v>
      </c>
      <c r="E87" s="541"/>
      <c r="F87" s="541" t="s">
        <v>2651</v>
      </c>
      <c r="G87" s="2"/>
    </row>
    <row r="88" spans="1:7">
      <c r="A88" s="541"/>
      <c r="B88" s="587" t="s">
        <v>2740</v>
      </c>
      <c r="C88" s="597"/>
      <c r="D88" s="601">
        <f>IFERROR((((D72-$C$174-$C$57)/$D$178-D76+$C$57)/$C$179)^(1/C$7)-1,0)</f>
        <v>0.2092500897368037</v>
      </c>
      <c r="E88" s="541"/>
      <c r="F88" s="452"/>
      <c r="G88" s="2"/>
    </row>
    <row r="89" spans="1:7">
      <c r="A89" s="541"/>
      <c r="B89" s="586" t="s">
        <v>2741</v>
      </c>
      <c r="C89" s="602"/>
      <c r="D89" s="565">
        <f>IFERROR(((D75+$C$57)/$C$179)^(1/$C$7)-1,0)</f>
        <v>0.14985631940069477</v>
      </c>
      <c r="E89" s="541"/>
      <c r="F89" s="452"/>
      <c r="G89" s="2"/>
    </row>
    <row r="90" spans="1:7" ht="3.95" customHeight="1">
      <c r="A90" s="541"/>
      <c r="B90" s="541"/>
      <c r="C90" s="541"/>
      <c r="D90" s="541"/>
      <c r="E90" s="541"/>
      <c r="F90" s="452"/>
      <c r="G90" s="2"/>
    </row>
    <row r="91" spans="1:7" ht="15" customHeight="1">
      <c r="A91" s="541"/>
      <c r="B91" s="370" t="s">
        <v>2282</v>
      </c>
      <c r="C91" s="604" t="s">
        <v>1197</v>
      </c>
      <c r="D91" s="541"/>
      <c r="E91" s="541"/>
      <c r="F91" s="452"/>
      <c r="G91" s="2"/>
    </row>
    <row r="92" spans="1:7" ht="15" customHeight="1">
      <c r="A92" s="541"/>
      <c r="B92" s="541" t="s">
        <v>2267</v>
      </c>
      <c r="C92" s="86">
        <f>C174</f>
        <v>500</v>
      </c>
      <c r="D92" s="541"/>
      <c r="E92" s="541"/>
      <c r="F92" s="452" t="s">
        <v>2652</v>
      </c>
      <c r="G92" s="2"/>
    </row>
    <row r="93" spans="1:7" ht="15" customHeight="1">
      <c r="A93" s="541"/>
      <c r="B93" s="558" t="s">
        <v>2268</v>
      </c>
      <c r="C93" s="83">
        <f>C175</f>
        <v>2500</v>
      </c>
      <c r="D93" s="541"/>
      <c r="E93" s="541"/>
      <c r="F93" s="452" t="s">
        <v>2653</v>
      </c>
      <c r="G93" s="2"/>
    </row>
    <row r="94" spans="1:7" ht="15" customHeight="1">
      <c r="A94" s="541"/>
      <c r="B94" s="558" t="s">
        <v>2265</v>
      </c>
      <c r="C94" s="83">
        <f>C57</f>
        <v>500</v>
      </c>
      <c r="D94" s="541"/>
      <c r="E94" s="541"/>
      <c r="F94" s="452" t="s">
        <v>2654</v>
      </c>
      <c r="G94" s="2"/>
    </row>
    <row r="95" spans="1:7" ht="15" customHeight="1">
      <c r="A95" s="541"/>
      <c r="B95" s="536" t="s">
        <v>2269</v>
      </c>
      <c r="C95" s="550">
        <f>SUM(C92:C94)</f>
        <v>3500</v>
      </c>
      <c r="D95" s="539"/>
      <c r="E95" s="541"/>
      <c r="F95" s="452" t="s">
        <v>2285</v>
      </c>
      <c r="G95" s="2"/>
    </row>
    <row r="96" spans="1:7" ht="15" customHeight="1">
      <c r="A96" s="541"/>
      <c r="B96" s="558" t="s">
        <v>2270</v>
      </c>
      <c r="C96" s="616">
        <f>1-'Offer Comparison'!$D$17</f>
        <v>1</v>
      </c>
      <c r="D96" s="541"/>
      <c r="E96" s="541"/>
      <c r="F96" s="452" t="s">
        <v>2655</v>
      </c>
      <c r="G96" s="2"/>
    </row>
    <row r="97" spans="1:7" ht="15" customHeight="1">
      <c r="A97" s="541"/>
      <c r="B97" s="541" t="s">
        <v>2271</v>
      </c>
      <c r="C97" s="86">
        <f>D76</f>
        <v>15975.965836610165</v>
      </c>
      <c r="D97" s="541"/>
      <c r="E97" s="541"/>
      <c r="F97" s="452" t="s">
        <v>2656</v>
      </c>
      <c r="G97" s="2"/>
    </row>
    <row r="98" spans="1:7" ht="15" customHeight="1">
      <c r="A98" s="541"/>
      <c r="B98" s="576" t="s">
        <v>2272</v>
      </c>
      <c r="C98" s="596">
        <f>C96*C97</f>
        <v>15975.965836610165</v>
      </c>
      <c r="D98" s="539"/>
      <c r="E98" s="541"/>
      <c r="F98" s="452" t="s">
        <v>2283</v>
      </c>
      <c r="G98" s="2"/>
    </row>
    <row r="99" spans="1:7" ht="15" customHeight="1">
      <c r="A99" s="541"/>
      <c r="B99" s="587" t="s">
        <v>2273</v>
      </c>
      <c r="C99" s="671">
        <f>IFERROR(C98/C95,0)</f>
        <v>4.5645616676029039</v>
      </c>
      <c r="D99" s="539"/>
      <c r="E99" s="541"/>
      <c r="F99" s="452" t="s">
        <v>2278</v>
      </c>
      <c r="G99" s="2"/>
    </row>
    <row r="100" spans="1:7" ht="15" customHeight="1">
      <c r="A100" s="541"/>
      <c r="B100" s="586" t="s">
        <v>2276</v>
      </c>
      <c r="C100" s="672">
        <f>IFERROR(IRR(D191:D196),0)</f>
        <v>0.38016247067825559</v>
      </c>
      <c r="D100" s="539"/>
      <c r="E100" s="541"/>
      <c r="F100" s="452" t="s">
        <v>2657</v>
      </c>
      <c r="G100" s="2"/>
    </row>
    <row r="101" spans="1:7" ht="3.95" customHeight="1">
      <c r="A101" s="541"/>
      <c r="B101" s="541"/>
      <c r="C101" s="541"/>
      <c r="D101" s="541"/>
      <c r="E101" s="541"/>
      <c r="F101" s="452"/>
      <c r="G101" s="2"/>
    </row>
    <row r="102" spans="1:7">
      <c r="A102" s="541"/>
      <c r="B102" s="535" t="s">
        <v>2112</v>
      </c>
      <c r="C102" s="534" t="str">
        <f>D$69</f>
        <v>Year 5</v>
      </c>
      <c r="D102" s="2"/>
      <c r="E102" s="541"/>
      <c r="F102" s="452"/>
      <c r="G102" s="2"/>
    </row>
    <row r="103" spans="1:7">
      <c r="A103" s="541"/>
      <c r="B103" s="612" t="s">
        <v>2110</v>
      </c>
      <c r="C103" s="542">
        <f>+C27+C172</f>
        <v>5992.20615898305</v>
      </c>
      <c r="D103" s="541"/>
      <c r="E103" s="541"/>
      <c r="F103" s="452"/>
      <c r="G103" s="2"/>
    </row>
    <row r="104" spans="1:7" s="583" customFormat="1" ht="12">
      <c r="A104" s="541"/>
      <c r="B104" s="614" t="s">
        <v>2092</v>
      </c>
      <c r="C104" s="611">
        <v>0.15</v>
      </c>
      <c r="D104" s="598"/>
      <c r="E104" s="541"/>
      <c r="F104" s="452" t="s">
        <v>2105</v>
      </c>
      <c r="G104" s="612"/>
    </row>
    <row r="105" spans="1:7" s="583" customFormat="1" ht="12">
      <c r="A105" s="541"/>
      <c r="B105" s="599" t="s">
        <v>2093</v>
      </c>
      <c r="C105" s="125">
        <f>C104*C103</f>
        <v>898.83092384745748</v>
      </c>
      <c r="D105" s="541"/>
      <c r="E105" s="541"/>
      <c r="F105" s="452"/>
      <c r="G105" s="612"/>
    </row>
    <row r="106" spans="1:7">
      <c r="A106" s="541"/>
      <c r="B106" s="612" t="s">
        <v>2091</v>
      </c>
      <c r="C106" s="83">
        <f>+D72</f>
        <v>7490.2576987288121</v>
      </c>
      <c r="D106" s="541"/>
      <c r="E106" s="541"/>
      <c r="F106" s="452"/>
      <c r="G106" s="2"/>
    </row>
    <row r="107" spans="1:7">
      <c r="A107" s="541"/>
      <c r="B107" s="60" t="s">
        <v>2094</v>
      </c>
      <c r="C107" s="600">
        <f>C106/C105</f>
        <v>8.3333333333333339</v>
      </c>
      <c r="D107" s="541"/>
      <c r="E107" s="541"/>
      <c r="F107" s="452"/>
      <c r="G107" s="2"/>
    </row>
    <row r="108" spans="1:7" ht="3.95" customHeight="1">
      <c r="A108" s="541"/>
      <c r="B108" s="214"/>
      <c r="C108" s="615"/>
      <c r="D108" s="541"/>
      <c r="E108" s="541"/>
      <c r="F108" s="452"/>
      <c r="G108" s="2"/>
    </row>
    <row r="109" spans="1:7">
      <c r="A109" s="541"/>
      <c r="B109" s="535" t="s">
        <v>2113</v>
      </c>
      <c r="C109" s="534" t="str">
        <f>D$69</f>
        <v>Year 5</v>
      </c>
      <c r="D109" s="2"/>
      <c r="E109" s="541"/>
      <c r="F109" s="452"/>
      <c r="G109" s="2"/>
    </row>
    <row r="110" spans="1:7">
      <c r="A110" s="541"/>
      <c r="B110" s="612" t="s">
        <v>2090</v>
      </c>
      <c r="C110" s="542">
        <f>+C41+C172</f>
        <v>7987.9829183050824</v>
      </c>
      <c r="D110" s="541"/>
      <c r="E110" s="541"/>
      <c r="F110" s="452"/>
      <c r="G110" s="2"/>
    </row>
    <row r="111" spans="1:7" s="583" customFormat="1" ht="12">
      <c r="A111" s="541"/>
      <c r="B111" s="614" t="s">
        <v>2092</v>
      </c>
      <c r="C111" s="611">
        <v>0.2</v>
      </c>
      <c r="D111" s="541"/>
      <c r="E111" s="541"/>
      <c r="F111" s="452" t="s">
        <v>2111</v>
      </c>
      <c r="G111" s="612"/>
    </row>
    <row r="112" spans="1:7" s="583" customFormat="1" ht="12">
      <c r="A112" s="541"/>
      <c r="B112" s="599" t="s">
        <v>2093</v>
      </c>
      <c r="C112" s="125">
        <f>C111*C110</f>
        <v>1597.5965836610167</v>
      </c>
      <c r="D112" s="541"/>
      <c r="E112" s="541"/>
      <c r="F112" s="452"/>
      <c r="G112" s="612"/>
    </row>
    <row r="113" spans="1:7">
      <c r="A113" s="541"/>
      <c r="B113" s="612" t="s">
        <v>2091</v>
      </c>
      <c r="C113" s="83">
        <f>D76</f>
        <v>15975.965836610165</v>
      </c>
      <c r="D113" s="541"/>
      <c r="E113" s="541"/>
      <c r="F113" s="452"/>
      <c r="G113" s="2"/>
    </row>
    <row r="114" spans="1:7">
      <c r="A114" s="541"/>
      <c r="B114" s="60" t="s">
        <v>2094</v>
      </c>
      <c r="C114" s="600">
        <f>C113/C112</f>
        <v>9.9999999999999982</v>
      </c>
      <c r="D114" s="541"/>
      <c r="E114" s="541"/>
      <c r="F114" s="452"/>
      <c r="G114" s="2"/>
    </row>
    <row r="115" spans="1:7" ht="3.95" customHeight="1">
      <c r="A115" s="541"/>
      <c r="B115" s="214"/>
      <c r="C115" s="615"/>
      <c r="D115" s="541"/>
      <c r="E115" s="541"/>
      <c r="F115" s="452"/>
      <c r="G115" s="2"/>
    </row>
    <row r="116" spans="1:7">
      <c r="A116" s="541"/>
      <c r="B116" s="370" t="s">
        <v>2161</v>
      </c>
      <c r="C116" s="617" t="str">
        <f>"Year "&amp;$C$7</f>
        <v>Year 5</v>
      </c>
      <c r="D116" s="617" t="s">
        <v>1861</v>
      </c>
      <c r="E116" s="541"/>
      <c r="F116" s="452"/>
      <c r="G116" s="2"/>
    </row>
    <row r="117" spans="1:7" ht="15" customHeight="1">
      <c r="A117" s="541"/>
      <c r="B117" s="541" t="s">
        <v>2123</v>
      </c>
      <c r="C117" s="542">
        <f>D75*$D$178</f>
        <v>4478.5714285714275</v>
      </c>
      <c r="D117" s="616">
        <f>IFERROR(C117/C$121,0)</f>
        <v>0.72219953618863852</v>
      </c>
      <c r="E117" s="541"/>
      <c r="F117" s="452" t="s">
        <v>2658</v>
      </c>
      <c r="G117" s="2"/>
    </row>
    <row r="118" spans="1:7" ht="15" customHeight="1">
      <c r="A118" s="541"/>
      <c r="B118" s="558" t="s">
        <v>2124</v>
      </c>
      <c r="C118" s="154">
        <f>D76*$D$178</f>
        <v>722.72226403712637</v>
      </c>
      <c r="D118" s="616">
        <f>IFERROR(C118/C$121,0)</f>
        <v>0.11654378906429694</v>
      </c>
      <c r="E118" s="541"/>
      <c r="F118" s="452" t="s">
        <v>2659</v>
      </c>
      <c r="G118" s="2"/>
    </row>
    <row r="119" spans="1:7" ht="15" customHeight="1">
      <c r="A119" s="541"/>
      <c r="B119" s="558" t="s">
        <v>2063</v>
      </c>
      <c r="C119" s="83">
        <f>D79</f>
        <v>500</v>
      </c>
      <c r="D119" s="616">
        <f>IFERROR(C119/C$121,0)</f>
        <v>8.0628337373532241E-2</v>
      </c>
      <c r="E119" s="541"/>
      <c r="F119" s="452" t="s">
        <v>2660</v>
      </c>
      <c r="G119" s="2"/>
    </row>
    <row r="120" spans="1:7" ht="15" customHeight="1">
      <c r="A120" s="541"/>
      <c r="B120" s="558" t="s">
        <v>2265</v>
      </c>
      <c r="C120" s="83">
        <f>D80</f>
        <v>500</v>
      </c>
      <c r="D120" s="616">
        <f>IFERROR(C120/C$121,0)</f>
        <v>8.0628337373532241E-2</v>
      </c>
      <c r="E120" s="541"/>
      <c r="F120" s="452" t="s">
        <v>2661</v>
      </c>
      <c r="G120" s="2"/>
    </row>
    <row r="121" spans="1:7" ht="15" customHeight="1">
      <c r="A121" s="541"/>
      <c r="B121" s="536" t="s">
        <v>2064</v>
      </c>
      <c r="C121" s="550">
        <f>SUM(C117:C120)</f>
        <v>6201.293692608554</v>
      </c>
      <c r="D121" s="673">
        <f>SUM(D117:D120)</f>
        <v>1</v>
      </c>
      <c r="E121" s="541"/>
      <c r="F121" s="452" t="s">
        <v>2662</v>
      </c>
      <c r="G121" s="2"/>
    </row>
    <row r="122" spans="1:7" ht="15" customHeight="1">
      <c r="A122" s="541"/>
      <c r="B122" s="541" t="s">
        <v>2125</v>
      </c>
      <c r="C122" s="542">
        <f>(C41+C172)*$D$178</f>
        <v>361.36113201856318</v>
      </c>
      <c r="D122" s="541"/>
      <c r="E122" s="541"/>
      <c r="F122" s="452" t="s">
        <v>2663</v>
      </c>
      <c r="G122" s="2"/>
    </row>
    <row r="123" spans="1:7" ht="3.95" customHeight="1">
      <c r="A123" s="541"/>
      <c r="B123" s="541"/>
      <c r="C123" s="541"/>
      <c r="D123" s="541"/>
      <c r="E123" s="541"/>
      <c r="F123" s="452"/>
      <c r="G123" s="2"/>
    </row>
    <row r="124" spans="1:7">
      <c r="A124" s="541"/>
      <c r="B124" s="370" t="s">
        <v>2162</v>
      </c>
      <c r="C124" s="617" t="str">
        <f>C$171</f>
        <v>Today</v>
      </c>
      <c r="D124" s="541"/>
      <c r="E124" s="541"/>
      <c r="F124" s="452"/>
      <c r="G124" s="2"/>
    </row>
    <row r="125" spans="1:7">
      <c r="A125" s="541"/>
      <c r="B125" s="541" t="s">
        <v>2126</v>
      </c>
      <c r="C125" s="607">
        <f>IFERROR(C173/C172,0)</f>
        <v>1.0004865632953721</v>
      </c>
      <c r="D125" s="541"/>
      <c r="E125" s="541"/>
      <c r="F125" s="452" t="s">
        <v>2148</v>
      </c>
      <c r="G125" s="2"/>
    </row>
    <row r="126" spans="1:7" ht="15" customHeight="1">
      <c r="A126" s="541"/>
      <c r="B126" s="541" t="s">
        <v>2286</v>
      </c>
      <c r="C126" s="607">
        <f>IFERROR((C173+C57)/C172,0)</f>
        <v>1.1672343238446008</v>
      </c>
      <c r="D126" s="541"/>
      <c r="E126" s="541"/>
      <c r="F126" s="452" t="s">
        <v>2287</v>
      </c>
      <c r="G126" s="2"/>
    </row>
    <row r="127" spans="1:7">
      <c r="A127" s="541"/>
      <c r="B127" s="541" t="s">
        <v>2127</v>
      </c>
      <c r="C127" s="608">
        <f>C11</f>
        <v>15.964240102171138</v>
      </c>
      <c r="D127" s="541"/>
      <c r="E127" s="541"/>
      <c r="F127" s="452" t="s">
        <v>2149</v>
      </c>
      <c r="G127" s="2"/>
    </row>
    <row r="128" spans="1:7">
      <c r="A128" s="541"/>
      <c r="B128" s="537" t="s">
        <v>2160</v>
      </c>
      <c r="C128" s="600">
        <f>IFERROR(C127/C125,0)</f>
        <v>15.956476266496384</v>
      </c>
      <c r="D128" s="539"/>
      <c r="E128" s="541"/>
      <c r="F128" s="452" t="s">
        <v>2150</v>
      </c>
      <c r="G128" s="2"/>
    </row>
    <row r="129" spans="1:8">
      <c r="A129" s="541"/>
      <c r="B129" s="541" t="s">
        <v>2128</v>
      </c>
      <c r="C129" s="86">
        <f>C172</f>
        <v>2998.5410200000001</v>
      </c>
      <c r="D129" s="541"/>
      <c r="E129" s="541"/>
      <c r="F129" s="452"/>
      <c r="G129" s="2"/>
    </row>
    <row r="130" spans="1:8">
      <c r="A130" s="541"/>
      <c r="B130" s="541" t="s">
        <v>2129</v>
      </c>
      <c r="C130" s="542">
        <f>(C10+C172)*$C$178</f>
        <v>291.93052476190479</v>
      </c>
      <c r="D130" s="541"/>
      <c r="E130" s="541"/>
      <c r="F130" s="452" t="s">
        <v>2664</v>
      </c>
      <c r="G130" s="2"/>
    </row>
    <row r="131" spans="1:8" ht="3.95" customHeight="1">
      <c r="A131" s="541"/>
      <c r="B131" s="541"/>
      <c r="C131" s="541"/>
      <c r="D131" s="541"/>
      <c r="E131" s="541"/>
      <c r="F131" s="452"/>
      <c r="G131" s="2"/>
    </row>
    <row r="132" spans="1:8">
      <c r="A132" s="541"/>
      <c r="B132" s="370" t="s">
        <v>2163</v>
      </c>
      <c r="C132" s="617" t="s">
        <v>2130</v>
      </c>
      <c r="D132" s="617" t="s">
        <v>2131</v>
      </c>
      <c r="E132" s="541"/>
      <c r="F132" s="452"/>
      <c r="G132" s="2"/>
    </row>
    <row r="133" spans="1:8">
      <c r="A133" s="541"/>
      <c r="B133" s="541" t="s">
        <v>2132</v>
      </c>
      <c r="C133" s="542">
        <f>(D72-D79-D80)/$D$178-D76</f>
        <v>127492.88855634256</v>
      </c>
      <c r="D133" s="86">
        <f>D75</f>
        <v>99000</v>
      </c>
      <c r="E133" s="541"/>
      <c r="F133" s="452" t="s">
        <v>2151</v>
      </c>
      <c r="G133" s="2"/>
    </row>
    <row r="134" spans="1:8">
      <c r="A134" s="541"/>
      <c r="B134" s="541" t="s">
        <v>2133</v>
      </c>
      <c r="C134" s="607">
        <f>IFERROR((C133+$C$174+$C$57)/(C10+C17),0)</f>
        <v>20.512913243349704</v>
      </c>
      <c r="D134" s="608">
        <f>C12</f>
        <v>15.964240102171138</v>
      </c>
      <c r="E134" s="541"/>
      <c r="F134" s="452" t="s">
        <v>2665</v>
      </c>
      <c r="G134" s="2"/>
    </row>
    <row r="135" spans="1:8">
      <c r="A135" s="541"/>
      <c r="B135" s="541" t="s">
        <v>2134</v>
      </c>
      <c r="C135" s="154">
        <f>IFERROR(((C133+$C$174+$C$57)/C12-C10)/C14/C7,0)</f>
        <v>102.0407551232453</v>
      </c>
      <c r="D135" s="83">
        <f>C15</f>
        <v>65</v>
      </c>
      <c r="E135" s="541"/>
      <c r="F135" s="452" t="s">
        <v>2152</v>
      </c>
      <c r="G135" s="2"/>
    </row>
    <row r="136" spans="1:8">
      <c r="A136" s="541"/>
      <c r="B136" s="541" t="s">
        <v>2327</v>
      </c>
      <c r="C136" s="616">
        <f>IFERROR(1-(D72-D79-D80)/(D77*$C$178),0)</f>
        <v>-0.18542523806228761</v>
      </c>
      <c r="D136" s="616">
        <f>$C$8</f>
        <v>0.05</v>
      </c>
      <c r="E136" s="541"/>
      <c r="F136" s="452" t="s">
        <v>2340</v>
      </c>
      <c r="G136" s="2"/>
    </row>
    <row r="137" spans="1:8">
      <c r="A137" s="541"/>
      <c r="B137" s="541" t="s">
        <v>2738</v>
      </c>
      <c r="C137" s="388">
        <f>D88</f>
        <v>0.2092500897368037</v>
      </c>
      <c r="D137" s="388">
        <f>D89</f>
        <v>0.14985631940069477</v>
      </c>
      <c r="E137" s="541"/>
      <c r="F137" s="452" t="s">
        <v>2742</v>
      </c>
      <c r="G137" s="2"/>
    </row>
    <row r="138" spans="1:8" ht="3.95" customHeight="1">
      <c r="A138" s="541"/>
      <c r="B138" s="541"/>
      <c r="C138" s="541"/>
      <c r="D138" s="541"/>
      <c r="E138" s="541"/>
      <c r="F138" s="452"/>
      <c r="G138" s="2"/>
    </row>
    <row r="139" spans="1:8" ht="14.25" customHeight="1">
      <c r="A139" s="681"/>
      <c r="B139" s="370" t="str">
        <f>"Topkey Dilution Impact — Ben (Year "&amp;$C$7&amp;")"</f>
        <v>Topkey Dilution Impact — Ben (Year 5)</v>
      </c>
      <c r="C139" s="604" t="s">
        <v>2331</v>
      </c>
      <c r="D139" s="604" t="s">
        <v>2332</v>
      </c>
      <c r="E139" s="681"/>
      <c r="F139" s="681"/>
      <c r="G139" s="681"/>
      <c r="H139" s="681"/>
    </row>
    <row r="140" spans="1:8" ht="14.25" customHeight="1">
      <c r="A140" s="681"/>
      <c r="B140" s="681" t="s">
        <v>2056</v>
      </c>
      <c r="C140" s="388">
        <f>$C$178</f>
        <v>4.7619047619047616E-2</v>
      </c>
      <c r="D140" s="388">
        <f>$D$178</f>
        <v>4.523809523809523E-2</v>
      </c>
      <c r="E140" s="681"/>
      <c r="F140" s="681"/>
      <c r="G140" s="681"/>
      <c r="H140" s="681"/>
    </row>
    <row r="141" spans="1:8" ht="14.25" customHeight="1">
      <c r="A141" s="681"/>
      <c r="B141" s="681" t="s">
        <v>2062</v>
      </c>
      <c r="C141" s="682">
        <f>$D$77*C140</f>
        <v>5475.0459922195314</v>
      </c>
      <c r="D141" s="682">
        <f>$D$77*D140</f>
        <v>5201.293692608554</v>
      </c>
      <c r="E141" s="681"/>
      <c r="F141" s="681" t="s">
        <v>2514</v>
      </c>
      <c r="G141" s="681"/>
      <c r="H141" s="681"/>
    </row>
    <row r="142" spans="1:8" ht="14.25" customHeight="1">
      <c r="A142" s="681"/>
      <c r="B142" s="719" t="s">
        <v>2279</v>
      </c>
      <c r="C142" s="683">
        <f>$D$79+$D$80</f>
        <v>1000</v>
      </c>
      <c r="D142" s="683">
        <f>$D$79+$D$80</f>
        <v>1000</v>
      </c>
      <c r="E142" s="681"/>
      <c r="F142" s="681" t="s">
        <v>2515</v>
      </c>
      <c r="G142" s="681"/>
      <c r="H142" s="681"/>
    </row>
    <row r="143" spans="1:8" ht="14.25" customHeight="1">
      <c r="A143" s="681"/>
      <c r="B143" s="687" t="s">
        <v>2064</v>
      </c>
      <c r="C143" s="686">
        <f>C141+C142</f>
        <v>6475.0459922195314</v>
      </c>
      <c r="D143" s="688">
        <f>D141+D142</f>
        <v>6201.293692608554</v>
      </c>
      <c r="E143" s="681"/>
      <c r="F143" s="681"/>
      <c r="G143" s="681"/>
      <c r="H143" s="681"/>
    </row>
    <row r="144" spans="1:8" ht="14.25" customHeight="1">
      <c r="A144" s="681"/>
      <c r="B144" s="719" t="s">
        <v>2334</v>
      </c>
      <c r="C144" s="83">
        <f>$D$72</f>
        <v>7490.2576987288121</v>
      </c>
      <c r="D144" s="83">
        <f>$D$72</f>
        <v>7490.2576987288121</v>
      </c>
      <c r="E144" s="681"/>
      <c r="F144" s="681"/>
      <c r="G144" s="681"/>
      <c r="H144" s="681"/>
    </row>
    <row r="145" spans="1:8" ht="14.25" customHeight="1">
      <c r="A145" s="681"/>
      <c r="B145" s="689" t="s">
        <v>2335</v>
      </c>
      <c r="C145" s="690">
        <f>C143-C144</f>
        <v>-1015.2117065092807</v>
      </c>
      <c r="D145" s="690">
        <f>D143-D144</f>
        <v>-1288.9640061202581</v>
      </c>
      <c r="E145" s="681"/>
      <c r="F145" s="681"/>
      <c r="G145" s="681"/>
      <c r="H145" s="681"/>
    </row>
    <row r="146" spans="1:8" ht="14.25" customHeight="1">
      <c r="A146" s="681"/>
      <c r="B146" s="681" t="s">
        <v>2336</v>
      </c>
      <c r="C146" s="681"/>
      <c r="D146" s="682">
        <f>D143-C143</f>
        <v>-273.75229961097739</v>
      </c>
      <c r="E146" s="681"/>
      <c r="F146" s="681" t="s">
        <v>2339</v>
      </c>
      <c r="G146" s="681"/>
      <c r="H146" s="681"/>
    </row>
    <row r="147" spans="1:8" ht="14.25" customHeight="1">
      <c r="A147" s="681"/>
      <c r="B147" s="681" t="s">
        <v>2337</v>
      </c>
      <c r="C147" s="681"/>
      <c r="D147" s="684">
        <f>$C$136-$D$136</f>
        <v>-0.2354252380622876</v>
      </c>
      <c r="E147" s="681"/>
      <c r="F147" s="681" t="s">
        <v>2516</v>
      </c>
      <c r="G147" s="681"/>
      <c r="H147" s="681"/>
    </row>
    <row r="148" spans="1:8" ht="14.25" customHeight="1">
      <c r="B148" s="681" t="s">
        <v>2338</v>
      </c>
      <c r="D148" s="685">
        <f>D143-$D$81</f>
        <v>0</v>
      </c>
      <c r="F148" s="681" t="s">
        <v>2107</v>
      </c>
    </row>
    <row r="149" spans="1:8" ht="3.95" customHeight="1">
      <c r="A149" s="681"/>
      <c r="B149" s="681"/>
      <c r="C149" s="681"/>
      <c r="D149" s="681"/>
      <c r="E149" s="681"/>
      <c r="F149" s="681"/>
      <c r="G149" s="681"/>
      <c r="H149" s="681"/>
    </row>
    <row r="150" spans="1:8">
      <c r="A150" s="541"/>
      <c r="B150" s="370" t="s">
        <v>2164</v>
      </c>
      <c r="C150" s="617" t="s">
        <v>2135</v>
      </c>
      <c r="D150" s="617" t="str">
        <f>"Year "&amp;$C$7&amp;" Delta"</f>
        <v>Year 5 Delta</v>
      </c>
      <c r="E150" s="541"/>
      <c r="F150" s="452"/>
      <c r="G150" s="2"/>
    </row>
    <row r="151" spans="1:8">
      <c r="A151" s="541"/>
      <c r="B151" s="541" t="s">
        <v>2136</v>
      </c>
      <c r="C151" s="582">
        <v>12</v>
      </c>
      <c r="D151" s="542">
        <f>((C10+C17)*C151-$C$174-$C$57+D76)*$D$178+D79+D80-D72</f>
        <v>-2412.3163870726385</v>
      </c>
      <c r="E151" s="541"/>
      <c r="F151" s="452" t="s">
        <v>2153</v>
      </c>
      <c r="G151" s="2"/>
    </row>
    <row r="152" spans="1:8">
      <c r="A152" s="541"/>
      <c r="B152" s="541" t="s">
        <v>2137</v>
      </c>
      <c r="C152" s="82">
        <v>90</v>
      </c>
      <c r="D152" s="154">
        <f>((C10+C152*C7*C14)*C12-$C$174-$C$57+D76)*$D$178+D79+D80-D72</f>
        <v>-419.00063615688759</v>
      </c>
      <c r="E152" s="541"/>
      <c r="F152" s="452" t="s">
        <v>2154</v>
      </c>
      <c r="G152" s="2"/>
    </row>
    <row r="153" spans="1:8">
      <c r="A153" s="541"/>
      <c r="B153" s="541" t="s">
        <v>2328</v>
      </c>
      <c r="C153" s="618">
        <v>0.15</v>
      </c>
      <c r="D153" s="154">
        <f>D77*$C$178*(1-C153)+D79+D80-D72</f>
        <v>-1836.4686053422101</v>
      </c>
      <c r="E153" s="541"/>
      <c r="F153" s="452" t="s">
        <v>2155</v>
      </c>
      <c r="G153" s="2"/>
    </row>
    <row r="154" spans="1:8" ht="15" customHeight="1">
      <c r="A154" s="541"/>
      <c r="B154" s="541" t="s">
        <v>2288</v>
      </c>
      <c r="C154" s="616"/>
      <c r="D154" s="154">
        <f>D84-$C$57*(1-$D$178)</f>
        <v>-1766.3449585012104</v>
      </c>
      <c r="E154" s="541"/>
      <c r="F154" s="452" t="s">
        <v>2666</v>
      </c>
      <c r="G154" s="2"/>
    </row>
    <row r="155" spans="1:8">
      <c r="A155" s="541"/>
      <c r="B155" s="537" t="s">
        <v>2289</v>
      </c>
      <c r="C155" s="619"/>
      <c r="D155" s="594">
        <f>((C10+C152*C7*C14)*C151-$C$174+D76)*$C$178*(1-C153)+D79-D72</f>
        <v>-2736.2363709099764</v>
      </c>
      <c r="E155" s="541"/>
      <c r="F155" s="452" t="s">
        <v>2290</v>
      </c>
      <c r="G155" s="2"/>
    </row>
    <row r="156" spans="1:8" ht="3.95" customHeight="1">
      <c r="A156" s="541"/>
      <c r="B156" s="541"/>
      <c r="C156" s="541"/>
      <c r="D156" s="541"/>
      <c r="E156" s="541"/>
      <c r="F156" s="452"/>
      <c r="G156" s="2"/>
    </row>
    <row r="157" spans="1:8">
      <c r="A157" s="541"/>
      <c r="B157" s="370" t="s">
        <v>2197</v>
      </c>
      <c r="C157" s="617" t="str">
        <f>C$171</f>
        <v>Today</v>
      </c>
      <c r="D157" s="534" t="str">
        <f>D$69</f>
        <v>Year 5</v>
      </c>
      <c r="E157" s="541"/>
      <c r="F157" s="452"/>
      <c r="G157" s="2"/>
    </row>
    <row r="158" spans="1:8">
      <c r="A158" s="541"/>
      <c r="B158" s="541" t="s">
        <v>2291</v>
      </c>
      <c r="C158" s="86">
        <f>C174</f>
        <v>500</v>
      </c>
      <c r="D158" s="154">
        <f>C174+C57</f>
        <v>1000</v>
      </c>
      <c r="E158" s="541"/>
      <c r="F158" s="452" t="s">
        <v>2281</v>
      </c>
      <c r="G158" s="2"/>
    </row>
    <row r="159" spans="1:8">
      <c r="A159" s="541"/>
      <c r="B159" s="541" t="s">
        <v>2138</v>
      </c>
      <c r="C159" s="616">
        <f>IFERROR(C174/C173,0)</f>
        <v>0.16666666666666666</v>
      </c>
      <c r="D159" s="616">
        <f>IFERROR((C174+C57)/(C173+C57),0)</f>
        <v>0.2857142857142857</v>
      </c>
      <c r="E159" s="541"/>
      <c r="F159" s="452" t="s">
        <v>2292</v>
      </c>
      <c r="G159" s="2"/>
    </row>
    <row r="160" spans="1:8">
      <c r="A160" s="541"/>
      <c r="B160" s="541" t="s">
        <v>2139</v>
      </c>
      <c r="C160" s="616">
        <f>IFERROR(C175/C173,0)</f>
        <v>0.83333333333333337</v>
      </c>
      <c r="D160" s="616">
        <f>IFERROR(C175/(C173+C57),0)</f>
        <v>0.7142857142857143</v>
      </c>
      <c r="E160" s="541"/>
      <c r="F160" s="452"/>
      <c r="G160" s="2"/>
    </row>
    <row r="161" spans="1:7">
      <c r="A161" s="541"/>
      <c r="B161" s="541" t="s">
        <v>2056</v>
      </c>
      <c r="C161" s="388">
        <f>C178</f>
        <v>4.7619047619047616E-2</v>
      </c>
      <c r="D161" s="388">
        <f>D178</f>
        <v>4.523809523809523E-2</v>
      </c>
      <c r="E161" s="541"/>
      <c r="F161" s="452"/>
      <c r="G161" s="2"/>
    </row>
    <row r="162" spans="1:7">
      <c r="A162" s="541"/>
      <c r="B162" s="541" t="s">
        <v>2140</v>
      </c>
      <c r="C162" s="616">
        <f>IFERROR(C78/C81,0)</f>
        <v>0.83333333333333337</v>
      </c>
      <c r="D162" s="616">
        <f>IFERROR(D78/D81,0)</f>
        <v>0.83874332525293549</v>
      </c>
      <c r="E162" s="541"/>
      <c r="F162" s="452" t="s">
        <v>2156</v>
      </c>
      <c r="G162" s="2"/>
    </row>
    <row r="163" spans="1:7" ht="3.95" customHeight="1">
      <c r="A163" s="541"/>
      <c r="B163" s="541"/>
      <c r="C163" s="541"/>
      <c r="D163" s="541"/>
      <c r="E163" s="541"/>
      <c r="F163" s="452"/>
      <c r="G163" s="2"/>
    </row>
    <row r="164" spans="1:7">
      <c r="A164" s="541"/>
      <c r="B164" s="370" t="s">
        <v>2202</v>
      </c>
      <c r="C164" s="617" t="s">
        <v>2141</v>
      </c>
      <c r="D164" s="534" t="s">
        <v>2142</v>
      </c>
      <c r="E164" s="541"/>
      <c r="F164" s="452"/>
      <c r="G164" s="2"/>
    </row>
    <row r="165" spans="1:7">
      <c r="A165" s="541"/>
      <c r="B165" s="541" t="s">
        <v>2144</v>
      </c>
      <c r="C165" s="541"/>
      <c r="D165" s="541"/>
      <c r="E165" s="541"/>
      <c r="F165" s="452" t="s">
        <v>2157</v>
      </c>
      <c r="G165" s="2"/>
    </row>
    <row r="166" spans="1:7">
      <c r="A166" s="541"/>
      <c r="B166" s="541" t="s">
        <v>2145</v>
      </c>
      <c r="C166" s="541"/>
      <c r="D166" s="541"/>
      <c r="E166" s="541"/>
      <c r="F166" s="452" t="s">
        <v>2213</v>
      </c>
      <c r="G166" s="2"/>
    </row>
    <row r="167" spans="1:7">
      <c r="A167" s="541"/>
      <c r="B167" s="541" t="s">
        <v>2146</v>
      </c>
      <c r="C167" s="541"/>
      <c r="D167" s="541"/>
      <c r="E167" s="541"/>
      <c r="F167" s="452" t="s">
        <v>2158</v>
      </c>
      <c r="G167" s="2"/>
    </row>
    <row r="168" spans="1:7">
      <c r="A168" s="541"/>
      <c r="B168" s="541" t="s">
        <v>2147</v>
      </c>
      <c r="C168" s="541"/>
      <c r="D168" s="541"/>
      <c r="E168" s="541"/>
      <c r="F168" s="452" t="s">
        <v>2159</v>
      </c>
      <c r="G168" s="2"/>
    </row>
    <row r="169" spans="1:7" ht="15" customHeight="1">
      <c r="A169" s="541"/>
      <c r="B169" s="541" t="s">
        <v>2293</v>
      </c>
      <c r="C169" s="86">
        <f>C57</f>
        <v>500</v>
      </c>
      <c r="D169" s="541"/>
      <c r="E169" s="541"/>
      <c r="F169" s="452" t="s">
        <v>2294</v>
      </c>
      <c r="G169" s="2"/>
    </row>
    <row r="170" spans="1:7">
      <c r="A170" s="541"/>
      <c r="B170" s="2"/>
      <c r="C170" s="2"/>
      <c r="D170" s="541"/>
      <c r="E170" s="541"/>
      <c r="F170" s="452"/>
      <c r="G170" s="2"/>
    </row>
    <row r="171" spans="1:7">
      <c r="B171" s="535" t="s">
        <v>2317</v>
      </c>
      <c r="C171" s="534" t="s">
        <v>2024</v>
      </c>
      <c r="D171" s="534" t="str">
        <f>"Year "&amp;$C$7</f>
        <v>Year 5</v>
      </c>
      <c r="E171" s="2"/>
      <c r="F171" s="452"/>
      <c r="G171" s="2"/>
    </row>
    <row r="172" spans="1:7">
      <c r="B172" s="612" t="s">
        <v>2100</v>
      </c>
      <c r="C172" s="47">
        <f>'P&amp;L Overview'!K16</f>
        <v>2998.5410200000001</v>
      </c>
      <c r="D172" s="2"/>
      <c r="E172" s="2"/>
      <c r="F172" s="452" t="s">
        <v>2106</v>
      </c>
      <c r="G172" s="2"/>
    </row>
    <row r="173" spans="1:7">
      <c r="B173" s="541" t="s">
        <v>2054</v>
      </c>
      <c r="C173" s="83">
        <f>C70</f>
        <v>3000</v>
      </c>
      <c r="D173" s="2"/>
      <c r="E173" s="2"/>
      <c r="F173" s="452" t="s">
        <v>2792</v>
      </c>
      <c r="G173" s="2"/>
    </row>
    <row r="174" spans="1:7">
      <c r="B174" s="541" t="s">
        <v>2055</v>
      </c>
      <c r="C174" s="435">
        <v>500</v>
      </c>
      <c r="D174" s="2"/>
      <c r="E174" s="2"/>
      <c r="F174" s="452" t="s">
        <v>2667</v>
      </c>
      <c r="G174" s="2"/>
    </row>
    <row r="175" spans="1:7">
      <c r="B175" s="541" t="s">
        <v>2023</v>
      </c>
      <c r="C175" s="430">
        <f>C173-C174</f>
        <v>2500</v>
      </c>
      <c r="D175" s="2"/>
      <c r="E175" s="2"/>
      <c r="F175" s="452" t="s">
        <v>2318</v>
      </c>
      <c r="G175" s="2"/>
    </row>
    <row r="176" spans="1:7">
      <c r="B176" s="541" t="s">
        <v>2037</v>
      </c>
      <c r="C176" s="53">
        <f>'Offer Comparison'!$D$9</f>
        <v>50000</v>
      </c>
      <c r="D176" s="2"/>
      <c r="E176" s="2"/>
      <c r="F176" s="452" t="s">
        <v>2668</v>
      </c>
      <c r="G176" s="2"/>
    </row>
    <row r="177" spans="2:8">
      <c r="B177" s="541" t="s">
        <v>2000</v>
      </c>
      <c r="C177" s="430">
        <f>C176+C173-C174</f>
        <v>52500</v>
      </c>
      <c r="D177" s="2"/>
      <c r="E177" s="2"/>
      <c r="F177" s="452" t="s">
        <v>2319</v>
      </c>
      <c r="G177" s="2"/>
    </row>
    <row r="178" spans="2:8">
      <c r="B178" s="541" t="s">
        <v>2056</v>
      </c>
      <c r="C178" s="528">
        <f>IFERROR(C175/C177,0)</f>
        <v>4.7619047619047616E-2</v>
      </c>
      <c r="D178" s="528">
        <f>C178*(1-$C$8)</f>
        <v>4.523809523809523E-2</v>
      </c>
      <c r="E178" s="2"/>
      <c r="F178" s="541" t="s">
        <v>2329</v>
      </c>
      <c r="G178" s="2"/>
    </row>
    <row r="179" spans="2:8">
      <c r="B179" s="541" t="s">
        <v>2045</v>
      </c>
      <c r="C179" s="430">
        <f>C176-C174</f>
        <v>49500</v>
      </c>
      <c r="D179" s="2"/>
      <c r="E179" s="2"/>
      <c r="F179" s="452" t="s">
        <v>2175</v>
      </c>
      <c r="G179" s="2"/>
    </row>
    <row r="180" spans="2:8">
      <c r="B180" s="541" t="s">
        <v>2101</v>
      </c>
      <c r="C180" s="154">
        <f>C77-C177</f>
        <v>0</v>
      </c>
      <c r="D180" s="2"/>
      <c r="E180" s="2"/>
      <c r="F180" s="452" t="s">
        <v>2107</v>
      </c>
      <c r="G180" s="2"/>
    </row>
    <row r="181" spans="2:8">
      <c r="B181" s="541" t="s">
        <v>2102</v>
      </c>
      <c r="C181" s="154">
        <f>C78-C175</f>
        <v>0</v>
      </c>
      <c r="D181" s="2"/>
      <c r="E181" s="2"/>
      <c r="F181" s="452" t="s">
        <v>2107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2114</v>
      </c>
      <c r="C183" s="370" t="s">
        <v>1197</v>
      </c>
      <c r="D183" s="2"/>
      <c r="E183" s="2"/>
      <c r="F183" s="452"/>
      <c r="G183" s="2"/>
    </row>
    <row r="184" spans="2:8">
      <c r="B184" s="612" t="s">
        <v>2115</v>
      </c>
      <c r="C184" s="53">
        <f>'Client Retention'!H22</f>
        <v>151</v>
      </c>
      <c r="D184" s="2"/>
      <c r="E184" s="2"/>
      <c r="F184" s="452" t="s">
        <v>2118</v>
      </c>
      <c r="G184" s="2"/>
    </row>
    <row r="185" spans="2:8">
      <c r="B185" s="614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4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2" t="s">
        <v>2116</v>
      </c>
      <c r="C187" s="154">
        <f>SUM(C184:C186)</f>
        <v>177</v>
      </c>
      <c r="D187" s="2"/>
      <c r="E187" s="2"/>
      <c r="F187" s="417" t="s">
        <v>2119</v>
      </c>
      <c r="G187" s="2"/>
      <c r="H187" s="541"/>
    </row>
    <row r="188" spans="2:8">
      <c r="B188" s="58" t="s">
        <v>2117</v>
      </c>
      <c r="C188" s="572">
        <f>C187-C184</f>
        <v>26</v>
      </c>
      <c r="D188" s="2"/>
      <c r="E188" s="2"/>
      <c r="F188" s="417" t="s">
        <v>2120</v>
      </c>
      <c r="G188" s="2"/>
      <c r="H188" s="541"/>
    </row>
    <row r="189" spans="2:8">
      <c r="F189" s="417"/>
    </row>
    <row r="190" spans="2:8" ht="15" customHeight="1">
      <c r="B190" s="454" t="s">
        <v>2284</v>
      </c>
      <c r="C190" s="622" t="s">
        <v>1242</v>
      </c>
      <c r="D190" s="622" t="s">
        <v>2275</v>
      </c>
      <c r="F190" s="417"/>
    </row>
    <row r="191" spans="2:8" ht="15" customHeight="1">
      <c r="B191" s="452" t="str">
        <f t="shared" ref="B191:B196" si="0">"Year "&amp;C191</f>
        <v>Year 0</v>
      </c>
      <c r="C191" s="654">
        <v>0</v>
      </c>
      <c r="D191" s="431">
        <f t="shared" ref="D191:D196" si="1">-IF(C191=0,$C$92+$C$93,0)-IF(C191=$C$45,$C$94,0)+IF(C191=$C$7,$C$98,0)</f>
        <v>-3000</v>
      </c>
      <c r="F191" s="417" t="s">
        <v>2669</v>
      </c>
    </row>
    <row r="192" spans="2:8" ht="15" customHeight="1">
      <c r="B192" s="452" t="str">
        <f t="shared" si="0"/>
        <v>Year 1</v>
      </c>
      <c r="C192" s="653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3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3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3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3">
        <f>C195+1</f>
        <v>5</v>
      </c>
      <c r="D196" s="430">
        <f t="shared" si="1"/>
        <v>15975.965836610165</v>
      </c>
      <c r="F196" s="417"/>
    </row>
    <row r="198" spans="2:6" ht="15" customHeight="1">
      <c r="B198" s="454" t="s">
        <v>2295</v>
      </c>
      <c r="C198" s="622" t="s">
        <v>1242</v>
      </c>
      <c r="D198" s="622" t="s">
        <v>2275</v>
      </c>
    </row>
    <row r="199" spans="2:6" ht="15" customHeight="1">
      <c r="B199" s="452" t="str">
        <f t="shared" ref="B199:B204" si="2">"Year "&amp;C199</f>
        <v>Year 0</v>
      </c>
      <c r="C199" s="654">
        <v>0</v>
      </c>
      <c r="D199" s="431">
        <f t="shared" ref="D199:D204" si="3">IF(C199=0,$C$174-$C$173,0)+IF(C199=$C$45,$C$57,0)+IF(C199=$C$7,$D$78,0)</f>
        <v>-2500</v>
      </c>
      <c r="F199" s="612" t="s">
        <v>2670</v>
      </c>
    </row>
    <row r="200" spans="2:6" ht="15" customHeight="1">
      <c r="B200" s="452" t="str">
        <f t="shared" si="2"/>
        <v>Year 1</v>
      </c>
      <c r="C200" s="653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3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3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3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3">
        <f>C203+1</f>
        <v>5</v>
      </c>
      <c r="D204" s="430">
        <f t="shared" si="3"/>
        <v>5201.293692608554</v>
      </c>
    </row>
  </sheetData>
  <conditionalFormatting sqref="B6:D61 B63:D68 B70:D73 B75:D82 B84:D90 B92:D101 B103:D108 B110:D115 B117:D123 B125:D131 B133:D138 B140:D149 B151:D156 B158:D163 B165:D170">
    <cfRule type="expression" dxfId="78" priority="3">
      <formula>$H$3=1</formula>
    </cfRule>
  </conditionalFormatting>
  <conditionalFormatting sqref="D91">
    <cfRule type="expression" dxfId="77" priority="2">
      <formula>$H$3=1</formula>
    </cfRule>
  </conditionalFormatting>
  <conditionalFormatting sqref="D124">
    <cfRule type="expression" dxfId="76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topLeftCell="A38" zoomScale="205" zoomScaleNormal="100" zoomScaleSheetLayoutView="205" workbookViewId="0">
      <selection activeCell="B67" sqref="B67"/>
    </sheetView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 t="shared" ref="N8:N18" si="1"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 t="shared" si="1"/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si="1"/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 t="shared" si="1"/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>K15-J15</f>
        <v>-28.502519999999549</v>
      </c>
      <c r="N15" s="66">
        <f t="shared" si="1"/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 t="shared" si="1"/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 t="shared" si="1"/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2">K22-J22</f>
        <v>55.926110000000051</v>
      </c>
      <c r="N22" s="66">
        <f t="shared" ref="N22:N29" si="3">IFERROR(K22/J22-1,0)</f>
        <v>0.12807294248804313</v>
      </c>
      <c r="P22" s="149">
        <f t="shared" ref="P22:P29" si="4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2"/>
        <v>39.192819999999926</v>
      </c>
      <c r="N23" s="66">
        <f t="shared" si="3"/>
        <v>0.11079815577738694</v>
      </c>
      <c r="P23" s="149">
        <f t="shared" si="4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2"/>
        <v>7.6493499999999699</v>
      </c>
      <c r="N24" s="66">
        <f t="shared" si="3"/>
        <v>4.0365943889525191E-2</v>
      </c>
      <c r="P24" s="149">
        <f t="shared" si="4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2"/>
        <v>0</v>
      </c>
      <c r="N25" s="66">
        <f t="shared" si="3"/>
        <v>0</v>
      </c>
      <c r="P25" s="149">
        <f t="shared" si="4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2"/>
        <v>30.35763</v>
      </c>
      <c r="N26" s="66">
        <f t="shared" si="3"/>
        <v>0.44649161240619972</v>
      </c>
      <c r="P26" s="149">
        <f t="shared" si="4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2"/>
        <v>0.82665000000000788</v>
      </c>
      <c r="N27" s="66">
        <f t="shared" si="3"/>
        <v>1.4408257492372512E-2</v>
      </c>
      <c r="P27" s="149">
        <f t="shared" si="4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2"/>
        <v>25.086240000000004</v>
      </c>
      <c r="N28" s="66">
        <f t="shared" si="3"/>
        <v>3.1377410881801131</v>
      </c>
      <c r="P28" s="149">
        <f t="shared" si="4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2"/>
        <v>4.6050600000000017</v>
      </c>
      <c r="N29" s="66">
        <f t="shared" si="3"/>
        <v>0.16701156553622543</v>
      </c>
      <c r="P29" s="149">
        <f t="shared" si="4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>K32-J32</f>
        <v>110.90047000000001</v>
      </c>
      <c r="N32" s="66">
        <f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>K33-J33</f>
        <v>-1.4724999999999966</v>
      </c>
      <c r="N33" s="66">
        <f>IFERROR(K33/J33-1,0)</f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>K34-J34</f>
        <v>24.871000000000002</v>
      </c>
      <c r="N34" s="66">
        <f>IFERROR(K34/J34-1,0)</f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>K35-J35</f>
        <v>9.2162399999999991</v>
      </c>
      <c r="N35" s="66">
        <f>IFERROR(K35/J35-1,0)</f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5">K39-J39</f>
        <v>0</v>
      </c>
      <c r="N39" s="66">
        <f t="shared" ref="N39:N46" si="6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5"/>
        <v>0</v>
      </c>
      <c r="N40" s="66">
        <f t="shared" si="6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5"/>
        <v>0</v>
      </c>
      <c r="N41" s="66">
        <f t="shared" si="6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5"/>
        <v>0</v>
      </c>
      <c r="N42" s="66">
        <f t="shared" si="6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5"/>
        <v>0</v>
      </c>
      <c r="N43" s="66">
        <f t="shared" si="6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5"/>
        <v>6.6584999999999965</v>
      </c>
      <c r="N44" s="66">
        <f t="shared" si="6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5"/>
        <v>0</v>
      </c>
      <c r="N45" s="66">
        <f t="shared" si="6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5"/>
        <v>5.7342700000000093</v>
      </c>
      <c r="N46" s="66">
        <f t="shared" si="6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7">K53-J53</f>
        <v>96.800000000000011</v>
      </c>
      <c r="N53" s="66">
        <f t="shared" ref="N53:N59" si="8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7"/>
        <v>0</v>
      </c>
      <c r="N54" s="66">
        <f t="shared" si="8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7"/>
        <v>50.703312800560958</v>
      </c>
      <c r="N55" s="66">
        <f t="shared" si="8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7"/>
        <v>0</v>
      </c>
      <c r="N56" s="66">
        <f t="shared" si="8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7"/>
        <v>0</v>
      </c>
      <c r="N57" s="66">
        <f t="shared" si="8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7"/>
        <v>-116.25</v>
      </c>
      <c r="N58" s="66">
        <f t="shared" si="8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7"/>
        <v>0</v>
      </c>
      <c r="N59" s="66">
        <f t="shared" si="8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9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9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9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9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9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9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5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830" t="s">
        <v>1899</v>
      </c>
      <c r="D5" s="830"/>
      <c r="E5" s="830"/>
      <c r="F5" s="382"/>
      <c r="G5" s="830" t="s">
        <v>1900</v>
      </c>
      <c r="H5" s="830"/>
      <c r="I5" s="830"/>
      <c r="J5" s="382"/>
      <c r="K5" s="830" t="s">
        <v>134</v>
      </c>
      <c r="L5" s="830"/>
      <c r="M5" s="830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831" t="s">
        <v>1934</v>
      </c>
      <c r="D14" s="831"/>
      <c r="E14" s="831"/>
      <c r="F14" s="831"/>
      <c r="G14" s="831"/>
      <c r="H14" s="831"/>
      <c r="I14" s="831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831" t="s">
        <v>1934</v>
      </c>
      <c r="D23" s="831"/>
      <c r="E23" s="831"/>
      <c r="F23" s="831"/>
      <c r="G23" s="831"/>
      <c r="H23" s="831"/>
      <c r="I23" s="831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>K30-J30</f>
        <v>110.90047000000001</v>
      </c>
      <c r="N30" s="66">
        <f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>K31-J31</f>
        <v>-1.4724999999999966</v>
      </c>
      <c r="N31" s="66">
        <f>IFERROR(K31/J31-1,0)</f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>K32-J32</f>
        <v>24.871000000000002</v>
      </c>
      <c r="N32" s="66">
        <f>IFERROR(K32/J32-1,0)</f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>K33-J33</f>
        <v>9.2162399999999991</v>
      </c>
      <c r="N33" s="66">
        <f>IFERROR(K33/J33-1,0)</f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4">K37-J37</f>
        <v>0</v>
      </c>
      <c r="N37" s="66">
        <f t="shared" ref="N37:N44" si="5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4"/>
        <v>0</v>
      </c>
      <c r="N38" s="66">
        <f t="shared" si="5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4"/>
        <v>0</v>
      </c>
      <c r="N39" s="66">
        <f t="shared" si="5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4"/>
        <v>0</v>
      </c>
      <c r="N40" s="66">
        <f t="shared" si="5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4"/>
        <v>0</v>
      </c>
      <c r="N41" s="66">
        <f t="shared" si="5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4"/>
        <v>6.6584999999999965</v>
      </c>
      <c r="N42" s="66">
        <f t="shared" si="5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4"/>
        <v>0</v>
      </c>
      <c r="N43" s="66">
        <f t="shared" si="5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4"/>
        <v>5.7342700000000093</v>
      </c>
      <c r="N44" s="66">
        <f t="shared" si="5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45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 t="shared" ref="N17:N22" si="10"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si="10"/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>SUM(F17:F21)</f>
        <v>38.982199999999999</v>
      </c>
      <c r="G22" s="59">
        <f>SUM(G17:G21)</f>
        <v>70.953709999999987</v>
      </c>
      <c r="I22" s="59">
        <f>SUM(I17:I21)</f>
        <v>48.871600000000001</v>
      </c>
      <c r="J22" s="59">
        <f>SUM(J17:J21)</f>
        <v>83.505239999999986</v>
      </c>
      <c r="K22" s="59">
        <f>SUM(K17:K21)</f>
        <v>55.597719999999995</v>
      </c>
      <c r="L22" s="71"/>
      <c r="M22" s="59">
        <f>SUM(M17:M21)</f>
        <v>-27.907520000000002</v>
      </c>
      <c r="N22" s="89">
        <f t="shared" si="10"/>
        <v>-0.33420082380458993</v>
      </c>
      <c r="P22" s="59">
        <f t="shared" ref="P22:AT22" si="11">SUM(P17:P21)</f>
        <v>7.5636000000000001</v>
      </c>
      <c r="Q22" s="59">
        <f t="shared" si="11"/>
        <v>6.5111999999999997</v>
      </c>
      <c r="R22" s="59">
        <f t="shared" si="11"/>
        <v>0.1162</v>
      </c>
      <c r="S22" s="59">
        <f t="shared" si="11"/>
        <v>0.1406</v>
      </c>
      <c r="T22" s="59">
        <f t="shared" si="11"/>
        <v>3.5920000000000001</v>
      </c>
      <c r="U22" s="59">
        <f t="shared" si="11"/>
        <v>1.3717999999999999</v>
      </c>
      <c r="V22" s="59">
        <f t="shared" si="11"/>
        <v>11.465299999999999</v>
      </c>
      <c r="W22" s="59">
        <f t="shared" si="11"/>
        <v>7.3414000000000001</v>
      </c>
      <c r="X22" s="59">
        <f t="shared" si="11"/>
        <v>1.8808</v>
      </c>
      <c r="Y22" s="59">
        <f t="shared" si="11"/>
        <v>-0.10460000000000003</v>
      </c>
      <c r="Z22" s="59">
        <f t="shared" si="11"/>
        <v>0.52500000000000002</v>
      </c>
      <c r="AA22" s="59">
        <f t="shared" si="11"/>
        <v>0.24680000000000002</v>
      </c>
      <c r="AB22" s="59">
        <f t="shared" si="11"/>
        <v>20.968399999999999</v>
      </c>
      <c r="AC22" s="59">
        <f t="shared" si="11"/>
        <v>11.607949999999999</v>
      </c>
      <c r="AD22" s="59">
        <f t="shared" si="11"/>
        <v>1.1283300000000001</v>
      </c>
      <c r="AE22" s="59">
        <f t="shared" si="11"/>
        <v>1.1956</v>
      </c>
      <c r="AF22" s="59">
        <f t="shared" si="11"/>
        <v>1.0338699999999998</v>
      </c>
      <c r="AG22" s="59">
        <f t="shared" si="11"/>
        <v>1.7112700000000001</v>
      </c>
      <c r="AH22" s="59">
        <f t="shared" si="11"/>
        <v>1.3367799999999999</v>
      </c>
      <c r="AI22" s="59">
        <f t="shared" si="11"/>
        <v>2.3805699999999996</v>
      </c>
      <c r="AJ22" s="59">
        <f t="shared" si="11"/>
        <v>2.04121</v>
      </c>
      <c r="AK22" s="59">
        <f t="shared" si="11"/>
        <v>3.6642399999999999</v>
      </c>
      <c r="AL22" s="59">
        <f t="shared" si="11"/>
        <v>1.29758</v>
      </c>
      <c r="AM22" s="59">
        <f t="shared" si="11"/>
        <v>3.1679299999999997</v>
      </c>
      <c r="AN22" s="59">
        <f t="shared" si="11"/>
        <v>8.9426800000000011</v>
      </c>
      <c r="AO22" s="59">
        <f t="shared" si="11"/>
        <v>33.510510000000004</v>
      </c>
      <c r="AP22" s="59">
        <f t="shared" si="11"/>
        <v>15.752599999999999</v>
      </c>
      <c r="AQ22" s="59">
        <f t="shared" si="11"/>
        <v>8.2833600000000001</v>
      </c>
      <c r="AR22" s="59">
        <f t="shared" si="11"/>
        <v>0.66824000000000006</v>
      </c>
      <c r="AS22" s="59">
        <f t="shared" si="11"/>
        <v>3.7091200000000004</v>
      </c>
      <c r="AT22" s="59">
        <f t="shared" si="11"/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12">+P22+P15</f>
        <v>80.9131</v>
      </c>
      <c r="Q24" s="61">
        <f t="shared" si="12"/>
        <v>81.255700000000004</v>
      </c>
      <c r="R24" s="61">
        <f t="shared" si="12"/>
        <v>78.112200000000001</v>
      </c>
      <c r="S24" s="61">
        <f t="shared" si="12"/>
        <v>83.35329999999999</v>
      </c>
      <c r="T24" s="61">
        <f t="shared" si="12"/>
        <v>90.196150000000017</v>
      </c>
      <c r="U24" s="61">
        <f t="shared" si="12"/>
        <v>89.915800000000004</v>
      </c>
      <c r="V24" s="61">
        <f t="shared" si="12"/>
        <v>104.68205</v>
      </c>
      <c r="W24" s="61">
        <f t="shared" si="12"/>
        <v>104.11675</v>
      </c>
      <c r="X24" s="61">
        <f t="shared" si="12"/>
        <v>98.372749999999996</v>
      </c>
      <c r="Y24" s="61">
        <f t="shared" si="12"/>
        <v>99.05889999999998</v>
      </c>
      <c r="Z24" s="61">
        <f t="shared" si="12"/>
        <v>109.2373</v>
      </c>
      <c r="AA24" s="61">
        <f t="shared" si="12"/>
        <v>115.75185000000002</v>
      </c>
      <c r="AB24" s="61">
        <f t="shared" si="12"/>
        <v>138.66254999999998</v>
      </c>
      <c r="AC24" s="61">
        <f t="shared" si="12"/>
        <v>127.8026</v>
      </c>
      <c r="AD24" s="61">
        <f t="shared" si="12"/>
        <v>134.67543000000001</v>
      </c>
      <c r="AE24" s="61">
        <f t="shared" si="12"/>
        <v>135.97560000000001</v>
      </c>
      <c r="AF24" s="61">
        <f t="shared" si="12"/>
        <v>152.05112</v>
      </c>
      <c r="AG24" s="61">
        <f t="shared" si="12"/>
        <v>153.32501999999999</v>
      </c>
      <c r="AH24" s="61">
        <f t="shared" si="12"/>
        <v>155.38077999999999</v>
      </c>
      <c r="AI24" s="61">
        <f t="shared" si="12"/>
        <v>159.87331999999998</v>
      </c>
      <c r="AJ24" s="61">
        <f t="shared" si="12"/>
        <v>163.99921000000001</v>
      </c>
      <c r="AK24" s="61">
        <f t="shared" si="12"/>
        <v>179.24424000000002</v>
      </c>
      <c r="AL24" s="61">
        <f t="shared" si="12"/>
        <v>181.69058000000004</v>
      </c>
      <c r="AM24" s="61">
        <f t="shared" si="12"/>
        <v>196.70267999999999</v>
      </c>
      <c r="AN24" s="61">
        <f t="shared" si="12"/>
        <v>212.18599999999995</v>
      </c>
      <c r="AO24" s="61">
        <f t="shared" si="12"/>
        <v>241.89637999999999</v>
      </c>
      <c r="AP24" s="61">
        <f t="shared" si="12"/>
        <v>231.49535</v>
      </c>
      <c r="AQ24" s="61">
        <f t="shared" si="12"/>
        <v>240.31947</v>
      </c>
      <c r="AR24" s="61">
        <f t="shared" si="12"/>
        <v>246.19884999999996</v>
      </c>
      <c r="AS24" s="61">
        <f t="shared" si="12"/>
        <v>247.49930000000001</v>
      </c>
      <c r="AT24" s="62">
        <f t="shared" si="12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>+F26+F24</f>
        <v>997.87309999999991</v>
      </c>
      <c r="G28" s="62">
        <f>+G26+G24</f>
        <v>1671.0211999999999</v>
      </c>
      <c r="I28" s="63">
        <f>+I26+I24</f>
        <v>1524.41065</v>
      </c>
      <c r="J28" s="61">
        <f>+J26+J24</f>
        <v>2552.5312300000001</v>
      </c>
      <c r="K28" s="62">
        <f>+K26+K24</f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13">+P26+P19</f>
        <v>0</v>
      </c>
      <c r="Q28" s="61">
        <f t="shared" si="13"/>
        <v>0</v>
      </c>
      <c r="R28" s="61">
        <f t="shared" si="13"/>
        <v>0</v>
      </c>
      <c r="S28" s="61">
        <f t="shared" si="13"/>
        <v>0</v>
      </c>
      <c r="T28" s="61">
        <f t="shared" si="13"/>
        <v>0</v>
      </c>
      <c r="U28" s="61">
        <f t="shared" si="13"/>
        <v>0</v>
      </c>
      <c r="V28" s="61">
        <f t="shared" si="13"/>
        <v>0</v>
      </c>
      <c r="W28" s="61">
        <f t="shared" si="13"/>
        <v>0</v>
      </c>
      <c r="X28" s="61">
        <f t="shared" si="13"/>
        <v>0</v>
      </c>
      <c r="Y28" s="61">
        <f t="shared" si="13"/>
        <v>0</v>
      </c>
      <c r="Z28" s="61">
        <f t="shared" si="13"/>
        <v>0</v>
      </c>
      <c r="AA28" s="61">
        <f t="shared" si="13"/>
        <v>0</v>
      </c>
      <c r="AB28" s="61">
        <f t="shared" si="13"/>
        <v>0</v>
      </c>
      <c r="AC28" s="61">
        <f t="shared" si="13"/>
        <v>0</v>
      </c>
      <c r="AD28" s="61">
        <f t="shared" si="13"/>
        <v>0</v>
      </c>
      <c r="AE28" s="61">
        <f t="shared" si="13"/>
        <v>0</v>
      </c>
      <c r="AF28" s="61">
        <f t="shared" si="13"/>
        <v>0</v>
      </c>
      <c r="AG28" s="61">
        <f t="shared" si="13"/>
        <v>0</v>
      </c>
      <c r="AH28" s="61">
        <f t="shared" si="13"/>
        <v>0</v>
      </c>
      <c r="AI28" s="61">
        <f t="shared" si="13"/>
        <v>0</v>
      </c>
      <c r="AJ28" s="61">
        <f t="shared" si="13"/>
        <v>0.875</v>
      </c>
      <c r="AK28" s="61">
        <f t="shared" si="13"/>
        <v>1.65</v>
      </c>
      <c r="AL28" s="61">
        <f t="shared" si="13"/>
        <v>0</v>
      </c>
      <c r="AM28" s="61">
        <f t="shared" si="13"/>
        <v>0.875</v>
      </c>
      <c r="AN28" s="61">
        <f t="shared" si="13"/>
        <v>0</v>
      </c>
      <c r="AO28" s="61">
        <f t="shared" si="13"/>
        <v>0</v>
      </c>
      <c r="AP28" s="61">
        <f t="shared" si="13"/>
        <v>14.19</v>
      </c>
      <c r="AQ28" s="61">
        <f t="shared" si="13"/>
        <v>6.625</v>
      </c>
      <c r="AR28" s="61">
        <f t="shared" si="13"/>
        <v>0</v>
      </c>
      <c r="AS28" s="61">
        <f t="shared" si="13"/>
        <v>3.1</v>
      </c>
      <c r="AT28" s="62">
        <f t="shared" si="13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14">SUMIFS($P31:$AT31,$P$5:$AT$5,"&gt;"&amp;C$199,$P$5:$AT$5,"&lt;"&amp;C$200)</f>
        <v>101.37520000000001</v>
      </c>
      <c r="D31" s="23">
        <f t="shared" si="14"/>
        <v>281.24054000000001</v>
      </c>
      <c r="E31" s="23"/>
      <c r="F31" s="23">
        <f t="shared" ref="F31:G39" si="15">SUMIFS($P31:$AT31,$P$5:$AT$5,"&gt;"&amp;F$199,$P$5:$AT$5,"&lt;"&amp;F$200)</f>
        <v>136.29648</v>
      </c>
      <c r="G31" s="23">
        <f t="shared" si="15"/>
        <v>357.27472</v>
      </c>
      <c r="H31" s="23"/>
      <c r="I31" s="23">
        <f t="shared" ref="I31:J39" si="16">SUMIFS($P31:$AT31,$P$5:$AT$5,"&gt;"&amp;I$199,$P$5:$AT$5,"&lt;"&amp;I$200)</f>
        <v>202.41598000000002</v>
      </c>
      <c r="J31" s="23">
        <f t="shared" si="16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17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14"/>
        <v>183.36902999999998</v>
      </c>
      <c r="D32" s="23">
        <f t="shared" si="14"/>
        <v>316.18462</v>
      </c>
      <c r="E32" s="23"/>
      <c r="F32" s="23">
        <f t="shared" si="15"/>
        <v>147.26813000000001</v>
      </c>
      <c r="G32" s="23">
        <f t="shared" si="15"/>
        <v>267.75739999999996</v>
      </c>
      <c r="H32" s="23"/>
      <c r="I32" s="23">
        <f t="shared" si="16"/>
        <v>240.18097999999998</v>
      </c>
      <c r="J32" s="23">
        <f t="shared" si="16"/>
        <v>436.67388999999997</v>
      </c>
      <c r="K32" s="65">
        <f>+C130</f>
        <v>492.6</v>
      </c>
      <c r="L32" s="65"/>
      <c r="M32" s="23">
        <f t="shared" ref="M32:M39" si="18">K32-J32</f>
        <v>55.926110000000051</v>
      </c>
      <c r="N32" s="66">
        <f t="shared" si="17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14"/>
        <v>286.16129000000001</v>
      </c>
      <c r="D33" s="23">
        <f t="shared" si="14"/>
        <v>352.95844</v>
      </c>
      <c r="E33" s="23"/>
      <c r="F33" s="23">
        <f t="shared" si="15"/>
        <v>201.27983</v>
      </c>
      <c r="G33" s="23">
        <f t="shared" si="15"/>
        <v>202.05309</v>
      </c>
      <c r="H33" s="23"/>
      <c r="I33" s="23">
        <f t="shared" si="16"/>
        <v>353.12842999999998</v>
      </c>
      <c r="J33" s="23">
        <f t="shared" si="16"/>
        <v>353.7317000000001</v>
      </c>
      <c r="K33" s="65">
        <f>+C132</f>
        <v>392.92452000000003</v>
      </c>
      <c r="L33" s="65"/>
      <c r="M33" s="23">
        <f t="shared" si="18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14"/>
        <v>122.81254999999999</v>
      </c>
      <c r="D34" s="23">
        <f t="shared" si="14"/>
        <v>152.16972000000001</v>
      </c>
      <c r="E34" s="23"/>
      <c r="F34" s="23">
        <f t="shared" si="15"/>
        <v>73.949619999999996</v>
      </c>
      <c r="G34" s="23">
        <f t="shared" si="15"/>
        <v>111.27999</v>
      </c>
      <c r="H34" s="23"/>
      <c r="I34" s="23">
        <f t="shared" si="16"/>
        <v>121.30735</v>
      </c>
      <c r="J34" s="23">
        <f t="shared" si="16"/>
        <v>189.50009</v>
      </c>
      <c r="K34" s="65">
        <f>+C136</f>
        <v>197.14943999999997</v>
      </c>
      <c r="L34" s="65"/>
      <c r="M34" s="23">
        <f t="shared" si="18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14"/>
        <v>0</v>
      </c>
      <c r="D35" s="23">
        <f t="shared" si="14"/>
        <v>90.66704</v>
      </c>
      <c r="E35" s="23"/>
      <c r="F35" s="23">
        <f t="shared" si="15"/>
        <v>45.466120000000004</v>
      </c>
      <c r="G35" s="23">
        <f t="shared" si="15"/>
        <v>63.143019999999993</v>
      </c>
      <c r="H35" s="23"/>
      <c r="I35" s="23">
        <f t="shared" si="16"/>
        <v>45.466120000000004</v>
      </c>
      <c r="J35" s="23">
        <f t="shared" si="16"/>
        <v>108.34394</v>
      </c>
      <c r="K35" s="65">
        <f>+C131</f>
        <v>108.34394</v>
      </c>
      <c r="L35" s="65"/>
      <c r="M35" s="23">
        <f t="shared" si="18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14"/>
        <v>0</v>
      </c>
      <c r="D36" s="23">
        <f t="shared" si="14"/>
        <v>19.149630000000002</v>
      </c>
      <c r="E36" s="23"/>
      <c r="F36" s="23">
        <f t="shared" si="15"/>
        <v>3.09945</v>
      </c>
      <c r="G36" s="23">
        <f t="shared" si="15"/>
        <v>51.941310000000001</v>
      </c>
      <c r="H36" s="23"/>
      <c r="I36" s="23">
        <f t="shared" si="16"/>
        <v>3.09945</v>
      </c>
      <c r="J36" s="23">
        <f t="shared" si="16"/>
        <v>67.991489999999999</v>
      </c>
      <c r="K36" s="65">
        <f>+C133</f>
        <v>98.349119999999999</v>
      </c>
      <c r="L36" s="65"/>
      <c r="M36" s="23">
        <f t="shared" si="18"/>
        <v>30.35763</v>
      </c>
      <c r="N36" s="66">
        <f t="shared" si="17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14"/>
        <v>1.1133499999999998</v>
      </c>
      <c r="D37" s="23">
        <f t="shared" si="14"/>
        <v>29.564150000000001</v>
      </c>
      <c r="E37" s="23"/>
      <c r="F37" s="23">
        <f t="shared" si="15"/>
        <v>14.275850000000002</v>
      </c>
      <c r="G37" s="23">
        <f t="shared" si="15"/>
        <v>42.085049999999995</v>
      </c>
      <c r="H37" s="23"/>
      <c r="I37" s="23">
        <f t="shared" si="16"/>
        <v>15.389199999999999</v>
      </c>
      <c r="J37" s="23">
        <f t="shared" si="16"/>
        <v>57.373349999999995</v>
      </c>
      <c r="K37" s="65">
        <f>+C134</f>
        <v>58.2</v>
      </c>
      <c r="L37" s="65"/>
      <c r="M37" s="23">
        <f t="shared" si="18"/>
        <v>0.82665000000000788</v>
      </c>
      <c r="N37" s="66">
        <f t="shared" si="17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14"/>
        <v>0</v>
      </c>
      <c r="D38" s="23">
        <f t="shared" si="14"/>
        <v>0</v>
      </c>
      <c r="E38" s="23"/>
      <c r="F38" s="23">
        <f t="shared" si="15"/>
        <v>0</v>
      </c>
      <c r="G38" s="23">
        <f t="shared" si="15"/>
        <v>7.9949999999999992</v>
      </c>
      <c r="H38" s="23"/>
      <c r="I38" s="23">
        <f t="shared" si="16"/>
        <v>0</v>
      </c>
      <c r="J38" s="23">
        <f t="shared" si="16"/>
        <v>7.9949999999999992</v>
      </c>
      <c r="K38" s="65">
        <f>+C135</f>
        <v>33.081240000000001</v>
      </c>
      <c r="L38" s="65"/>
      <c r="M38" s="23">
        <f t="shared" si="18"/>
        <v>25.086240000000004</v>
      </c>
      <c r="N38" s="66">
        <f t="shared" si="17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14"/>
        <v>5.3740499999999995</v>
      </c>
      <c r="D39" s="23">
        <f t="shared" si="14"/>
        <v>19.23245</v>
      </c>
      <c r="E39" s="23"/>
      <c r="F39" s="23">
        <f t="shared" si="15"/>
        <v>9.0216600000000007</v>
      </c>
      <c r="G39" s="23">
        <f t="shared" si="15"/>
        <v>17.36251</v>
      </c>
      <c r="H39" s="23"/>
      <c r="I39" s="23">
        <f t="shared" si="16"/>
        <v>12.16686</v>
      </c>
      <c r="J39" s="23">
        <f t="shared" si="16"/>
        <v>27.573299999999996</v>
      </c>
      <c r="K39" s="65">
        <f>+C137</f>
        <v>32.178359999999998</v>
      </c>
      <c r="L39" s="65"/>
      <c r="M39" s="23">
        <f t="shared" si="18"/>
        <v>4.6050600000000017</v>
      </c>
      <c r="N39" s="66">
        <f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17"/>
        <v>0.1956861817079365</v>
      </c>
      <c r="P40" s="59">
        <f t="shared" ref="P40:AT40" si="19">SUM(P31:P39)</f>
        <v>31.74682</v>
      </c>
      <c r="Q40" s="59">
        <f t="shared" si="19"/>
        <v>37.626089999999998</v>
      </c>
      <c r="R40" s="59">
        <f t="shared" si="19"/>
        <v>37.778649999999999</v>
      </c>
      <c r="S40" s="59">
        <f t="shared" si="19"/>
        <v>50.818180000000005</v>
      </c>
      <c r="T40" s="59">
        <f t="shared" si="19"/>
        <v>70.644099999999995</v>
      </c>
      <c r="U40" s="59">
        <f t="shared" si="19"/>
        <v>52.940650000000005</v>
      </c>
      <c r="V40" s="59">
        <f t="shared" si="19"/>
        <v>56.153749999999995</v>
      </c>
      <c r="W40" s="59">
        <f t="shared" si="19"/>
        <v>52.541019999999996</v>
      </c>
      <c r="X40" s="59">
        <f t="shared" si="19"/>
        <v>58.642799999999994</v>
      </c>
      <c r="Y40" s="59">
        <f t="shared" si="19"/>
        <v>62.41675</v>
      </c>
      <c r="Z40" s="59">
        <f t="shared" si="19"/>
        <v>95.206890000000001</v>
      </c>
      <c r="AA40" s="59">
        <f t="shared" si="19"/>
        <v>93.689769999999996</v>
      </c>
      <c r="AB40" s="59">
        <f t="shared" si="19"/>
        <v>86.697400000000016</v>
      </c>
      <c r="AC40" s="59">
        <f t="shared" si="19"/>
        <v>70.622489999999999</v>
      </c>
      <c r="AD40" s="59">
        <f t="shared" si="19"/>
        <v>79.527290000000008</v>
      </c>
      <c r="AE40" s="59">
        <f t="shared" si="19"/>
        <v>92.874989999999997</v>
      </c>
      <c r="AF40" s="59">
        <f t="shared" si="19"/>
        <v>96.682289999999995</v>
      </c>
      <c r="AG40" s="59">
        <f t="shared" si="19"/>
        <v>95.893410000000017</v>
      </c>
      <c r="AH40" s="59">
        <f t="shared" si="19"/>
        <v>108.35927</v>
      </c>
      <c r="AI40" s="59">
        <f t="shared" si="19"/>
        <v>103.32645000000001</v>
      </c>
      <c r="AJ40" s="59">
        <f t="shared" si="19"/>
        <v>120.57245999999999</v>
      </c>
      <c r="AK40" s="59">
        <f t="shared" si="19"/>
        <v>138.08331000000001</v>
      </c>
      <c r="AL40" s="59">
        <f t="shared" si="19"/>
        <v>122.83484</v>
      </c>
      <c r="AM40" s="59">
        <f t="shared" si="19"/>
        <v>145.69238999999999</v>
      </c>
      <c r="AN40" s="59">
        <f t="shared" si="19"/>
        <v>135.50082</v>
      </c>
      <c r="AO40" s="59">
        <f t="shared" si="19"/>
        <v>117.71538000000001</v>
      </c>
      <c r="AP40" s="59">
        <f t="shared" si="19"/>
        <v>169.54907000000003</v>
      </c>
      <c r="AQ40" s="59">
        <f t="shared" si="19"/>
        <v>171.55422000000002</v>
      </c>
      <c r="AR40" s="59">
        <f t="shared" si="19"/>
        <v>168.43431999999996</v>
      </c>
      <c r="AS40" s="59">
        <f t="shared" si="19"/>
        <v>177.74943999999994</v>
      </c>
      <c r="AT40" s="59">
        <f t="shared" si="19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20">SUMIFS($P42:$AT42,$P$5:$AT$5,"&gt;"&amp;C$199,$P$5:$AT$5,"&lt;"&amp;C$200)</f>
        <v>114.42268999999999</v>
      </c>
      <c r="D42" s="23">
        <f t="shared" si="20"/>
        <v>157.49471000000003</v>
      </c>
      <c r="E42" s="23"/>
      <c r="F42" s="23">
        <f t="shared" ref="F42:G45" si="21">SUMIFS($P42:$AT42,$P$5:$AT$5,"&gt;"&amp;F$199,$P$5:$AT$5,"&lt;"&amp;F$200)</f>
        <v>84.968590000000006</v>
      </c>
      <c r="G42" s="23">
        <f t="shared" si="21"/>
        <v>152.28157000000002</v>
      </c>
      <c r="H42" s="23"/>
      <c r="I42" s="23">
        <f t="shared" ref="I42:J45" si="22">SUMIFS($P42:$AT42,$P$5:$AT$5,"&gt;"&amp;I$199,$P$5:$AT$5,"&lt;"&amp;I$200)</f>
        <v>142.28344999999999</v>
      </c>
      <c r="J42" s="23">
        <f t="shared" si="22"/>
        <v>224.80769000000001</v>
      </c>
      <c r="K42" s="65">
        <f>+C141</f>
        <v>335.70816000000002</v>
      </c>
      <c r="L42" s="65"/>
      <c r="M42" s="23">
        <f>K42-J42</f>
        <v>110.90047000000001</v>
      </c>
      <c r="N42" s="66">
        <f t="shared" ref="N42:N48" si="23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20"/>
        <v>60.915939999999999</v>
      </c>
      <c r="D43" s="23">
        <f t="shared" si="20"/>
        <v>117.05866</v>
      </c>
      <c r="E43" s="23"/>
      <c r="F43" s="23">
        <f t="shared" si="21"/>
        <v>56.811500000000009</v>
      </c>
      <c r="G43" s="23">
        <f t="shared" si="21"/>
        <v>97.04798000000001</v>
      </c>
      <c r="H43" s="23"/>
      <c r="I43" s="23">
        <f t="shared" si="22"/>
        <v>86.514889999999994</v>
      </c>
      <c r="J43" s="23">
        <f t="shared" si="22"/>
        <v>157.29514</v>
      </c>
      <c r="K43" s="65">
        <f>+C142</f>
        <v>155.82264000000001</v>
      </c>
      <c r="L43" s="65"/>
      <c r="M43" s="23">
        <f>K43-J43</f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20"/>
        <v>0</v>
      </c>
      <c r="D44" s="23">
        <f t="shared" si="20"/>
        <v>7.1412499999999994</v>
      </c>
      <c r="E44" s="23"/>
      <c r="F44" s="23">
        <f t="shared" si="21"/>
        <v>0</v>
      </c>
      <c r="G44" s="23">
        <f t="shared" si="21"/>
        <v>28.827750000000002</v>
      </c>
      <c r="H44" s="23"/>
      <c r="I44" s="23">
        <f t="shared" si="22"/>
        <v>0</v>
      </c>
      <c r="J44" s="23">
        <f t="shared" si="22"/>
        <v>35.969000000000001</v>
      </c>
      <c r="K44" s="65">
        <f>+C143</f>
        <v>60.84</v>
      </c>
      <c r="L44" s="65"/>
      <c r="M44" s="23">
        <f>K44-J44</f>
        <v>24.871000000000002</v>
      </c>
      <c r="N44" s="66">
        <f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20"/>
        <v>0</v>
      </c>
      <c r="D45" s="23">
        <f t="shared" si="20"/>
        <v>0</v>
      </c>
      <c r="E45" s="23"/>
      <c r="F45" s="23">
        <f t="shared" si="21"/>
        <v>0</v>
      </c>
      <c r="G45" s="23">
        <f t="shared" si="21"/>
        <v>6.52752</v>
      </c>
      <c r="H45" s="23"/>
      <c r="I45" s="23">
        <f t="shared" si="22"/>
        <v>0</v>
      </c>
      <c r="J45" s="23">
        <f t="shared" si="22"/>
        <v>6.52752</v>
      </c>
      <c r="K45" s="65">
        <f>+C144</f>
        <v>15.743759999999998</v>
      </c>
      <c r="L45" s="65"/>
      <c r="M45" s="23">
        <f>K45-J45</f>
        <v>9.2162399999999991</v>
      </c>
      <c r="N45" s="66">
        <f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>SUM(F42:F45)</f>
        <v>141.78009000000003</v>
      </c>
      <c r="G46" s="59">
        <f>SUM(G42:G45)</f>
        <v>284.68482</v>
      </c>
      <c r="I46" s="59">
        <f>SUM(I42:I45)</f>
        <v>228.79834</v>
      </c>
      <c r="J46" s="59">
        <f>SUM(J42:J45)</f>
        <v>424.59935000000002</v>
      </c>
      <c r="K46" s="59">
        <f>SUM(K42:K45)</f>
        <v>568.11455999999998</v>
      </c>
      <c r="L46" s="71"/>
      <c r="M46" s="59">
        <f>SUM(M42:M45)</f>
        <v>143.51521000000002</v>
      </c>
      <c r="N46" s="89">
        <f t="shared" si="23"/>
        <v>0.33800148304513411</v>
      </c>
      <c r="P46" s="59">
        <f t="shared" ref="P46:AT46" si="24">SUM(P42:P45)</f>
        <v>10.52585</v>
      </c>
      <c r="Q46" s="59">
        <f t="shared" si="24"/>
        <v>10.63571</v>
      </c>
      <c r="R46" s="59">
        <f t="shared" si="24"/>
        <v>11.751950000000001</v>
      </c>
      <c r="S46" s="59">
        <f t="shared" si="24"/>
        <v>11.98489</v>
      </c>
      <c r="T46" s="59">
        <f t="shared" si="24"/>
        <v>12.81546</v>
      </c>
      <c r="U46" s="59">
        <f t="shared" si="24"/>
        <v>14.24615</v>
      </c>
      <c r="V46" s="59">
        <f t="shared" si="24"/>
        <v>16.36037</v>
      </c>
      <c r="W46" s="59">
        <f t="shared" si="24"/>
        <v>16.36683</v>
      </c>
      <c r="X46" s="59">
        <f t="shared" si="24"/>
        <v>16.550719999999998</v>
      </c>
      <c r="Y46" s="59">
        <f t="shared" si="24"/>
        <v>17.8567</v>
      </c>
      <c r="Z46" s="59">
        <f t="shared" si="24"/>
        <v>17.59788</v>
      </c>
      <c r="AA46" s="59">
        <f t="shared" si="24"/>
        <v>18.64612</v>
      </c>
      <c r="AB46" s="59">
        <f t="shared" si="24"/>
        <v>18.594989999999999</v>
      </c>
      <c r="AC46" s="59">
        <f t="shared" si="24"/>
        <v>20.10492</v>
      </c>
      <c r="AD46" s="59">
        <f t="shared" si="24"/>
        <v>19.462519999999998</v>
      </c>
      <c r="AE46" s="59">
        <f t="shared" si="24"/>
        <v>19.645500000000002</v>
      </c>
      <c r="AF46" s="59">
        <f t="shared" si="24"/>
        <v>20.642859999999999</v>
      </c>
      <c r="AG46" s="59">
        <f t="shared" si="24"/>
        <v>21.20917</v>
      </c>
      <c r="AH46" s="59">
        <f t="shared" si="24"/>
        <v>22.120130000000003</v>
      </c>
      <c r="AI46" s="59">
        <f t="shared" si="24"/>
        <v>24.11375</v>
      </c>
      <c r="AJ46" s="59">
        <f t="shared" si="24"/>
        <v>25.266280000000002</v>
      </c>
      <c r="AK46" s="59">
        <f t="shared" si="24"/>
        <v>25.829260000000001</v>
      </c>
      <c r="AL46" s="59">
        <f t="shared" si="24"/>
        <v>30.724890000000002</v>
      </c>
      <c r="AM46" s="59">
        <f t="shared" si="24"/>
        <v>33.980350000000001</v>
      </c>
      <c r="AN46" s="59">
        <f t="shared" si="24"/>
        <v>34.801209999999998</v>
      </c>
      <c r="AO46" s="59">
        <f t="shared" si="24"/>
        <v>36.180370000000003</v>
      </c>
      <c r="AP46" s="59">
        <f t="shared" si="24"/>
        <v>37.779439999999994</v>
      </c>
      <c r="AQ46" s="59">
        <f t="shared" si="24"/>
        <v>42.557700000000004</v>
      </c>
      <c r="AR46" s="59">
        <f t="shared" si="24"/>
        <v>41.873910000000002</v>
      </c>
      <c r="AS46" s="59">
        <f t="shared" si="24"/>
        <v>44.14931</v>
      </c>
      <c r="AT46" s="59">
        <f t="shared" si="24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25">SUMIFS($P48:$AT48,$P$5:$AT$5,"&gt;"&amp;C$199,$P$5:$AT$5,"&lt;"&amp;C$200)</f>
        <v>18.234249999999999</v>
      </c>
      <c r="D48" s="23">
        <f t="shared" si="25"/>
        <v>27.040950000000002</v>
      </c>
      <c r="E48" s="23"/>
      <c r="F48" s="23">
        <f t="shared" ref="F48:G65" si="26">SUMIFS($P48:$AT48,$P$5:$AT$5,"&gt;"&amp;F$199,$P$5:$AT$5,"&lt;"&amp;F$200)</f>
        <v>12.014000000000001</v>
      </c>
      <c r="G48" s="23">
        <f t="shared" si="26"/>
        <v>57.55</v>
      </c>
      <c r="H48" s="23"/>
      <c r="I48" s="23">
        <f t="shared" ref="I48:J65" si="27">SUMIFS($P48:$AT48,$P$5:$AT$5,"&gt;"&amp;I$199,$P$5:$AT$5,"&lt;"&amp;I$200)</f>
        <v>21.74858</v>
      </c>
      <c r="J48" s="23">
        <f t="shared" si="27"/>
        <v>72.576949999999997</v>
      </c>
      <c r="K48" s="65">
        <f t="shared" ref="K48:K53" si="28">+C148</f>
        <v>72.576949999999997</v>
      </c>
      <c r="L48" s="65"/>
      <c r="M48" s="23">
        <f t="shared" ref="M48:M65" si="29">K48-J48</f>
        <v>0</v>
      </c>
      <c r="N48" s="66">
        <f t="shared" si="23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25"/>
        <v>24.819999999999997</v>
      </c>
      <c r="D49" s="23">
        <f t="shared" si="25"/>
        <v>27.153739999999999</v>
      </c>
      <c r="E49" s="23"/>
      <c r="F49" s="23">
        <f t="shared" si="26"/>
        <v>17.089500000000001</v>
      </c>
      <c r="G49" s="23">
        <f t="shared" si="26"/>
        <v>20.62969</v>
      </c>
      <c r="H49" s="23"/>
      <c r="I49" s="23">
        <f t="shared" si="27"/>
        <v>26.209499999999998</v>
      </c>
      <c r="J49" s="23">
        <f t="shared" si="27"/>
        <v>30.693929999999998</v>
      </c>
      <c r="K49" s="65">
        <f t="shared" si="28"/>
        <v>30.693929999999998</v>
      </c>
      <c r="L49" s="65"/>
      <c r="M49" s="23">
        <f t="shared" si="29"/>
        <v>0</v>
      </c>
      <c r="N49" s="66">
        <f t="shared" ref="N49:N66" si="30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25"/>
        <v>0</v>
      </c>
      <c r="D50" s="23">
        <f t="shared" si="25"/>
        <v>29.761219999999998</v>
      </c>
      <c r="E50" s="23"/>
      <c r="F50" s="23">
        <f t="shared" si="26"/>
        <v>22.295579999999998</v>
      </c>
      <c r="G50" s="23">
        <f t="shared" si="26"/>
        <v>20.685420000000001</v>
      </c>
      <c r="H50" s="23"/>
      <c r="I50" s="23">
        <f t="shared" si="27"/>
        <v>22.295579999999998</v>
      </c>
      <c r="J50" s="23">
        <f t="shared" si="27"/>
        <v>28.151060000000001</v>
      </c>
      <c r="K50" s="65">
        <f t="shared" si="28"/>
        <v>28.151060000000001</v>
      </c>
      <c r="L50" s="65"/>
      <c r="M50" s="23">
        <f t="shared" si="29"/>
        <v>0</v>
      </c>
      <c r="N50" s="66">
        <f t="shared" si="30"/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25"/>
        <v>8.670989999999998</v>
      </c>
      <c r="D51" s="23">
        <f t="shared" si="25"/>
        <v>13.35153</v>
      </c>
      <c r="E51" s="23"/>
      <c r="F51" s="23">
        <f t="shared" si="26"/>
        <v>6.8044500000000001</v>
      </c>
      <c r="G51" s="23">
        <f t="shared" si="26"/>
        <v>9.02684</v>
      </c>
      <c r="H51" s="23"/>
      <c r="I51" s="23">
        <f t="shared" si="27"/>
        <v>10.54373</v>
      </c>
      <c r="J51" s="23">
        <f t="shared" si="27"/>
        <v>15.573919999999999</v>
      </c>
      <c r="K51" s="65">
        <f t="shared" si="28"/>
        <v>15.573919999999999</v>
      </c>
      <c r="L51" s="65"/>
      <c r="M51" s="23">
        <f t="shared" si="29"/>
        <v>0</v>
      </c>
      <c r="N51" s="66">
        <f t="shared" si="30"/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25"/>
        <v>5.4433199999999999</v>
      </c>
      <c r="D52" s="23">
        <f t="shared" si="25"/>
        <v>11.22296</v>
      </c>
      <c r="E52" s="23"/>
      <c r="F52" s="23">
        <f t="shared" si="26"/>
        <v>6.1909999999999989</v>
      </c>
      <c r="G52" s="23">
        <f t="shared" si="26"/>
        <v>6.5788099999999998</v>
      </c>
      <c r="H52" s="23"/>
      <c r="I52" s="23">
        <f t="shared" si="27"/>
        <v>9.5326799999999974</v>
      </c>
      <c r="J52" s="23">
        <f t="shared" si="27"/>
        <v>11.61077</v>
      </c>
      <c r="K52" s="65">
        <f t="shared" si="28"/>
        <v>11.61077</v>
      </c>
      <c r="L52" s="65"/>
      <c r="M52" s="23">
        <f t="shared" si="29"/>
        <v>0</v>
      </c>
      <c r="N52" s="66">
        <f t="shared" si="30"/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25"/>
        <v>0</v>
      </c>
      <c r="D53" s="23">
        <f t="shared" si="25"/>
        <v>11.4983</v>
      </c>
      <c r="E53" s="23"/>
      <c r="F53" s="23">
        <f t="shared" si="26"/>
        <v>0</v>
      </c>
      <c r="G53" s="23">
        <f t="shared" si="26"/>
        <v>11.84548</v>
      </c>
      <c r="H53" s="23"/>
      <c r="I53" s="23">
        <f t="shared" si="27"/>
        <v>0</v>
      </c>
      <c r="J53" s="23">
        <f t="shared" si="27"/>
        <v>23.343780000000002</v>
      </c>
      <c r="K53" s="65">
        <f t="shared" si="28"/>
        <v>23.343780000000002</v>
      </c>
      <c r="L53" s="65"/>
      <c r="M53" s="23">
        <f t="shared" si="29"/>
        <v>0</v>
      </c>
      <c r="N53" s="66">
        <f t="shared" si="30"/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25"/>
        <v>0</v>
      </c>
      <c r="D54" s="23">
        <f t="shared" si="25"/>
        <v>1.5874999999999999</v>
      </c>
      <c r="E54" s="23"/>
      <c r="F54" s="23">
        <f t="shared" si="26"/>
        <v>0</v>
      </c>
      <c r="G54" s="23">
        <f t="shared" si="26"/>
        <v>30.515499999999999</v>
      </c>
      <c r="H54" s="23"/>
      <c r="I54" s="23">
        <f t="shared" si="27"/>
        <v>0</v>
      </c>
      <c r="J54" s="23">
        <f t="shared" si="27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 t="shared" si="30"/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25"/>
        <v>14.902050000000003</v>
      </c>
      <c r="D55" s="23">
        <f t="shared" si="25"/>
        <v>31.604100000000003</v>
      </c>
      <c r="E55" s="23"/>
      <c r="F55" s="23">
        <f t="shared" si="26"/>
        <v>28.299939999999999</v>
      </c>
      <c r="G55" s="23">
        <f t="shared" si="26"/>
        <v>5.5646000000000004</v>
      </c>
      <c r="H55" s="23"/>
      <c r="I55" s="23">
        <f t="shared" si="27"/>
        <v>35.346060000000008</v>
      </c>
      <c r="J55" s="23">
        <f t="shared" si="27"/>
        <v>8.86876</v>
      </c>
      <c r="K55" s="65">
        <f>+C155</f>
        <v>8.86876</v>
      </c>
      <c r="L55" s="65"/>
      <c r="M55" s="23">
        <f t="shared" si="29"/>
        <v>0</v>
      </c>
      <c r="N55" s="66">
        <f t="shared" si="30"/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25"/>
        <v>6.673</v>
      </c>
      <c r="D56" s="23">
        <f t="shared" si="25"/>
        <v>6.673</v>
      </c>
      <c r="E56" s="23"/>
      <c r="F56" s="23">
        <f t="shared" si="26"/>
        <v>0</v>
      </c>
      <c r="G56" s="23">
        <f t="shared" si="26"/>
        <v>0</v>
      </c>
      <c r="H56" s="23"/>
      <c r="I56" s="23">
        <f t="shared" si="27"/>
        <v>6.673</v>
      </c>
      <c r="J56" s="23">
        <f t="shared" si="27"/>
        <v>6.673</v>
      </c>
      <c r="K56" s="65">
        <f t="shared" ref="K56:K61" si="31">+C156</f>
        <v>6.673</v>
      </c>
      <c r="L56" s="65"/>
      <c r="M56" s="23">
        <f t="shared" si="29"/>
        <v>0</v>
      </c>
      <c r="N56" s="66">
        <f t="shared" si="30"/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25"/>
        <v>7.2617299999999982</v>
      </c>
      <c r="D57" s="23">
        <f t="shared" si="25"/>
        <v>4.91967</v>
      </c>
      <c r="E57" s="23"/>
      <c r="F57" s="23">
        <f t="shared" si="26"/>
        <v>2.9246699999999999</v>
      </c>
      <c r="G57" s="23">
        <f t="shared" si="26"/>
        <v>2.9085700000000001</v>
      </c>
      <c r="H57" s="23"/>
      <c r="I57" s="23">
        <f t="shared" si="27"/>
        <v>5.7418700000000005</v>
      </c>
      <c r="J57" s="23">
        <f t="shared" si="27"/>
        <v>4.9035700000000002</v>
      </c>
      <c r="K57" s="65">
        <f t="shared" si="31"/>
        <v>4.9035700000000002</v>
      </c>
      <c r="L57" s="65"/>
      <c r="M57" s="23">
        <f t="shared" si="29"/>
        <v>0</v>
      </c>
      <c r="N57" s="66">
        <f t="shared" si="30"/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25"/>
        <v>7.4969999999999999</v>
      </c>
      <c r="D58" s="23">
        <f t="shared" si="25"/>
        <v>9.984</v>
      </c>
      <c r="E58" s="23"/>
      <c r="F58" s="23">
        <f t="shared" si="26"/>
        <v>5.8940000000000001</v>
      </c>
      <c r="G58" s="23">
        <f t="shared" si="26"/>
        <v>1.1719999999999997</v>
      </c>
      <c r="H58" s="23"/>
      <c r="I58" s="23">
        <f t="shared" si="27"/>
        <v>4.673</v>
      </c>
      <c r="J58" s="23">
        <f t="shared" si="27"/>
        <v>5.2619999999999996</v>
      </c>
      <c r="K58" s="65">
        <f t="shared" si="31"/>
        <v>5.2619999999999996</v>
      </c>
      <c r="L58" s="65"/>
      <c r="M58" s="23">
        <f t="shared" si="29"/>
        <v>0</v>
      </c>
      <c r="N58" s="66">
        <f t="shared" si="30"/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25"/>
        <v>2.0899399999999999</v>
      </c>
      <c r="D59" s="23">
        <f t="shared" si="25"/>
        <v>2.6198199999999998</v>
      </c>
      <c r="E59" s="23"/>
      <c r="F59" s="23">
        <f t="shared" si="26"/>
        <v>1.44049</v>
      </c>
      <c r="G59" s="23">
        <f t="shared" si="26"/>
        <v>3.7097100000000003</v>
      </c>
      <c r="H59" s="23"/>
      <c r="I59" s="23">
        <f t="shared" si="27"/>
        <v>2.33371</v>
      </c>
      <c r="J59" s="23">
        <f t="shared" si="27"/>
        <v>4.8890399999999996</v>
      </c>
      <c r="K59" s="65">
        <f t="shared" si="31"/>
        <v>4.8890399999999996</v>
      </c>
      <c r="L59" s="65"/>
      <c r="M59" s="23">
        <f t="shared" si="29"/>
        <v>0</v>
      </c>
      <c r="N59" s="66">
        <f t="shared" si="30"/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25"/>
        <v>0</v>
      </c>
      <c r="D60" s="23">
        <f t="shared" si="25"/>
        <v>1.7559100000000001</v>
      </c>
      <c r="E60" s="23"/>
      <c r="F60" s="23">
        <f t="shared" si="26"/>
        <v>0.53894999999999993</v>
      </c>
      <c r="G60" s="23">
        <f t="shared" si="26"/>
        <v>1.5394899999999998</v>
      </c>
      <c r="H60" s="23"/>
      <c r="I60" s="23">
        <f t="shared" si="27"/>
        <v>0.53894999999999993</v>
      </c>
      <c r="J60" s="23">
        <f t="shared" si="27"/>
        <v>2.7564499999999996</v>
      </c>
      <c r="K60" s="65">
        <f t="shared" si="31"/>
        <v>8.4907199999999996</v>
      </c>
      <c r="L60" s="65"/>
      <c r="M60" s="23">
        <f t="shared" si="29"/>
        <v>5.7342700000000004</v>
      </c>
      <c r="N60" s="66">
        <f t="shared" si="30"/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25"/>
        <v>1.0598299999999998</v>
      </c>
      <c r="D61" s="23">
        <f t="shared" si="25"/>
        <v>3.2913300000000008</v>
      </c>
      <c r="E61" s="23"/>
      <c r="F61" s="23">
        <f t="shared" si="26"/>
        <v>2.0263300000000002</v>
      </c>
      <c r="G61" s="23">
        <f t="shared" si="26"/>
        <v>1.9429999999999996</v>
      </c>
      <c r="H61" s="23"/>
      <c r="I61" s="23">
        <f t="shared" si="27"/>
        <v>2.4513300000000005</v>
      </c>
      <c r="J61" s="23">
        <f t="shared" si="27"/>
        <v>3.2080000000000002</v>
      </c>
      <c r="K61" s="65">
        <f t="shared" si="31"/>
        <v>3.2080000000000002</v>
      </c>
      <c r="L61" s="65"/>
      <c r="M61" s="23">
        <f t="shared" si="29"/>
        <v>0</v>
      </c>
      <c r="N61" s="66">
        <f t="shared" si="30"/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25"/>
        <v>7.9639999999999989E-2</v>
      </c>
      <c r="D62" s="23">
        <f t="shared" si="25"/>
        <v>1.4224800000000002</v>
      </c>
      <c r="E62" s="23"/>
      <c r="F62" s="23">
        <f t="shared" si="26"/>
        <v>1.07704</v>
      </c>
      <c r="G62" s="23">
        <f t="shared" si="26"/>
        <v>0.81103000000000003</v>
      </c>
      <c r="H62" s="23"/>
      <c r="I62" s="23">
        <f t="shared" si="27"/>
        <v>1.1566799999999999</v>
      </c>
      <c r="J62" s="23">
        <f t="shared" si="27"/>
        <v>1.1564699999999999</v>
      </c>
      <c r="K62" s="65">
        <f>+C163</f>
        <v>1.1564699999999999</v>
      </c>
      <c r="L62" s="65"/>
      <c r="M62" s="23">
        <f t="shared" si="29"/>
        <v>0</v>
      </c>
      <c r="N62" s="66">
        <f t="shared" si="30"/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25"/>
        <v>1.3459299999999998</v>
      </c>
      <c r="D63" s="23">
        <f t="shared" si="25"/>
        <v>2.4943299999999997</v>
      </c>
      <c r="E63" s="23"/>
      <c r="F63" s="23">
        <f t="shared" si="26"/>
        <v>2.3808799999999999</v>
      </c>
      <c r="G63" s="23">
        <f t="shared" si="26"/>
        <v>3.2046100000000002</v>
      </c>
      <c r="H63" s="23"/>
      <c r="I63" s="23">
        <f t="shared" si="27"/>
        <v>2.3828199999999997</v>
      </c>
      <c r="J63" s="23">
        <f t="shared" si="27"/>
        <v>3.31806</v>
      </c>
      <c r="K63" s="65">
        <f>+C162</f>
        <v>3.31806</v>
      </c>
      <c r="L63" s="65"/>
      <c r="M63" s="23">
        <f t="shared" si="29"/>
        <v>0</v>
      </c>
      <c r="N63" s="66">
        <f t="shared" si="30"/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25"/>
        <v>-2.7359999999999999E-2</v>
      </c>
      <c r="D64" s="23">
        <f t="shared" si="25"/>
        <v>-0.21722</v>
      </c>
      <c r="E64" s="23"/>
      <c r="F64" s="23">
        <f t="shared" si="26"/>
        <v>-0.11732999999999999</v>
      </c>
      <c r="G64" s="23">
        <f t="shared" si="26"/>
        <v>-0.15586999999999998</v>
      </c>
      <c r="H64" s="23"/>
      <c r="I64" s="23">
        <f t="shared" si="27"/>
        <v>-0.14468999999999999</v>
      </c>
      <c r="J64" s="23">
        <f t="shared" si="27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 t="shared" si="30"/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25"/>
        <v>15.899579999999998</v>
      </c>
      <c r="D65" s="23">
        <f t="shared" si="25"/>
        <v>19.378</v>
      </c>
      <c r="E65" s="23"/>
      <c r="F65" s="23">
        <f t="shared" si="26"/>
        <v>12.74039</v>
      </c>
      <c r="G65" s="23">
        <f t="shared" si="26"/>
        <v>11.77191</v>
      </c>
      <c r="H65" s="23"/>
      <c r="I65" s="23">
        <f t="shared" si="27"/>
        <v>15.96214</v>
      </c>
      <c r="J65" s="23">
        <f t="shared" si="27"/>
        <v>18.409520000000001</v>
      </c>
      <c r="K65" s="65">
        <f>+C165</f>
        <v>18.409520000000001</v>
      </c>
      <c r="L65" s="65"/>
      <c r="M65" s="23">
        <f t="shared" si="29"/>
        <v>0</v>
      </c>
      <c r="N65" s="66">
        <f t="shared" si="30"/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si="30"/>
        <v>4.5354471185524048E-2</v>
      </c>
      <c r="P66" s="59">
        <f t="shared" ref="P66:AT66" si="32">SUM(P48:P65)</f>
        <v>6.3498899999999994</v>
      </c>
      <c r="Q66" s="59">
        <f t="shared" si="32"/>
        <v>9.3383300000000009</v>
      </c>
      <c r="R66" s="59">
        <f t="shared" si="32"/>
        <v>10.572559999999999</v>
      </c>
      <c r="S66" s="59">
        <f t="shared" si="32"/>
        <v>17.246530000000003</v>
      </c>
      <c r="T66" s="59">
        <f t="shared" si="32"/>
        <v>5.7650100000000002</v>
      </c>
      <c r="U66" s="59">
        <f t="shared" si="32"/>
        <v>12.701700000000001</v>
      </c>
      <c r="V66" s="59">
        <f t="shared" si="32"/>
        <v>6.1308299999999996</v>
      </c>
      <c r="W66" s="59">
        <f t="shared" si="32"/>
        <v>6.3450800000000012</v>
      </c>
      <c r="X66" s="59">
        <f t="shared" si="32"/>
        <v>12.34346</v>
      </c>
      <c r="Y66" s="59">
        <f t="shared" si="32"/>
        <v>6.8983999999999996</v>
      </c>
      <c r="Z66" s="59">
        <f t="shared" si="32"/>
        <v>7.9963599999999984</v>
      </c>
      <c r="AA66" s="59">
        <f t="shared" si="32"/>
        <v>12.261750000000001</v>
      </c>
      <c r="AB66" s="59">
        <f t="shared" si="32"/>
        <v>12.998240000000001</v>
      </c>
      <c r="AC66" s="59">
        <f t="shared" si="32"/>
        <v>29.570220000000003</v>
      </c>
      <c r="AD66" s="59">
        <f t="shared" si="32"/>
        <v>15.127749999999995</v>
      </c>
      <c r="AE66" s="59">
        <f t="shared" si="32"/>
        <v>26.672890000000002</v>
      </c>
      <c r="AF66" s="59">
        <f t="shared" si="32"/>
        <v>16.811419999999995</v>
      </c>
      <c r="AG66" s="59">
        <f t="shared" si="32"/>
        <v>11.19876</v>
      </c>
      <c r="AH66" s="59">
        <f t="shared" si="32"/>
        <v>9.2206100000000024</v>
      </c>
      <c r="AI66" s="59">
        <f t="shared" si="32"/>
        <v>14.376060000000001</v>
      </c>
      <c r="AJ66" s="59">
        <f t="shared" si="32"/>
        <v>15.38611</v>
      </c>
      <c r="AK66" s="59">
        <f t="shared" si="32"/>
        <v>12.742199999999999</v>
      </c>
      <c r="AL66" s="59">
        <f t="shared" si="32"/>
        <v>14.61088</v>
      </c>
      <c r="AM66" s="59">
        <f t="shared" si="32"/>
        <v>26.826480000000007</v>
      </c>
      <c r="AN66" s="59">
        <f t="shared" si="32"/>
        <v>10.238199999999999</v>
      </c>
      <c r="AO66" s="59">
        <f t="shared" si="32"/>
        <v>17.660680000000003</v>
      </c>
      <c r="AP66" s="59">
        <f t="shared" si="32"/>
        <v>37.953969999999998</v>
      </c>
      <c r="AQ66" s="59">
        <f t="shared" si="32"/>
        <v>30.732039999999998</v>
      </c>
      <c r="AR66" s="59">
        <f t="shared" si="32"/>
        <v>36.065340000000006</v>
      </c>
      <c r="AS66" s="59">
        <f t="shared" si="32"/>
        <v>16.763590000000001</v>
      </c>
      <c r="AT66" s="59">
        <f t="shared" si="32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>IFERROR(K68/J68-1,0)</f>
        <v>-0.50948185371711641</v>
      </c>
      <c r="P68" s="110">
        <f t="shared" ref="P68:AT68" si="33">+P24-P40-P46-P66</f>
        <v>32.29054</v>
      </c>
      <c r="Q68" s="105">
        <f t="shared" si="33"/>
        <v>23.655570000000012</v>
      </c>
      <c r="R68" s="105">
        <f t="shared" si="33"/>
        <v>18.009040000000002</v>
      </c>
      <c r="S68" s="105">
        <f t="shared" si="33"/>
        <v>3.3036999999999814</v>
      </c>
      <c r="T68" s="105">
        <f t="shared" si="33"/>
        <v>0.97158000000002254</v>
      </c>
      <c r="U68" s="105">
        <f t="shared" si="33"/>
        <v>10.027299999999999</v>
      </c>
      <c r="V68" s="105">
        <f t="shared" si="33"/>
        <v>26.037100000000013</v>
      </c>
      <c r="W68" s="105">
        <f t="shared" si="33"/>
        <v>28.863819999999997</v>
      </c>
      <c r="X68" s="105">
        <f t="shared" si="33"/>
        <v>10.835770000000004</v>
      </c>
      <c r="Y68" s="105">
        <f t="shared" si="33"/>
        <v>11.887049999999981</v>
      </c>
      <c r="Z68" s="105">
        <f t="shared" si="33"/>
        <v>-11.563829999999996</v>
      </c>
      <c r="AA68" s="105">
        <f t="shared" si="33"/>
        <v>-8.8457899999999778</v>
      </c>
      <c r="AB68" s="105">
        <f t="shared" si="33"/>
        <v>20.371919999999967</v>
      </c>
      <c r="AC68" s="105">
        <f t="shared" si="33"/>
        <v>7.5049699999999966</v>
      </c>
      <c r="AD68" s="105">
        <f t="shared" si="33"/>
        <v>20.557870000000005</v>
      </c>
      <c r="AE68" s="105">
        <f t="shared" si="33"/>
        <v>-3.217779999999987</v>
      </c>
      <c r="AF68" s="105">
        <f t="shared" si="33"/>
        <v>17.914550000000009</v>
      </c>
      <c r="AG68" s="105">
        <f t="shared" si="33"/>
        <v>25.023679999999977</v>
      </c>
      <c r="AH68" s="105">
        <f t="shared" si="33"/>
        <v>15.680769999999987</v>
      </c>
      <c r="AI68" s="105">
        <f t="shared" si="33"/>
        <v>18.057059999999971</v>
      </c>
      <c r="AJ68" s="105">
        <f t="shared" si="33"/>
        <v>2.7743600000000104</v>
      </c>
      <c r="AK68" s="105">
        <f t="shared" si="33"/>
        <v>2.5894700000000075</v>
      </c>
      <c r="AL68" s="105">
        <f t="shared" si="33"/>
        <v>13.519970000000038</v>
      </c>
      <c r="AM68" s="105">
        <f t="shared" si="33"/>
        <v>-9.7965400000000109</v>
      </c>
      <c r="AN68" s="105">
        <f t="shared" si="33"/>
        <v>31.645769999999949</v>
      </c>
      <c r="AO68" s="105">
        <f t="shared" si="33"/>
        <v>70.339949999999973</v>
      </c>
      <c r="AP68" s="105">
        <f t="shared" si="33"/>
        <v>-13.787130000000019</v>
      </c>
      <c r="AQ68" s="105">
        <f t="shared" si="33"/>
        <v>-4.5244900000000214</v>
      </c>
      <c r="AR68" s="105">
        <f t="shared" si="33"/>
        <v>-0.17472000000000065</v>
      </c>
      <c r="AS68" s="105">
        <f t="shared" si="33"/>
        <v>8.8369600000000688</v>
      </c>
      <c r="AT68" s="106">
        <f t="shared" si="33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34">P68/P$24</f>
        <v>0.39907678731874074</v>
      </c>
      <c r="Q69" s="108">
        <f t="shared" si="34"/>
        <v>0.29112505338087064</v>
      </c>
      <c r="R69" s="108">
        <f t="shared" si="34"/>
        <v>0.23055348588312713</v>
      </c>
      <c r="S69" s="108">
        <f t="shared" si="34"/>
        <v>3.9634903477126664E-2</v>
      </c>
      <c r="T69" s="108">
        <f t="shared" si="34"/>
        <v>1.0771856670157455E-2</v>
      </c>
      <c r="U69" s="108">
        <f t="shared" si="34"/>
        <v>0.11151877645530595</v>
      </c>
      <c r="V69" s="108">
        <f t="shared" si="34"/>
        <v>0.24872554559258261</v>
      </c>
      <c r="W69" s="108">
        <f t="shared" si="34"/>
        <v>0.27722551846845006</v>
      </c>
      <c r="X69" s="108">
        <f t="shared" si="34"/>
        <v>0.11015011779176656</v>
      </c>
      <c r="Y69" s="108">
        <f t="shared" si="34"/>
        <v>0.11999981828992633</v>
      </c>
      <c r="Z69" s="108">
        <f t="shared" si="34"/>
        <v>-0.10585972007729956</v>
      </c>
      <c r="AA69" s="108">
        <f t="shared" si="34"/>
        <v>-7.6420290474838865E-2</v>
      </c>
      <c r="AB69" s="108">
        <f t="shared" si="34"/>
        <v>0.14691724622113159</v>
      </c>
      <c r="AC69" s="108">
        <f t="shared" si="34"/>
        <v>5.8723140217804622E-2</v>
      </c>
      <c r="AD69" s="108">
        <f t="shared" si="34"/>
        <v>0.15264751707122823</v>
      </c>
      <c r="AE69" s="108">
        <f t="shared" si="34"/>
        <v>-2.3664392729283685E-2</v>
      </c>
      <c r="AF69" s="108">
        <f t="shared" si="34"/>
        <v>0.11781925710247981</v>
      </c>
      <c r="AG69" s="108">
        <f t="shared" si="34"/>
        <v>0.16320676168834009</v>
      </c>
      <c r="AH69" s="108">
        <f t="shared" si="34"/>
        <v>0.10091833751896462</v>
      </c>
      <c r="AI69" s="108">
        <f t="shared" si="34"/>
        <v>0.11294605003511514</v>
      </c>
      <c r="AJ69" s="108">
        <f t="shared" si="34"/>
        <v>1.6916910758289692E-2</v>
      </c>
      <c r="AK69" s="108">
        <f t="shared" si="34"/>
        <v>1.4446600906115629E-2</v>
      </c>
      <c r="AL69" s="108">
        <f t="shared" si="34"/>
        <v>7.4412058126513955E-2</v>
      </c>
      <c r="AM69" s="108">
        <f t="shared" si="34"/>
        <v>-4.9803795250781595E-2</v>
      </c>
      <c r="AN69" s="108">
        <f t="shared" si="34"/>
        <v>0.14914164930768267</v>
      </c>
      <c r="AO69" s="108">
        <f t="shared" si="34"/>
        <v>0.29078545945995543</v>
      </c>
      <c r="AP69" s="108">
        <f t="shared" si="34"/>
        <v>-5.9556833430995562E-2</v>
      </c>
      <c r="AQ69" s="108">
        <f t="shared" si="34"/>
        <v>-1.8826980602112769E-2</v>
      </c>
      <c r="AR69" s="108">
        <f t="shared" si="34"/>
        <v>-7.0967025231840307E-4</v>
      </c>
      <c r="AS69" s="108">
        <f t="shared" si="34"/>
        <v>3.5704989872698906E-2</v>
      </c>
      <c r="AT69" s="109">
        <f t="shared" si="34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>IFERROR(K74/J74-1,0)</f>
        <v>-0.50948185371711641</v>
      </c>
      <c r="P74" s="65">
        <f t="shared" ref="P74:AT74" si="35">+P68</f>
        <v>32.29054</v>
      </c>
      <c r="Q74" s="65">
        <f t="shared" si="35"/>
        <v>23.655570000000012</v>
      </c>
      <c r="R74" s="65">
        <f t="shared" si="35"/>
        <v>18.009040000000002</v>
      </c>
      <c r="S74" s="65">
        <f t="shared" si="35"/>
        <v>3.3036999999999814</v>
      </c>
      <c r="T74" s="65">
        <f t="shared" si="35"/>
        <v>0.97158000000002254</v>
      </c>
      <c r="U74" s="65">
        <f t="shared" si="35"/>
        <v>10.027299999999999</v>
      </c>
      <c r="V74" s="65">
        <f t="shared" si="35"/>
        <v>26.037100000000013</v>
      </c>
      <c r="W74" s="65">
        <f t="shared" si="35"/>
        <v>28.863819999999997</v>
      </c>
      <c r="X74" s="65">
        <f t="shared" si="35"/>
        <v>10.835770000000004</v>
      </c>
      <c r="Y74" s="65">
        <f t="shared" si="35"/>
        <v>11.887049999999981</v>
      </c>
      <c r="Z74" s="65">
        <f t="shared" si="35"/>
        <v>-11.563829999999996</v>
      </c>
      <c r="AA74" s="65">
        <f t="shared" si="35"/>
        <v>-8.8457899999999778</v>
      </c>
      <c r="AB74" s="65">
        <f t="shared" si="35"/>
        <v>20.371919999999967</v>
      </c>
      <c r="AC74" s="65">
        <f t="shared" si="35"/>
        <v>7.5049699999999966</v>
      </c>
      <c r="AD74" s="65">
        <f t="shared" si="35"/>
        <v>20.557870000000005</v>
      </c>
      <c r="AE74" s="65">
        <f t="shared" si="35"/>
        <v>-3.217779999999987</v>
      </c>
      <c r="AF74" s="65">
        <f t="shared" si="35"/>
        <v>17.914550000000009</v>
      </c>
      <c r="AG74" s="65">
        <f t="shared" si="35"/>
        <v>25.023679999999977</v>
      </c>
      <c r="AH74" s="65">
        <f t="shared" si="35"/>
        <v>15.680769999999987</v>
      </c>
      <c r="AI74" s="65">
        <f t="shared" si="35"/>
        <v>18.057059999999971</v>
      </c>
      <c r="AJ74" s="65">
        <f t="shared" si="35"/>
        <v>2.7743600000000104</v>
      </c>
      <c r="AK74" s="65">
        <f t="shared" si="35"/>
        <v>2.5894700000000075</v>
      </c>
      <c r="AL74" s="65">
        <f t="shared" si="35"/>
        <v>13.519970000000038</v>
      </c>
      <c r="AM74" s="65">
        <f t="shared" si="35"/>
        <v>-9.7965400000000109</v>
      </c>
      <c r="AN74" s="65">
        <f t="shared" si="35"/>
        <v>31.645769999999949</v>
      </c>
      <c r="AO74" s="65">
        <f t="shared" si="35"/>
        <v>70.339949999999973</v>
      </c>
      <c r="AP74" s="65">
        <f t="shared" si="35"/>
        <v>-13.787130000000019</v>
      </c>
      <c r="AQ74" s="65">
        <f t="shared" si="35"/>
        <v>-4.5244900000000214</v>
      </c>
      <c r="AR74" s="65">
        <f t="shared" si="35"/>
        <v>-0.17472000000000065</v>
      </c>
      <c r="AS74" s="65">
        <f t="shared" si="35"/>
        <v>8.8369600000000688</v>
      </c>
      <c r="AT74" s="65">
        <f t="shared" si="3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>K75-J75</f>
        <v>0</v>
      </c>
      <c r="N75" s="66">
        <f>IFERROR(K75/J75-1,0)</f>
        <v>0</v>
      </c>
      <c r="O75" s="52"/>
      <c r="P75" s="65">
        <f t="shared" ref="P75:AT75" si="36">+P56</f>
        <v>0</v>
      </c>
      <c r="Q75" s="65">
        <f t="shared" si="36"/>
        <v>0</v>
      </c>
      <c r="R75" s="65">
        <f t="shared" si="36"/>
        <v>0</v>
      </c>
      <c r="S75" s="65">
        <f t="shared" si="36"/>
        <v>0</v>
      </c>
      <c r="T75" s="65">
        <f t="shared" si="36"/>
        <v>0</v>
      </c>
      <c r="U75" s="65">
        <f t="shared" si="36"/>
        <v>0</v>
      </c>
      <c r="V75" s="65">
        <f t="shared" si="36"/>
        <v>0</v>
      </c>
      <c r="W75" s="65">
        <f t="shared" si="36"/>
        <v>0</v>
      </c>
      <c r="X75" s="65">
        <f t="shared" si="36"/>
        <v>0</v>
      </c>
      <c r="Y75" s="65">
        <f t="shared" si="36"/>
        <v>0</v>
      </c>
      <c r="Z75" s="65">
        <f t="shared" si="36"/>
        <v>0</v>
      </c>
      <c r="AA75" s="65">
        <f t="shared" si="36"/>
        <v>6.673</v>
      </c>
      <c r="AB75" s="65">
        <f t="shared" si="36"/>
        <v>0</v>
      </c>
      <c r="AC75" s="65">
        <f t="shared" si="36"/>
        <v>0</v>
      </c>
      <c r="AD75" s="65">
        <f t="shared" si="36"/>
        <v>0</v>
      </c>
      <c r="AE75" s="65">
        <f t="shared" si="36"/>
        <v>0</v>
      </c>
      <c r="AF75" s="65">
        <f t="shared" si="36"/>
        <v>0</v>
      </c>
      <c r="AG75" s="65">
        <f t="shared" si="36"/>
        <v>0</v>
      </c>
      <c r="AH75" s="65">
        <f t="shared" si="36"/>
        <v>0</v>
      </c>
      <c r="AI75" s="65">
        <f t="shared" si="36"/>
        <v>0</v>
      </c>
      <c r="AJ75" s="65">
        <f t="shared" si="36"/>
        <v>0</v>
      </c>
      <c r="AK75" s="65">
        <f t="shared" si="36"/>
        <v>0</v>
      </c>
      <c r="AL75" s="65">
        <f t="shared" si="36"/>
        <v>0</v>
      </c>
      <c r="AM75" s="65">
        <f t="shared" si="36"/>
        <v>6.673</v>
      </c>
      <c r="AN75" s="65">
        <f t="shared" si="36"/>
        <v>0</v>
      </c>
      <c r="AO75" s="65">
        <f t="shared" si="36"/>
        <v>0</v>
      </c>
      <c r="AP75" s="65">
        <f t="shared" si="36"/>
        <v>0</v>
      </c>
      <c r="AQ75" s="65">
        <f t="shared" si="36"/>
        <v>0</v>
      </c>
      <c r="AR75" s="65">
        <f t="shared" si="36"/>
        <v>0</v>
      </c>
      <c r="AS75" s="65">
        <f t="shared" si="36"/>
        <v>0</v>
      </c>
      <c r="AT75" s="65">
        <f t="shared" si="36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>K76-J76</f>
        <v>0</v>
      </c>
      <c r="N76" s="66">
        <f>IFERROR(K76/J76-1,0)</f>
        <v>0</v>
      </c>
      <c r="O76" s="52"/>
      <c r="P76" s="65">
        <f t="shared" ref="P76:AT76" si="37">+P58</f>
        <v>0</v>
      </c>
      <c r="Q76" s="65">
        <f t="shared" si="37"/>
        <v>0</v>
      </c>
      <c r="R76" s="65">
        <f t="shared" si="37"/>
        <v>0</v>
      </c>
      <c r="S76" s="65">
        <f t="shared" si="37"/>
        <v>6.2460000000000004</v>
      </c>
      <c r="T76" s="65">
        <f t="shared" si="37"/>
        <v>0</v>
      </c>
      <c r="U76" s="65">
        <f t="shared" si="37"/>
        <v>2.472</v>
      </c>
      <c r="V76" s="65">
        <f t="shared" si="37"/>
        <v>0</v>
      </c>
      <c r="W76" s="65">
        <f t="shared" si="37"/>
        <v>0</v>
      </c>
      <c r="X76" s="65">
        <f t="shared" si="37"/>
        <v>2.472</v>
      </c>
      <c r="Y76" s="65">
        <f t="shared" si="37"/>
        <v>0</v>
      </c>
      <c r="Z76" s="65">
        <f t="shared" si="37"/>
        <v>0</v>
      </c>
      <c r="AA76" s="65">
        <f t="shared" si="37"/>
        <v>-3.6930000000000001</v>
      </c>
      <c r="AB76" s="65">
        <f t="shared" si="37"/>
        <v>2.472</v>
      </c>
      <c r="AC76" s="65">
        <f t="shared" si="37"/>
        <v>0</v>
      </c>
      <c r="AD76" s="65">
        <f t="shared" si="37"/>
        <v>0</v>
      </c>
      <c r="AE76" s="65">
        <f t="shared" si="37"/>
        <v>3.649</v>
      </c>
      <c r="AF76" s="65">
        <f t="shared" si="37"/>
        <v>-2.2719999999999998</v>
      </c>
      <c r="AG76" s="65">
        <f t="shared" si="37"/>
        <v>2.0449999999999999</v>
      </c>
      <c r="AH76" s="65">
        <f t="shared" si="37"/>
        <v>0</v>
      </c>
      <c r="AI76" s="65">
        <f t="shared" si="37"/>
        <v>0</v>
      </c>
      <c r="AJ76" s="65">
        <f t="shared" si="37"/>
        <v>2.0449999999999999</v>
      </c>
      <c r="AK76" s="65">
        <f t="shared" si="37"/>
        <v>0</v>
      </c>
      <c r="AL76" s="65">
        <f t="shared" si="37"/>
        <v>0</v>
      </c>
      <c r="AM76" s="65">
        <f t="shared" si="37"/>
        <v>2.0449999999999999</v>
      </c>
      <c r="AN76" s="65">
        <f t="shared" si="37"/>
        <v>0</v>
      </c>
      <c r="AO76" s="65">
        <f t="shared" si="37"/>
        <v>0</v>
      </c>
      <c r="AP76" s="65">
        <f t="shared" si="37"/>
        <v>5.0359999999999996</v>
      </c>
      <c r="AQ76" s="65">
        <f t="shared" si="37"/>
        <v>-4.8639999999999999</v>
      </c>
      <c r="AR76" s="65">
        <f t="shared" si="37"/>
        <v>0</v>
      </c>
      <c r="AS76" s="65">
        <f t="shared" si="37"/>
        <v>1</v>
      </c>
      <c r="AT76" s="65">
        <f t="shared" si="37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>K77-J77</f>
        <v>0</v>
      </c>
      <c r="N77" s="66">
        <f>IFERROR(K77/J77-1,0)</f>
        <v>0</v>
      </c>
      <c r="O77" s="52"/>
      <c r="P77" s="65">
        <f t="shared" ref="P77:AT77" si="38">+P62</f>
        <v>0</v>
      </c>
      <c r="Q77" s="65">
        <f t="shared" si="38"/>
        <v>0</v>
      </c>
      <c r="R77" s="65">
        <f t="shared" si="38"/>
        <v>0</v>
      </c>
      <c r="S77" s="65">
        <f t="shared" si="38"/>
        <v>0</v>
      </c>
      <c r="T77" s="65">
        <f t="shared" si="38"/>
        <v>0</v>
      </c>
      <c r="U77" s="65">
        <f t="shared" si="38"/>
        <v>0</v>
      </c>
      <c r="V77" s="65">
        <f t="shared" si="38"/>
        <v>0</v>
      </c>
      <c r="W77" s="65">
        <f t="shared" si="38"/>
        <v>0</v>
      </c>
      <c r="X77" s="65">
        <f t="shared" si="38"/>
        <v>0</v>
      </c>
      <c r="Y77" s="65">
        <f t="shared" si="38"/>
        <v>0</v>
      </c>
      <c r="Z77" s="65">
        <f t="shared" si="38"/>
        <v>7.1499999999999994E-2</v>
      </c>
      <c r="AA77" s="65">
        <f t="shared" si="38"/>
        <v>8.1400000000000014E-3</v>
      </c>
      <c r="AB77" s="65">
        <f t="shared" si="38"/>
        <v>0.11752</v>
      </c>
      <c r="AC77" s="65">
        <f t="shared" si="38"/>
        <v>0.20646</v>
      </c>
      <c r="AD77" s="65">
        <f t="shared" si="38"/>
        <v>1.174E-2</v>
      </c>
      <c r="AE77" s="65">
        <f t="shared" si="38"/>
        <v>3.6600000000000001E-2</v>
      </c>
      <c r="AF77" s="65">
        <f t="shared" si="38"/>
        <v>0.11484</v>
      </c>
      <c r="AG77" s="65">
        <f t="shared" si="38"/>
        <v>0.24787999999999999</v>
      </c>
      <c r="AH77" s="65">
        <f t="shared" si="38"/>
        <v>0.34200000000000003</v>
      </c>
      <c r="AI77" s="65">
        <f t="shared" si="38"/>
        <v>0.25108999999999998</v>
      </c>
      <c r="AJ77" s="65">
        <f t="shared" si="38"/>
        <v>6.5290000000000001E-2</v>
      </c>
      <c r="AK77" s="65">
        <f t="shared" si="38"/>
        <v>1.916E-2</v>
      </c>
      <c r="AL77" s="65">
        <f t="shared" si="38"/>
        <v>9.9000000000000008E-3</v>
      </c>
      <c r="AM77" s="65">
        <f t="shared" si="38"/>
        <v>0</v>
      </c>
      <c r="AN77" s="65">
        <f t="shared" si="38"/>
        <v>0.28870000000000001</v>
      </c>
      <c r="AO77" s="65">
        <f t="shared" si="38"/>
        <v>0.14452999999999999</v>
      </c>
      <c r="AP77" s="65">
        <f t="shared" si="38"/>
        <v>0</v>
      </c>
      <c r="AQ77" s="65">
        <f t="shared" si="38"/>
        <v>0.15</v>
      </c>
      <c r="AR77" s="65">
        <f t="shared" si="38"/>
        <v>0.11769</v>
      </c>
      <c r="AS77" s="65">
        <f t="shared" si="38"/>
        <v>0.11011</v>
      </c>
      <c r="AT77" s="65">
        <f t="shared" si="38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>IFERROR(K78/J78-1,0)</f>
        <v>-0.45217039904608325</v>
      </c>
      <c r="P78" s="59">
        <f t="shared" ref="P78:AT78" si="39">SUM(P74:P77)</f>
        <v>32.29054</v>
      </c>
      <c r="Q78" s="59">
        <f t="shared" si="39"/>
        <v>23.655570000000012</v>
      </c>
      <c r="R78" s="59">
        <f t="shared" si="39"/>
        <v>18.009040000000002</v>
      </c>
      <c r="S78" s="59">
        <f t="shared" si="39"/>
        <v>9.5496999999999819</v>
      </c>
      <c r="T78" s="59">
        <f t="shared" si="39"/>
        <v>0.97158000000002254</v>
      </c>
      <c r="U78" s="59">
        <f t="shared" si="39"/>
        <v>12.499299999999998</v>
      </c>
      <c r="V78" s="59">
        <f t="shared" si="39"/>
        <v>26.037100000000013</v>
      </c>
      <c r="W78" s="59">
        <f t="shared" si="39"/>
        <v>28.863819999999997</v>
      </c>
      <c r="X78" s="59">
        <f t="shared" si="39"/>
        <v>13.307770000000003</v>
      </c>
      <c r="Y78" s="59">
        <f t="shared" si="39"/>
        <v>11.887049999999981</v>
      </c>
      <c r="Z78" s="59">
        <f t="shared" si="39"/>
        <v>-11.492329999999995</v>
      </c>
      <c r="AA78" s="59">
        <f t="shared" si="39"/>
        <v>-5.8576499999999774</v>
      </c>
      <c r="AB78" s="59">
        <f t="shared" si="39"/>
        <v>22.961439999999968</v>
      </c>
      <c r="AC78" s="59">
        <f t="shared" si="39"/>
        <v>7.7114299999999965</v>
      </c>
      <c r="AD78" s="59">
        <f t="shared" si="39"/>
        <v>20.569610000000004</v>
      </c>
      <c r="AE78" s="59">
        <f t="shared" si="39"/>
        <v>0.46782000000001306</v>
      </c>
      <c r="AF78" s="59">
        <f t="shared" si="39"/>
        <v>15.757390000000008</v>
      </c>
      <c r="AG78" s="59">
        <f t="shared" si="39"/>
        <v>27.316559999999978</v>
      </c>
      <c r="AH78" s="59">
        <f t="shared" si="39"/>
        <v>16.022769999999987</v>
      </c>
      <c r="AI78" s="59">
        <f t="shared" si="39"/>
        <v>18.308149999999973</v>
      </c>
      <c r="AJ78" s="59">
        <f t="shared" si="39"/>
        <v>4.8846500000000104</v>
      </c>
      <c r="AK78" s="59">
        <f t="shared" si="39"/>
        <v>2.6086300000000073</v>
      </c>
      <c r="AL78" s="59">
        <f t="shared" si="39"/>
        <v>13.529870000000038</v>
      </c>
      <c r="AM78" s="59">
        <f t="shared" si="39"/>
        <v>-1.0785400000000109</v>
      </c>
      <c r="AN78" s="59">
        <f t="shared" si="39"/>
        <v>31.934469999999948</v>
      </c>
      <c r="AO78" s="59">
        <f t="shared" si="39"/>
        <v>70.484479999999976</v>
      </c>
      <c r="AP78" s="59">
        <f t="shared" si="39"/>
        <v>-8.7511300000000194</v>
      </c>
      <c r="AQ78" s="59">
        <f t="shared" si="39"/>
        <v>-9.2384900000000219</v>
      </c>
      <c r="AR78" s="59">
        <f t="shared" si="39"/>
        <v>-5.703000000000065E-2</v>
      </c>
      <c r="AS78" s="59">
        <f t="shared" si="39"/>
        <v>9.9470700000000694</v>
      </c>
      <c r="AT78" s="59">
        <f t="shared" si="39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40">P78/P$24</f>
        <v>0.39907678731874074</v>
      </c>
      <c r="Q79" s="127">
        <f t="shared" si="40"/>
        <v>0.29112505338087064</v>
      </c>
      <c r="R79" s="127">
        <f t="shared" si="40"/>
        <v>0.23055348588312713</v>
      </c>
      <c r="S79" s="127">
        <f t="shared" si="40"/>
        <v>0.11456894927975236</v>
      </c>
      <c r="T79" s="127">
        <f t="shared" si="40"/>
        <v>1.0771856670157455E-2</v>
      </c>
      <c r="U79" s="127">
        <f t="shared" si="40"/>
        <v>0.13901116377766753</v>
      </c>
      <c r="V79" s="127">
        <f t="shared" si="40"/>
        <v>0.24872554559258261</v>
      </c>
      <c r="W79" s="127">
        <f t="shared" si="40"/>
        <v>0.27722551846845006</v>
      </c>
      <c r="X79" s="127">
        <f t="shared" si="40"/>
        <v>0.13527902798285099</v>
      </c>
      <c r="Y79" s="127">
        <f t="shared" si="40"/>
        <v>0.11999981828992633</v>
      </c>
      <c r="Z79" s="127">
        <f t="shared" si="40"/>
        <v>-0.10520518174652793</v>
      </c>
      <c r="AA79" s="127">
        <f t="shared" si="40"/>
        <v>-5.0605238706767766E-2</v>
      </c>
      <c r="AB79" s="127">
        <f t="shared" si="40"/>
        <v>0.16559222371144891</v>
      </c>
      <c r="AC79" s="127">
        <f t="shared" si="40"/>
        <v>6.0338600310165809E-2</v>
      </c>
      <c r="AD79" s="127">
        <f t="shared" si="40"/>
        <v>0.15273468961636139</v>
      </c>
      <c r="AE79" s="127">
        <f t="shared" si="40"/>
        <v>3.4404702020069261E-3</v>
      </c>
      <c r="AF79" s="127">
        <f t="shared" si="40"/>
        <v>0.10363218633312275</v>
      </c>
      <c r="AG79" s="127">
        <f t="shared" si="40"/>
        <v>0.17816113769298694</v>
      </c>
      <c r="AH79" s="127">
        <f t="shared" si="40"/>
        <v>0.10311938194672461</v>
      </c>
      <c r="AI79" s="127">
        <f t="shared" si="40"/>
        <v>0.11451660602281841</v>
      </c>
      <c r="AJ79" s="127">
        <f t="shared" si="40"/>
        <v>2.978459469408426E-2</v>
      </c>
      <c r="AK79" s="127">
        <f t="shared" si="40"/>
        <v>1.4553494159700791E-2</v>
      </c>
      <c r="AL79" s="127">
        <f t="shared" si="40"/>
        <v>7.4466546366905945E-2</v>
      </c>
      <c r="AM79" s="127">
        <f t="shared" si="40"/>
        <v>-5.4830976375106382E-3</v>
      </c>
      <c r="AN79" s="127">
        <f t="shared" si="40"/>
        <v>0.15050224802767362</v>
      </c>
      <c r="AO79" s="127">
        <f t="shared" si="40"/>
        <v>0.29138294669808606</v>
      </c>
      <c r="AP79" s="127">
        <f t="shared" si="40"/>
        <v>-3.7802616769624181E-2</v>
      </c>
      <c r="AQ79" s="127">
        <f t="shared" si="40"/>
        <v>-3.8442536511919E-2</v>
      </c>
      <c r="AR79" s="127">
        <f t="shared" si="40"/>
        <v>-2.316420243230245E-4</v>
      </c>
      <c r="AS79" s="127">
        <f t="shared" si="40"/>
        <v>4.019029548770469E-2</v>
      </c>
      <c r="AT79" s="127">
        <f t="shared" si="40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>K82-J82</f>
        <v>0</v>
      </c>
      <c r="N82" s="66">
        <f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>K83-J83</f>
        <v>0</v>
      </c>
      <c r="N83" s="66">
        <f>IFERROR(K83/J83-1,0)</f>
        <v>0</v>
      </c>
      <c r="O83" s="52"/>
      <c r="P83" s="23">
        <f t="shared" ref="P83:AT83" si="41">+P61</f>
        <v>8.5000000000000006E-2</v>
      </c>
      <c r="Q83" s="23">
        <f t="shared" si="41"/>
        <v>8.5000000000000006E-2</v>
      </c>
      <c r="R83" s="23">
        <f t="shared" si="41"/>
        <v>9.7000000000000003E-2</v>
      </c>
      <c r="S83" s="23">
        <f t="shared" si="41"/>
        <v>0.11283</v>
      </c>
      <c r="T83" s="23">
        <f t="shared" si="41"/>
        <v>8.5000000000000006E-2</v>
      </c>
      <c r="U83" s="23">
        <f t="shared" si="41"/>
        <v>8.5000000000000006E-2</v>
      </c>
      <c r="V83" s="23">
        <f t="shared" si="41"/>
        <v>8.5000000000000006E-2</v>
      </c>
      <c r="W83" s="23">
        <f t="shared" si="41"/>
        <v>8.5000000000000006E-2</v>
      </c>
      <c r="X83" s="23">
        <f t="shared" si="41"/>
        <v>8.5000000000000006E-2</v>
      </c>
      <c r="Y83" s="23">
        <f t="shared" si="41"/>
        <v>8.5000000000000006E-2</v>
      </c>
      <c r="Z83" s="23">
        <f t="shared" si="41"/>
        <v>8.5000000000000006E-2</v>
      </c>
      <c r="AA83" s="23">
        <f t="shared" si="41"/>
        <v>8.5000000000000006E-2</v>
      </c>
      <c r="AB83" s="23">
        <f t="shared" si="41"/>
        <v>8.5000000000000006E-2</v>
      </c>
      <c r="AC83" s="23">
        <f t="shared" si="41"/>
        <v>9.4489999999999991E-2</v>
      </c>
      <c r="AD83" s="23">
        <f t="shared" si="41"/>
        <v>0.82489000000000001</v>
      </c>
      <c r="AE83" s="23">
        <f t="shared" si="41"/>
        <v>0.253</v>
      </c>
      <c r="AF83" s="23">
        <f t="shared" si="41"/>
        <v>0.26294999999999996</v>
      </c>
      <c r="AG83" s="23">
        <f t="shared" si="41"/>
        <v>0.253</v>
      </c>
      <c r="AH83" s="23">
        <f t="shared" si="41"/>
        <v>0.253</v>
      </c>
      <c r="AI83" s="23">
        <f t="shared" si="41"/>
        <v>0.253</v>
      </c>
      <c r="AJ83" s="23">
        <f t="shared" si="41"/>
        <v>0.253</v>
      </c>
      <c r="AK83" s="23">
        <f t="shared" si="41"/>
        <v>0.253</v>
      </c>
      <c r="AL83" s="23">
        <f t="shared" si="41"/>
        <v>0.253</v>
      </c>
      <c r="AM83" s="23">
        <f t="shared" si="41"/>
        <v>0.253</v>
      </c>
      <c r="AN83" s="23">
        <f t="shared" si="41"/>
        <v>0.253</v>
      </c>
      <c r="AO83" s="23">
        <f t="shared" si="41"/>
        <v>0.255</v>
      </c>
      <c r="AP83" s="23">
        <f t="shared" si="41"/>
        <v>0.28299999999999997</v>
      </c>
      <c r="AQ83" s="23">
        <f t="shared" si="41"/>
        <v>0.28299999999999997</v>
      </c>
      <c r="AR83" s="23">
        <f t="shared" si="41"/>
        <v>0.28299999999999997</v>
      </c>
      <c r="AS83" s="23">
        <f t="shared" si="41"/>
        <v>0.29299999999999998</v>
      </c>
      <c r="AT83" s="23">
        <f t="shared" si="41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>+F78+F82+F83</f>
        <v>112.83334999999973</v>
      </c>
      <c r="G84" s="106">
        <f>+G78+G82+G83</f>
        <v>80.069530000000327</v>
      </c>
      <c r="I84" s="110">
        <f>+I78+I82+I83</f>
        <v>149.96700999999993</v>
      </c>
      <c r="J84" s="105">
        <f>+J78+J82+J83</f>
        <v>122.29128999999995</v>
      </c>
      <c r="K84" s="106">
        <f>+K78+K82+K83</f>
        <v>69.668020000000126</v>
      </c>
      <c r="L84" s="71"/>
      <c r="M84" s="110">
        <f>+M78+M82+M83</f>
        <v>-52.623269999999891</v>
      </c>
      <c r="N84" s="112">
        <f>IFERROR(K84/J84-1,0)</f>
        <v>-0.4303108586065274</v>
      </c>
      <c r="P84" s="110">
        <f t="shared" ref="P84:AT84" si="42">+P78+P82+P83</f>
        <v>32.375540000000001</v>
      </c>
      <c r="Q84" s="105">
        <f t="shared" si="42"/>
        <v>23.740570000000012</v>
      </c>
      <c r="R84" s="105">
        <f t="shared" si="42"/>
        <v>18.106040000000004</v>
      </c>
      <c r="S84" s="105">
        <f t="shared" si="42"/>
        <v>9.6625299999999825</v>
      </c>
      <c r="T84" s="105">
        <f t="shared" si="42"/>
        <v>1.0565800000000225</v>
      </c>
      <c r="U84" s="105">
        <f t="shared" si="42"/>
        <v>12.584299999999999</v>
      </c>
      <c r="V84" s="105">
        <f t="shared" si="42"/>
        <v>26.122100000000014</v>
      </c>
      <c r="W84" s="105">
        <f t="shared" si="42"/>
        <v>28.948819999999998</v>
      </c>
      <c r="X84" s="105">
        <f t="shared" si="42"/>
        <v>13.392770000000004</v>
      </c>
      <c r="Y84" s="105">
        <f t="shared" si="42"/>
        <v>11.972049999999982</v>
      </c>
      <c r="Z84" s="105">
        <f t="shared" si="42"/>
        <v>-11.407329999999995</v>
      </c>
      <c r="AA84" s="105">
        <f t="shared" si="42"/>
        <v>-5.7726499999999774</v>
      </c>
      <c r="AB84" s="105">
        <f t="shared" si="42"/>
        <v>23.046439999999969</v>
      </c>
      <c r="AC84" s="105">
        <f t="shared" si="42"/>
        <v>7.8059199999999969</v>
      </c>
      <c r="AD84" s="105">
        <f t="shared" si="42"/>
        <v>21.394500000000004</v>
      </c>
      <c r="AE84" s="105">
        <f t="shared" si="42"/>
        <v>0.72082000000001312</v>
      </c>
      <c r="AF84" s="105">
        <f t="shared" si="42"/>
        <v>16.020340000000008</v>
      </c>
      <c r="AG84" s="105">
        <f t="shared" si="42"/>
        <v>27.569559999999978</v>
      </c>
      <c r="AH84" s="105">
        <f t="shared" si="42"/>
        <v>16.275769999999987</v>
      </c>
      <c r="AI84" s="105">
        <f t="shared" si="42"/>
        <v>18.561149999999973</v>
      </c>
      <c r="AJ84" s="105">
        <f t="shared" si="42"/>
        <v>5.1376500000000105</v>
      </c>
      <c r="AK84" s="105">
        <f t="shared" si="42"/>
        <v>2.8616300000000074</v>
      </c>
      <c r="AL84" s="105">
        <f t="shared" si="42"/>
        <v>13.782870000000038</v>
      </c>
      <c r="AM84" s="105">
        <f t="shared" si="42"/>
        <v>1.8784599999999894</v>
      </c>
      <c r="AN84" s="105">
        <f t="shared" si="42"/>
        <v>32.187469999999948</v>
      </c>
      <c r="AO84" s="105">
        <f t="shared" si="42"/>
        <v>70.739479999999972</v>
      </c>
      <c r="AP84" s="105">
        <f t="shared" si="42"/>
        <v>-8.4681300000000199</v>
      </c>
      <c r="AQ84" s="105">
        <f t="shared" si="42"/>
        <v>-8.9554900000000224</v>
      </c>
      <c r="AR84" s="105">
        <f t="shared" si="42"/>
        <v>0.22596999999999934</v>
      </c>
      <c r="AS84" s="105">
        <f t="shared" si="42"/>
        <v>10.240070000000069</v>
      </c>
      <c r="AT84" s="106">
        <f t="shared" si="42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:AT85" si="43">P84/P$24</f>
        <v>0.40012729706314554</v>
      </c>
      <c r="Q85" s="108">
        <f t="shared" si="43"/>
        <v>0.29217113384045684</v>
      </c>
      <c r="R85" s="108">
        <f t="shared" si="43"/>
        <v>0.23179528934020555</v>
      </c>
      <c r="S85" s="108">
        <f t="shared" si="43"/>
        <v>0.11592258494864612</v>
      </c>
      <c r="T85" s="108">
        <f t="shared" si="43"/>
        <v>1.1714247226738861E-2</v>
      </c>
      <c r="U85" s="108">
        <f t="shared" si="43"/>
        <v>0.13995649262977139</v>
      </c>
      <c r="V85" s="108">
        <f t="shared" si="43"/>
        <v>0.24953752816266028</v>
      </c>
      <c r="W85" s="108">
        <f t="shared" si="43"/>
        <v>0.27804190968312015</v>
      </c>
      <c r="X85" s="108">
        <f t="shared" si="43"/>
        <v>0.1361430884060881</v>
      </c>
      <c r="Y85" s="108">
        <f t="shared" si="43"/>
        <v>0.12085789363701782</v>
      </c>
      <c r="Z85" s="108">
        <f t="shared" si="43"/>
        <v>-0.1044270592554008</v>
      </c>
      <c r="AA85" s="108">
        <f t="shared" si="43"/>
        <v>-4.9870909190652041E-2</v>
      </c>
      <c r="AB85" s="108">
        <f t="shared" si="43"/>
        <v>0.16620522267908655</v>
      </c>
      <c r="AC85" s="108">
        <f t="shared" si="43"/>
        <v>6.1077943641209151E-2</v>
      </c>
      <c r="AD85" s="108">
        <f t="shared" si="43"/>
        <v>0.15885971182716849</v>
      </c>
      <c r="AE85" s="108">
        <f t="shared" si="43"/>
        <v>5.3010981381954782E-3</v>
      </c>
      <c r="AF85" s="108">
        <f t="shared" si="43"/>
        <v>0.10536153893506348</v>
      </c>
      <c r="AG85" s="108">
        <f t="shared" si="43"/>
        <v>0.17981122715653308</v>
      </c>
      <c r="AH85" s="108">
        <f t="shared" si="43"/>
        <v>0.10474763995907337</v>
      </c>
      <c r="AI85" s="108">
        <f t="shared" si="43"/>
        <v>0.11609910896952647</v>
      </c>
      <c r="AJ85" s="108">
        <f t="shared" si="43"/>
        <v>3.1327285052165865E-2</v>
      </c>
      <c r="AK85" s="108">
        <f t="shared" si="43"/>
        <v>1.5964976057250193E-2</v>
      </c>
      <c r="AL85" s="108">
        <f t="shared" si="43"/>
        <v>7.5859023621367899E-2</v>
      </c>
      <c r="AM85" s="108">
        <f t="shared" si="43"/>
        <v>9.5497427894728707E-3</v>
      </c>
      <c r="AN85" s="108">
        <f t="shared" si="43"/>
        <v>0.1516945981355978</v>
      </c>
      <c r="AO85" s="108">
        <f t="shared" si="43"/>
        <v>0.29243711708294262</v>
      </c>
      <c r="AP85" s="108">
        <f t="shared" si="43"/>
        <v>-3.658013001125085E-2</v>
      </c>
      <c r="AQ85" s="108">
        <f t="shared" si="43"/>
        <v>-3.7264937376900932E-2</v>
      </c>
      <c r="AR85" s="108">
        <f t="shared" si="43"/>
        <v>9.1783531888958605E-4</v>
      </c>
      <c r="AS85" s="108">
        <f t="shared" si="43"/>
        <v>4.1374137219782309E-2</v>
      </c>
      <c r="AT85" s="109">
        <f t="shared" si="43"/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>K88-J88</f>
        <v>0</v>
      </c>
      <c r="N88" s="66">
        <f>IFERROR(K88/J88-1,0)</f>
        <v>0</v>
      </c>
      <c r="P88" s="65">
        <f t="shared" ref="P88:AT88" si="44">$C$168/12+P$35</f>
        <v>-19.020416666666666</v>
      </c>
      <c r="Q88" s="65">
        <f t="shared" si="44"/>
        <v>-19.020416666666666</v>
      </c>
      <c r="R88" s="65">
        <f t="shared" si="44"/>
        <v>-19.020416666666666</v>
      </c>
      <c r="S88" s="65">
        <f t="shared" si="44"/>
        <v>-19.020416666666666</v>
      </c>
      <c r="T88" s="65">
        <f t="shared" si="44"/>
        <v>-19.020416666666666</v>
      </c>
      <c r="U88" s="65">
        <f t="shared" si="44"/>
        <v>-19.020416666666666</v>
      </c>
      <c r="V88" s="65">
        <f t="shared" si="44"/>
        <v>-19.020416666666666</v>
      </c>
      <c r="W88" s="65">
        <f t="shared" si="44"/>
        <v>-19.020416666666666</v>
      </c>
      <c r="X88" s="65">
        <f t="shared" si="44"/>
        <v>-19.020416666666666</v>
      </c>
      <c r="Y88" s="65">
        <f t="shared" si="44"/>
        <v>-19.020416666666666</v>
      </c>
      <c r="Z88" s="65">
        <f t="shared" si="44"/>
        <v>-19.020416666666666</v>
      </c>
      <c r="AA88" s="65">
        <f t="shared" si="44"/>
        <v>-19.020416666666666</v>
      </c>
      <c r="AB88" s="65">
        <f t="shared" si="44"/>
        <v>-19.020416666666666</v>
      </c>
      <c r="AC88" s="65">
        <f t="shared" si="44"/>
        <v>-19.020416666666666</v>
      </c>
      <c r="AD88" s="65">
        <f t="shared" si="44"/>
        <v>-10.114026666666666</v>
      </c>
      <c r="AE88" s="65">
        <f t="shared" si="44"/>
        <v>-9.7871866666666669</v>
      </c>
      <c r="AF88" s="65">
        <f t="shared" si="44"/>
        <v>-9.9115766666666651</v>
      </c>
      <c r="AG88" s="65">
        <f t="shared" si="44"/>
        <v>-10.325626666666665</v>
      </c>
      <c r="AH88" s="65">
        <f t="shared" si="44"/>
        <v>-9.4975466666666648</v>
      </c>
      <c r="AI88" s="65">
        <f t="shared" si="44"/>
        <v>-10.325606666666665</v>
      </c>
      <c r="AJ88" s="65">
        <f t="shared" si="44"/>
        <v>-9.9115766666666651</v>
      </c>
      <c r="AK88" s="65">
        <f t="shared" si="44"/>
        <v>-9.4975466666666648</v>
      </c>
      <c r="AL88" s="65">
        <f t="shared" si="44"/>
        <v>-10.739656666666665</v>
      </c>
      <c r="AM88" s="65">
        <f t="shared" si="44"/>
        <v>-9.426776666666667</v>
      </c>
      <c r="AN88" s="65">
        <f t="shared" si="44"/>
        <v>-9.7442066666666669</v>
      </c>
      <c r="AO88" s="65">
        <f t="shared" si="44"/>
        <v>-10.697786666666667</v>
      </c>
      <c r="AP88" s="65">
        <f t="shared" si="44"/>
        <v>-9.9115866666666665</v>
      </c>
      <c r="AQ88" s="65">
        <f t="shared" si="44"/>
        <v>-9.9115866666666665</v>
      </c>
      <c r="AR88" s="65">
        <f t="shared" si="44"/>
        <v>-10.325606666666665</v>
      </c>
      <c r="AS88" s="65">
        <f t="shared" si="44"/>
        <v>-9.9115766666666651</v>
      </c>
      <c r="AT88" s="65">
        <f t="shared" si="44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>K89-J89</f>
        <v>-116.25</v>
      </c>
      <c r="N89" s="66">
        <f>IFERROR(K89/J89-1,0)</f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>K90-J90</f>
        <v>0</v>
      </c>
      <c r="N90" s="66"/>
      <c r="P90" s="65">
        <f t="shared" ref="P90:AT90" si="45">+P48-$C$169/12</f>
        <v>-6.0480791666666667</v>
      </c>
      <c r="Q90" s="65">
        <f t="shared" si="45"/>
        <v>-4.8815791666666666</v>
      </c>
      <c r="R90" s="65">
        <f t="shared" si="45"/>
        <v>-4.8815791666666666</v>
      </c>
      <c r="S90" s="65">
        <f t="shared" si="45"/>
        <v>-4.8814091666666668</v>
      </c>
      <c r="T90" s="65">
        <f t="shared" si="45"/>
        <v>-4.8814091666666668</v>
      </c>
      <c r="U90" s="65">
        <f t="shared" si="45"/>
        <v>-3.3814191666666669</v>
      </c>
      <c r="V90" s="65">
        <f t="shared" si="45"/>
        <v>-4.8814091666666668</v>
      </c>
      <c r="W90" s="65">
        <f t="shared" si="45"/>
        <v>-4.8814091666666668</v>
      </c>
      <c r="X90" s="65">
        <f t="shared" si="45"/>
        <v>-2.9801691666666668</v>
      </c>
      <c r="Y90" s="65">
        <f t="shared" si="45"/>
        <v>-4.8814091666666668</v>
      </c>
      <c r="Z90" s="65">
        <f t="shared" si="45"/>
        <v>-3.8814091666666668</v>
      </c>
      <c r="AA90" s="65">
        <f t="shared" si="45"/>
        <v>-3.8814191666666669</v>
      </c>
      <c r="AB90" s="65">
        <f t="shared" si="45"/>
        <v>-3.8814091666666668</v>
      </c>
      <c r="AC90" s="65">
        <f t="shared" si="45"/>
        <v>-3.8814091666666668</v>
      </c>
      <c r="AD90" s="65">
        <f t="shared" si="45"/>
        <v>-3.8814191666666669</v>
      </c>
      <c r="AE90" s="65">
        <f t="shared" si="45"/>
        <v>-3.2874091666666665</v>
      </c>
      <c r="AF90" s="65">
        <f t="shared" si="45"/>
        <v>-4.4614091666666669</v>
      </c>
      <c r="AG90" s="65">
        <f t="shared" si="45"/>
        <v>-4.8814191666666664</v>
      </c>
      <c r="AH90" s="65">
        <f t="shared" si="45"/>
        <v>-6.0480791666666667</v>
      </c>
      <c r="AI90" s="65">
        <f t="shared" si="45"/>
        <v>-5.8480791666666665</v>
      </c>
      <c r="AJ90" s="65">
        <f t="shared" si="45"/>
        <v>-4.7211291666666666</v>
      </c>
      <c r="AK90" s="65">
        <f t="shared" si="45"/>
        <v>-6.0480791666666667</v>
      </c>
      <c r="AL90" s="65">
        <f t="shared" si="45"/>
        <v>-4.8079166666666673E-2</v>
      </c>
      <c r="AM90" s="65">
        <f t="shared" si="45"/>
        <v>1.4519208333333333</v>
      </c>
      <c r="AN90" s="65">
        <f t="shared" si="45"/>
        <v>-6.0480791666666667</v>
      </c>
      <c r="AO90" s="65">
        <f t="shared" si="45"/>
        <v>-6.0480791666666667</v>
      </c>
      <c r="AP90" s="65">
        <f t="shared" si="45"/>
        <v>0.55192083333333297</v>
      </c>
      <c r="AQ90" s="65">
        <f t="shared" si="45"/>
        <v>7.9519208333333333</v>
      </c>
      <c r="AR90" s="65">
        <f t="shared" si="45"/>
        <v>11.951920833333332</v>
      </c>
      <c r="AS90" s="65">
        <f t="shared" si="45"/>
        <v>-6.0480791666666667</v>
      </c>
      <c r="AT90" s="65">
        <f t="shared" si="45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>K91-J91</f>
        <v>96.800000000000011</v>
      </c>
      <c r="N91" s="66">
        <f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>IFERROR(K93/J93-1,0)</f>
        <v>-0.66040994327333258</v>
      </c>
      <c r="P93" s="59">
        <f t="shared" ref="P93:AT93" si="46">SUM(P88:P91)</f>
        <v>-25.068495833333333</v>
      </c>
      <c r="Q93" s="59">
        <f t="shared" si="46"/>
        <v>-23.901995833333331</v>
      </c>
      <c r="R93" s="59">
        <f t="shared" si="46"/>
        <v>-23.901995833333331</v>
      </c>
      <c r="S93" s="59">
        <f t="shared" si="46"/>
        <v>-23.901825833333334</v>
      </c>
      <c r="T93" s="59">
        <f t="shared" si="46"/>
        <v>-23.901825833333334</v>
      </c>
      <c r="U93" s="59">
        <f t="shared" si="46"/>
        <v>-22.401835833333333</v>
      </c>
      <c r="V93" s="59">
        <f t="shared" si="46"/>
        <v>-23.901825833333334</v>
      </c>
      <c r="W93" s="59">
        <f t="shared" si="46"/>
        <v>-23.901825833333334</v>
      </c>
      <c r="X93" s="59">
        <f t="shared" si="46"/>
        <v>-22.000585833333332</v>
      </c>
      <c r="Y93" s="59">
        <f t="shared" si="46"/>
        <v>-23.901825833333334</v>
      </c>
      <c r="Z93" s="59">
        <f t="shared" si="46"/>
        <v>-22.901825833333334</v>
      </c>
      <c r="AA93" s="59">
        <f t="shared" si="46"/>
        <v>-22.901835833333333</v>
      </c>
      <c r="AB93" s="59">
        <f t="shared" si="46"/>
        <v>-22.901825833333334</v>
      </c>
      <c r="AC93" s="59">
        <f t="shared" si="46"/>
        <v>-22.901825833333334</v>
      </c>
      <c r="AD93" s="59">
        <f t="shared" si="46"/>
        <v>-13.995445833333333</v>
      </c>
      <c r="AE93" s="59">
        <f t="shared" si="46"/>
        <v>-13.074595833333333</v>
      </c>
      <c r="AF93" s="59">
        <f t="shared" si="46"/>
        <v>-14.372985833333331</v>
      </c>
      <c r="AG93" s="59">
        <f t="shared" si="46"/>
        <v>-15.207045833333332</v>
      </c>
      <c r="AH93" s="59">
        <f t="shared" si="46"/>
        <v>-15.545625833333332</v>
      </c>
      <c r="AI93" s="59">
        <f t="shared" si="46"/>
        <v>-16.17368583333333</v>
      </c>
      <c r="AJ93" s="59">
        <f t="shared" si="46"/>
        <v>-14.632705833333333</v>
      </c>
      <c r="AK93" s="59">
        <f t="shared" si="46"/>
        <v>-15.545625833333332</v>
      </c>
      <c r="AL93" s="59">
        <f t="shared" si="46"/>
        <v>-10.787735833333333</v>
      </c>
      <c r="AM93" s="59">
        <f t="shared" si="46"/>
        <v>-7.9748558333333337</v>
      </c>
      <c r="AN93" s="59">
        <f t="shared" si="46"/>
        <v>-15.792285833333334</v>
      </c>
      <c r="AO93" s="59">
        <f t="shared" si="46"/>
        <v>-16.745865833333333</v>
      </c>
      <c r="AP93" s="59">
        <f t="shared" si="46"/>
        <v>-9.3596658333333345</v>
      </c>
      <c r="AQ93" s="59">
        <f t="shared" si="46"/>
        <v>-1.9596658333333332</v>
      </c>
      <c r="AR93" s="59">
        <f t="shared" si="46"/>
        <v>1.6263141666666669</v>
      </c>
      <c r="AS93" s="59">
        <f t="shared" si="46"/>
        <v>-15.959655833333333</v>
      </c>
      <c r="AT93" s="59">
        <f t="shared" si="4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>IFERROR(K95/J95-1,0)</f>
        <v>-0.28505750382285799</v>
      </c>
      <c r="P95" s="110">
        <f t="shared" ref="P95:AT95" si="47">+P93+P84</f>
        <v>7.3070441666666675</v>
      </c>
      <c r="Q95" s="105">
        <f t="shared" si="47"/>
        <v>-0.16142583333331828</v>
      </c>
      <c r="R95" s="105">
        <f t="shared" si="47"/>
        <v>-5.795955833333327</v>
      </c>
      <c r="S95" s="105">
        <f t="shared" si="47"/>
        <v>-14.239295833333351</v>
      </c>
      <c r="T95" s="105">
        <f t="shared" si="47"/>
        <v>-22.845245833333312</v>
      </c>
      <c r="U95" s="105">
        <f t="shared" si="47"/>
        <v>-9.8175358333333342</v>
      </c>
      <c r="V95" s="105">
        <f t="shared" si="47"/>
        <v>2.2202741666666803</v>
      </c>
      <c r="W95" s="105">
        <f t="shared" si="47"/>
        <v>5.0469941666666642</v>
      </c>
      <c r="X95" s="105">
        <f t="shared" si="47"/>
        <v>-8.6078158333333281</v>
      </c>
      <c r="Y95" s="105">
        <f t="shared" si="47"/>
        <v>-11.929775833333352</v>
      </c>
      <c r="Z95" s="105">
        <f t="shared" si="47"/>
        <v>-34.309155833333328</v>
      </c>
      <c r="AA95" s="105">
        <f t="shared" si="47"/>
        <v>-28.674485833333311</v>
      </c>
      <c r="AB95" s="105">
        <f t="shared" si="47"/>
        <v>0.14461416666663496</v>
      </c>
      <c r="AC95" s="105">
        <f t="shared" si="47"/>
        <v>-15.095905833333337</v>
      </c>
      <c r="AD95" s="105">
        <f t="shared" si="47"/>
        <v>7.3990541666666712</v>
      </c>
      <c r="AE95" s="105">
        <f t="shared" si="47"/>
        <v>-12.353775833333319</v>
      </c>
      <c r="AF95" s="105">
        <f t="shared" si="47"/>
        <v>1.6473541666666769</v>
      </c>
      <c r="AG95" s="105">
        <f t="shared" si="47"/>
        <v>12.362514166666646</v>
      </c>
      <c r="AH95" s="105">
        <f t="shared" si="47"/>
        <v>0.73014416666665483</v>
      </c>
      <c r="AI95" s="105">
        <f t="shared" si="47"/>
        <v>2.3874641666666427</v>
      </c>
      <c r="AJ95" s="105">
        <f t="shared" si="47"/>
        <v>-9.4950558333333213</v>
      </c>
      <c r="AK95" s="105">
        <f t="shared" si="47"/>
        <v>-12.683995833333325</v>
      </c>
      <c r="AL95" s="105">
        <f t="shared" si="47"/>
        <v>2.9951341666667055</v>
      </c>
      <c r="AM95" s="105">
        <f t="shared" si="47"/>
        <v>-6.0963958333333448</v>
      </c>
      <c r="AN95" s="105">
        <f t="shared" si="47"/>
        <v>16.395184166666613</v>
      </c>
      <c r="AO95" s="105">
        <f t="shared" si="47"/>
        <v>53.993614166666639</v>
      </c>
      <c r="AP95" s="105">
        <f t="shared" si="47"/>
        <v>-17.827795833333354</v>
      </c>
      <c r="AQ95" s="105">
        <f t="shared" si="47"/>
        <v>-10.915155833333355</v>
      </c>
      <c r="AR95" s="105">
        <f t="shared" si="47"/>
        <v>1.8522841666666663</v>
      </c>
      <c r="AS95" s="105">
        <f t="shared" si="47"/>
        <v>-5.7195858333332641</v>
      </c>
      <c r="AT95" s="106">
        <f t="shared" si="4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48">P95/P$24</f>
        <v>9.030730705740686E-2</v>
      </c>
      <c r="Q96" s="108">
        <f t="shared" si="48"/>
        <v>-1.9866401167341892E-3</v>
      </c>
      <c r="R96" s="108">
        <f t="shared" si="48"/>
        <v>-7.4200391658835962E-2</v>
      </c>
      <c r="S96" s="108">
        <f t="shared" si="48"/>
        <v>-0.17083061898369173</v>
      </c>
      <c r="T96" s="108">
        <f t="shared" si="48"/>
        <v>-0.25328404630722384</v>
      </c>
      <c r="U96" s="108">
        <f t="shared" si="48"/>
        <v>-0.10918588093898218</v>
      </c>
      <c r="V96" s="108">
        <f t="shared" si="48"/>
        <v>2.1209693225024542E-2</v>
      </c>
      <c r="W96" s="108">
        <f t="shared" si="48"/>
        <v>4.8474372919503003E-2</v>
      </c>
      <c r="X96" s="108">
        <f t="shared" si="48"/>
        <v>-8.7502035201143899E-2</v>
      </c>
      <c r="Y96" s="108">
        <f t="shared" si="48"/>
        <v>-0.12043113575189462</v>
      </c>
      <c r="Z96" s="108">
        <f t="shared" si="48"/>
        <v>-0.31407912712354963</v>
      </c>
      <c r="AA96" s="108">
        <f t="shared" si="48"/>
        <v>-0.24772378008069249</v>
      </c>
      <c r="AB96" s="108">
        <f t="shared" si="48"/>
        <v>1.0429215867343777E-3</v>
      </c>
      <c r="AC96" s="108">
        <f t="shared" si="48"/>
        <v>-0.11811892585388198</v>
      </c>
      <c r="AD96" s="108">
        <f t="shared" si="48"/>
        <v>5.4939896361694711E-2</v>
      </c>
      <c r="AE96" s="108">
        <f t="shared" si="48"/>
        <v>-9.0852887086604647E-2</v>
      </c>
      <c r="AF96" s="108">
        <f t="shared" si="48"/>
        <v>1.0834212642870877E-2</v>
      </c>
      <c r="AG96" s="108">
        <f t="shared" si="48"/>
        <v>8.0629463910499716E-2</v>
      </c>
      <c r="AH96" s="108">
        <f t="shared" si="48"/>
        <v>4.699063595038298E-3</v>
      </c>
      <c r="AI96" s="108">
        <f t="shared" si="48"/>
        <v>1.4933474620197061E-2</v>
      </c>
      <c r="AJ96" s="108">
        <f t="shared" si="48"/>
        <v>-5.7896960804465589E-2</v>
      </c>
      <c r="AK96" s="108">
        <f t="shared" si="48"/>
        <v>-7.0763756946015804E-2</v>
      </c>
      <c r="AL96" s="108">
        <f t="shared" si="48"/>
        <v>1.6484807119151169E-2</v>
      </c>
      <c r="AM96" s="108">
        <f t="shared" si="48"/>
        <v>-3.0992947494835076E-2</v>
      </c>
      <c r="AN96" s="108">
        <f t="shared" si="48"/>
        <v>7.7267982650441672E-2</v>
      </c>
      <c r="AO96" s="108">
        <f t="shared" si="48"/>
        <v>0.22320968245439077</v>
      </c>
      <c r="AP96" s="108">
        <f t="shared" si="48"/>
        <v>-7.7011464089163581E-2</v>
      </c>
      <c r="AQ96" s="108">
        <f t="shared" si="48"/>
        <v>-4.5419357130462024E-2</v>
      </c>
      <c r="AR96" s="108">
        <f t="shared" si="48"/>
        <v>7.5235289143985298E-3</v>
      </c>
      <c r="AS96" s="108">
        <f t="shared" si="48"/>
        <v>-2.3109503070648137E-2</v>
      </c>
      <c r="AT96" s="109">
        <f t="shared" si="4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>K99-J99</f>
        <v>-25.891874999999999</v>
      </c>
      <c r="N99" s="66">
        <f t="shared" ref="N99:N104" si="49">IFERROR(K99/J99-1,0)</f>
        <v>0</v>
      </c>
      <c r="P99" s="83">
        <f t="shared" ref="P99:AT99" si="50">-P10</f>
        <v>-5.4649999999999999</v>
      </c>
      <c r="Q99" s="83">
        <f t="shared" si="50"/>
        <v>-3.9</v>
      </c>
      <c r="R99" s="83">
        <f t="shared" si="50"/>
        <v>-2.7549999999999999</v>
      </c>
      <c r="S99" s="83">
        <f t="shared" si="50"/>
        <v>-3.5019999999999998</v>
      </c>
      <c r="T99" s="83">
        <f t="shared" si="50"/>
        <v>-4.6589999999999998</v>
      </c>
      <c r="U99" s="83">
        <f t="shared" si="50"/>
        <v>-3.9369999999999998</v>
      </c>
      <c r="V99" s="83">
        <f t="shared" si="50"/>
        <v>-4.6020000000000003</v>
      </c>
      <c r="W99" s="83">
        <f t="shared" si="50"/>
        <v>-4.7380000000000004</v>
      </c>
      <c r="X99" s="83">
        <f t="shared" si="50"/>
        <v>-2.1190000000000002</v>
      </c>
      <c r="Y99" s="83">
        <f t="shared" si="50"/>
        <v>-2.0640000000000001</v>
      </c>
      <c r="Z99" s="83">
        <f t="shared" si="50"/>
        <v>-3.0125000000000002</v>
      </c>
      <c r="AA99" s="83">
        <f t="shared" si="50"/>
        <v>-3.3050000000000002</v>
      </c>
      <c r="AB99" s="83">
        <f t="shared" si="50"/>
        <v>-3.0790000000000002</v>
      </c>
      <c r="AC99" s="83">
        <f t="shared" si="50"/>
        <v>-0.7</v>
      </c>
      <c r="AD99" s="83">
        <f t="shared" si="50"/>
        <v>-10.438549999999999</v>
      </c>
      <c r="AE99" s="83">
        <f t="shared" si="50"/>
        <v>-4.3</v>
      </c>
      <c r="AF99" s="83">
        <f t="shared" si="50"/>
        <v>-11.14</v>
      </c>
      <c r="AG99" s="83">
        <f t="shared" si="50"/>
        <v>-6.1624999999999996</v>
      </c>
      <c r="AH99" s="83">
        <f t="shared" si="50"/>
        <v>-6.4340000000000002</v>
      </c>
      <c r="AI99" s="83">
        <f t="shared" si="50"/>
        <v>-3.9649999999999999</v>
      </c>
      <c r="AJ99" s="83">
        <f t="shared" si="50"/>
        <v>-3.92</v>
      </c>
      <c r="AK99" s="83">
        <f t="shared" si="50"/>
        <v>-9.1364999999999998</v>
      </c>
      <c r="AL99" s="83">
        <f t="shared" si="50"/>
        <v>-5.2537500000000001</v>
      </c>
      <c r="AM99" s="83">
        <f t="shared" si="50"/>
        <v>-9.99</v>
      </c>
      <c r="AN99" s="83">
        <f t="shared" si="50"/>
        <v>-10.2105</v>
      </c>
      <c r="AO99" s="83">
        <f t="shared" si="50"/>
        <v>-6.6749999999999998</v>
      </c>
      <c r="AP99" s="83">
        <f t="shared" si="50"/>
        <v>-9.0990000000000002</v>
      </c>
      <c r="AQ99" s="83">
        <f t="shared" si="50"/>
        <v>-8.9544999999999995</v>
      </c>
      <c r="AR99" s="83">
        <f t="shared" si="50"/>
        <v>-12.606</v>
      </c>
      <c r="AS99" s="83">
        <f t="shared" si="50"/>
        <v>-5.4115000000000002</v>
      </c>
      <c r="AT99" s="83">
        <f t="shared" si="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>K100-J100</f>
        <v>49.287359999999993</v>
      </c>
      <c r="N100" s="66">
        <f t="shared" si="49"/>
        <v>0</v>
      </c>
      <c r="P100" s="83">
        <f t="shared" ref="P100:AT100" si="51">+P34</f>
        <v>9.1372800000000005</v>
      </c>
      <c r="Q100" s="83">
        <f t="shared" si="51"/>
        <v>8.9629599999999989</v>
      </c>
      <c r="R100" s="83">
        <f t="shared" si="51"/>
        <v>10.19584</v>
      </c>
      <c r="S100" s="83">
        <f t="shared" si="51"/>
        <v>15.04429</v>
      </c>
      <c r="T100" s="83">
        <f t="shared" si="51"/>
        <v>16.637439999999998</v>
      </c>
      <c r="U100" s="83">
        <f t="shared" si="51"/>
        <v>7.4949899999999996</v>
      </c>
      <c r="V100" s="83">
        <f t="shared" si="51"/>
        <v>7.9820200000000003</v>
      </c>
      <c r="W100" s="83">
        <f t="shared" si="51"/>
        <v>5.9027399999999997</v>
      </c>
      <c r="X100" s="83">
        <f t="shared" si="51"/>
        <v>7.7676300000000005</v>
      </c>
      <c r="Y100" s="83">
        <f t="shared" si="51"/>
        <v>8.2141699999999993</v>
      </c>
      <c r="Z100" s="83">
        <f t="shared" si="51"/>
        <v>12.622719999999999</v>
      </c>
      <c r="AA100" s="83">
        <f t="shared" si="51"/>
        <v>12.85047</v>
      </c>
      <c r="AB100" s="83">
        <f t="shared" si="51"/>
        <v>10.345559999999999</v>
      </c>
      <c r="AC100" s="83">
        <f t="shared" si="51"/>
        <v>8.0879799999999999</v>
      </c>
      <c r="AD100" s="83">
        <f t="shared" si="51"/>
        <v>9.7528700000000015</v>
      </c>
      <c r="AE100" s="83">
        <f t="shared" si="51"/>
        <v>10.28</v>
      </c>
      <c r="AF100" s="83">
        <f t="shared" si="51"/>
        <v>11.13632</v>
      </c>
      <c r="AG100" s="83">
        <f t="shared" si="51"/>
        <v>10.874319999999999</v>
      </c>
      <c r="AH100" s="83">
        <f t="shared" si="51"/>
        <v>13.472569999999999</v>
      </c>
      <c r="AI100" s="83">
        <f t="shared" si="51"/>
        <v>12.70407</v>
      </c>
      <c r="AJ100" s="83">
        <f t="shared" si="51"/>
        <v>14.698840000000001</v>
      </c>
      <c r="AK100" s="83">
        <f t="shared" si="51"/>
        <v>15.543059999999999</v>
      </c>
      <c r="AL100" s="83">
        <f t="shared" si="51"/>
        <v>14.34361</v>
      </c>
      <c r="AM100" s="83">
        <f t="shared" si="51"/>
        <v>20.930520000000001</v>
      </c>
      <c r="AN100" s="83">
        <f t="shared" si="51"/>
        <v>16.553939999999997</v>
      </c>
      <c r="AO100" s="83">
        <f t="shared" si="51"/>
        <v>11.52661</v>
      </c>
      <c r="AP100" s="83">
        <f t="shared" si="51"/>
        <v>14.938829999999999</v>
      </c>
      <c r="AQ100" s="83">
        <f t="shared" si="51"/>
        <v>15.58352</v>
      </c>
      <c r="AR100" s="83">
        <f t="shared" si="51"/>
        <v>19.603400000000001</v>
      </c>
      <c r="AS100" s="83">
        <f t="shared" si="51"/>
        <v>16.644569999999998</v>
      </c>
      <c r="AT100" s="83">
        <f t="shared" si="51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>K101-J101</f>
        <v>220.13062500000001</v>
      </c>
      <c r="N101" s="66">
        <f t="shared" si="49"/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>K102-J102</f>
        <v>143.23972444444445</v>
      </c>
      <c r="N102" s="66">
        <f t="shared" si="49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>K103-J103</f>
        <v>28.2</v>
      </c>
      <c r="N103" s="66">
        <f t="shared" si="49"/>
        <v>0</v>
      </c>
      <c r="P103" s="83">
        <f t="shared" ref="P103:AT103" si="52">+P36</f>
        <v>0</v>
      </c>
      <c r="Q103" s="83">
        <f t="shared" si="52"/>
        <v>0</v>
      </c>
      <c r="R103" s="83">
        <f t="shared" si="52"/>
        <v>0</v>
      </c>
      <c r="S103" s="83">
        <f t="shared" si="52"/>
        <v>0</v>
      </c>
      <c r="T103" s="83">
        <f t="shared" si="52"/>
        <v>0</v>
      </c>
      <c r="U103" s="83">
        <f t="shared" si="52"/>
        <v>0</v>
      </c>
      <c r="V103" s="83">
        <f t="shared" si="52"/>
        <v>0</v>
      </c>
      <c r="W103" s="83">
        <f t="shared" si="52"/>
        <v>0</v>
      </c>
      <c r="X103" s="83">
        <f t="shared" si="52"/>
        <v>0</v>
      </c>
      <c r="Y103" s="83">
        <f t="shared" si="52"/>
        <v>0</v>
      </c>
      <c r="Z103" s="83">
        <f t="shared" si="52"/>
        <v>0</v>
      </c>
      <c r="AA103" s="83">
        <f t="shared" si="52"/>
        <v>0</v>
      </c>
      <c r="AB103" s="83">
        <f t="shared" si="52"/>
        <v>0</v>
      </c>
      <c r="AC103" s="83">
        <f t="shared" si="52"/>
        <v>0</v>
      </c>
      <c r="AD103" s="83">
        <f t="shared" si="52"/>
        <v>0</v>
      </c>
      <c r="AE103" s="83">
        <f t="shared" si="52"/>
        <v>0</v>
      </c>
      <c r="AF103" s="83">
        <f t="shared" si="52"/>
        <v>0</v>
      </c>
      <c r="AG103" s="83">
        <f t="shared" si="52"/>
        <v>1.4667999999999999</v>
      </c>
      <c r="AH103" s="83">
        <f t="shared" si="52"/>
        <v>1.6326500000000002</v>
      </c>
      <c r="AI103" s="83">
        <f t="shared" si="52"/>
        <v>1.7180499999999999</v>
      </c>
      <c r="AJ103" s="83">
        <f t="shared" si="52"/>
        <v>1.9145999999999999</v>
      </c>
      <c r="AK103" s="83">
        <f t="shared" si="52"/>
        <v>2.3529</v>
      </c>
      <c r="AL103" s="83">
        <f t="shared" si="52"/>
        <v>2.2452399999999999</v>
      </c>
      <c r="AM103" s="83">
        <f t="shared" si="52"/>
        <v>7.8193900000000003</v>
      </c>
      <c r="AN103" s="83">
        <f t="shared" si="52"/>
        <v>5.6533999999999995</v>
      </c>
      <c r="AO103" s="83">
        <f t="shared" si="52"/>
        <v>5.9568900000000005</v>
      </c>
      <c r="AP103" s="83">
        <f t="shared" si="52"/>
        <v>7.7827999999999999</v>
      </c>
      <c r="AQ103" s="83">
        <f t="shared" si="52"/>
        <v>8.1370100000000001</v>
      </c>
      <c r="AR103" s="83">
        <f t="shared" si="52"/>
        <v>7.8082500000000001</v>
      </c>
      <c r="AS103" s="83">
        <f t="shared" si="52"/>
        <v>8.4072000000000013</v>
      </c>
      <c r="AT103" s="83">
        <f t="shared" si="52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si="49"/>
        <v>0</v>
      </c>
      <c r="P104" s="59">
        <f t="shared" ref="P104:AT104" si="53">SUM(P99:P103)</f>
        <v>3.6722800000000007</v>
      </c>
      <c r="Q104" s="59">
        <f t="shared" si="53"/>
        <v>5.0629599999999986</v>
      </c>
      <c r="R104" s="59">
        <f t="shared" si="53"/>
        <v>7.4408400000000006</v>
      </c>
      <c r="S104" s="59">
        <f t="shared" si="53"/>
        <v>11.542290000000001</v>
      </c>
      <c r="T104" s="59">
        <f t="shared" si="53"/>
        <v>11.978439999999999</v>
      </c>
      <c r="U104" s="59">
        <f t="shared" si="53"/>
        <v>3.5579899999999998</v>
      </c>
      <c r="V104" s="59">
        <f t="shared" si="53"/>
        <v>3.38002</v>
      </c>
      <c r="W104" s="59">
        <f t="shared" si="53"/>
        <v>1.1647399999999992</v>
      </c>
      <c r="X104" s="59">
        <f t="shared" si="53"/>
        <v>5.6486300000000007</v>
      </c>
      <c r="Y104" s="59">
        <f t="shared" si="53"/>
        <v>6.1501699999999992</v>
      </c>
      <c r="Z104" s="59">
        <f t="shared" si="53"/>
        <v>9.6102199999999982</v>
      </c>
      <c r="AA104" s="59">
        <f t="shared" si="53"/>
        <v>9.5454699999999999</v>
      </c>
      <c r="AB104" s="59">
        <f t="shared" si="53"/>
        <v>7.2665599999999984</v>
      </c>
      <c r="AC104" s="59">
        <f t="shared" si="53"/>
        <v>7.3879799999999998</v>
      </c>
      <c r="AD104" s="59">
        <f t="shared" si="53"/>
        <v>-0.68567999999999785</v>
      </c>
      <c r="AE104" s="59">
        <f t="shared" si="53"/>
        <v>5.9799999999999995</v>
      </c>
      <c r="AF104" s="59">
        <f t="shared" si="53"/>
        <v>-3.6800000000010158E-3</v>
      </c>
      <c r="AG104" s="59">
        <f t="shared" si="53"/>
        <v>6.1786199999999996</v>
      </c>
      <c r="AH104" s="59">
        <f t="shared" si="53"/>
        <v>8.6712199999999999</v>
      </c>
      <c r="AI104" s="59">
        <f t="shared" si="53"/>
        <v>10.45712</v>
      </c>
      <c r="AJ104" s="59">
        <f t="shared" si="53"/>
        <v>12.693440000000001</v>
      </c>
      <c r="AK104" s="59">
        <f t="shared" si="53"/>
        <v>8.7594599999999989</v>
      </c>
      <c r="AL104" s="59">
        <f t="shared" si="53"/>
        <v>11.335100000000001</v>
      </c>
      <c r="AM104" s="59">
        <f t="shared" si="53"/>
        <v>18.759910000000001</v>
      </c>
      <c r="AN104" s="59">
        <f t="shared" si="53"/>
        <v>11.996839999999997</v>
      </c>
      <c r="AO104" s="59">
        <f t="shared" si="53"/>
        <v>10.8085</v>
      </c>
      <c r="AP104" s="59">
        <f t="shared" si="53"/>
        <v>13.622629999999999</v>
      </c>
      <c r="AQ104" s="59">
        <f t="shared" si="53"/>
        <v>14.766030000000001</v>
      </c>
      <c r="AR104" s="59">
        <f t="shared" si="53"/>
        <v>14.80565</v>
      </c>
      <c r="AS104" s="59">
        <f t="shared" si="53"/>
        <v>19.640270000000001</v>
      </c>
      <c r="AT104" s="59">
        <f t="shared" si="53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>IFERROR(K106/J106-1,0)</f>
        <v>5.2502425360671952</v>
      </c>
      <c r="P106" s="110">
        <f t="shared" ref="P106:AT106" si="54">+P95+P104</f>
        <v>10.979324166666668</v>
      </c>
      <c r="Q106" s="105">
        <f t="shared" si="54"/>
        <v>4.9015341666666803</v>
      </c>
      <c r="R106" s="105">
        <f t="shared" si="54"/>
        <v>1.6448841666666736</v>
      </c>
      <c r="S106" s="105">
        <f t="shared" si="54"/>
        <v>-2.6970058333333498</v>
      </c>
      <c r="T106" s="105">
        <f t="shared" si="54"/>
        <v>-10.866805833333313</v>
      </c>
      <c r="U106" s="105">
        <f t="shared" si="54"/>
        <v>-6.259545833333334</v>
      </c>
      <c r="V106" s="105">
        <f t="shared" si="54"/>
        <v>5.6002941666666803</v>
      </c>
      <c r="W106" s="105">
        <f t="shared" si="54"/>
        <v>6.2117341666666634</v>
      </c>
      <c r="X106" s="105">
        <f t="shared" si="54"/>
        <v>-2.9591858333333274</v>
      </c>
      <c r="Y106" s="105">
        <f t="shared" si="54"/>
        <v>-5.7796058333333526</v>
      </c>
      <c r="Z106" s="105">
        <f t="shared" si="54"/>
        <v>-24.69893583333333</v>
      </c>
      <c r="AA106" s="105">
        <f t="shared" si="54"/>
        <v>-19.129015833333312</v>
      </c>
      <c r="AB106" s="105">
        <f t="shared" si="54"/>
        <v>7.4111741666666333</v>
      </c>
      <c r="AC106" s="105">
        <f t="shared" si="54"/>
        <v>-7.7079258333333369</v>
      </c>
      <c r="AD106" s="105">
        <f t="shared" si="54"/>
        <v>6.7133741666666733</v>
      </c>
      <c r="AE106" s="105">
        <f t="shared" si="54"/>
        <v>-6.3737758333333199</v>
      </c>
      <c r="AF106" s="105">
        <f t="shared" si="54"/>
        <v>1.6436741666666759</v>
      </c>
      <c r="AG106" s="105">
        <f t="shared" si="54"/>
        <v>18.541134166666644</v>
      </c>
      <c r="AH106" s="105">
        <f t="shared" si="54"/>
        <v>9.4013641666666548</v>
      </c>
      <c r="AI106" s="105">
        <f t="shared" si="54"/>
        <v>12.844584166666642</v>
      </c>
      <c r="AJ106" s="105">
        <f t="shared" si="54"/>
        <v>3.1983841666666795</v>
      </c>
      <c r="AK106" s="105">
        <f t="shared" si="54"/>
        <v>-3.9245358333333265</v>
      </c>
      <c r="AL106" s="105">
        <f t="shared" si="54"/>
        <v>14.330234166666706</v>
      </c>
      <c r="AM106" s="105">
        <f t="shared" si="54"/>
        <v>12.663514166666657</v>
      </c>
      <c r="AN106" s="105">
        <f t="shared" si="54"/>
        <v>28.392024166666609</v>
      </c>
      <c r="AO106" s="105">
        <f t="shared" si="54"/>
        <v>64.802114166666641</v>
      </c>
      <c r="AP106" s="105">
        <f t="shared" si="54"/>
        <v>-4.2051658333333553</v>
      </c>
      <c r="AQ106" s="105">
        <f t="shared" si="54"/>
        <v>3.8508741666666459</v>
      </c>
      <c r="AR106" s="105">
        <f t="shared" si="54"/>
        <v>16.657934166666667</v>
      </c>
      <c r="AS106" s="105">
        <f t="shared" si="54"/>
        <v>13.920684166666737</v>
      </c>
      <c r="AT106" s="106">
        <f t="shared" si="54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:AT107" si="55">P106/P$24</f>
        <v>0.13569278851838168</v>
      </c>
      <c r="Q107" s="108">
        <f t="shared" si="55"/>
        <v>6.0322342514638111E-2</v>
      </c>
      <c r="R107" s="108">
        <f t="shared" si="55"/>
        <v>2.1057967470723825E-2</v>
      </c>
      <c r="S107" s="108">
        <f t="shared" si="55"/>
        <v>-3.2356317426344851E-2</v>
      </c>
      <c r="T107" s="108">
        <f t="shared" si="55"/>
        <v>-0.12047970820631825</v>
      </c>
      <c r="U107" s="108">
        <f t="shared" si="55"/>
        <v>-6.96156385566645E-2</v>
      </c>
      <c r="V107" s="108">
        <f t="shared" si="55"/>
        <v>5.3498132360482814E-2</v>
      </c>
      <c r="W107" s="108">
        <f t="shared" si="55"/>
        <v>5.966123766508908E-2</v>
      </c>
      <c r="X107" s="108">
        <f t="shared" si="55"/>
        <v>-3.0081357218674151E-2</v>
      </c>
      <c r="Y107" s="108">
        <f t="shared" si="55"/>
        <v>-5.834514448811115E-2</v>
      </c>
      <c r="Z107" s="108">
        <f t="shared" si="55"/>
        <v>-0.2261034997508482</v>
      </c>
      <c r="AA107" s="108">
        <f t="shared" si="55"/>
        <v>-0.16525883459601992</v>
      </c>
      <c r="AB107" s="108">
        <f t="shared" si="55"/>
        <v>5.3447554272344149E-2</v>
      </c>
      <c r="AC107" s="108">
        <f t="shared" si="55"/>
        <v>-6.0311181723480878E-2</v>
      </c>
      <c r="AD107" s="108">
        <f t="shared" si="55"/>
        <v>4.9848544509318984E-2</v>
      </c>
      <c r="AE107" s="108">
        <f t="shared" si="55"/>
        <v>-4.6874408594875253E-2</v>
      </c>
      <c r="AF107" s="108">
        <f t="shared" si="55"/>
        <v>1.0810010256199862E-2</v>
      </c>
      <c r="AG107" s="108">
        <f t="shared" si="55"/>
        <v>0.12092699656368312</v>
      </c>
      <c r="AH107" s="108">
        <f t="shared" si="55"/>
        <v>6.0505322258432838E-2</v>
      </c>
      <c r="AI107" s="108">
        <f t="shared" si="55"/>
        <v>8.0342262027626898E-2</v>
      </c>
      <c r="AJ107" s="108">
        <f t="shared" si="55"/>
        <v>1.9502436424338139E-2</v>
      </c>
      <c r="AK107" s="108">
        <f t="shared" si="55"/>
        <v>-2.1894906264956274E-2</v>
      </c>
      <c r="AL107" s="108">
        <f t="shared" si="55"/>
        <v>7.88716408229128E-2</v>
      </c>
      <c r="AM107" s="108">
        <f t="shared" si="55"/>
        <v>6.4378961011952951E-2</v>
      </c>
      <c r="AN107" s="108">
        <f t="shared" si="55"/>
        <v>0.13380724537277019</v>
      </c>
      <c r="AO107" s="108">
        <f t="shared" si="55"/>
        <v>0.26789203776702503</v>
      </c>
      <c r="AP107" s="108">
        <f t="shared" si="55"/>
        <v>-1.8165228084855076E-2</v>
      </c>
      <c r="AQ107" s="108">
        <f t="shared" si="55"/>
        <v>1.6023979108586776E-2</v>
      </c>
      <c r="AR107" s="108">
        <f t="shared" si="55"/>
        <v>6.7660487312051501E-2</v>
      </c>
      <c r="AS107" s="108">
        <f t="shared" si="55"/>
        <v>5.6245347629939706E-2</v>
      </c>
      <c r="AT107" s="109">
        <f t="shared" si="55"/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56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56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57">+B50</f>
        <v>Travel, Meals &amp; Entertainment</v>
      </c>
      <c r="C150" s="83">
        <f t="shared" si="56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57"/>
        <v>Payment Collection Fees</v>
      </c>
      <c r="C151" s="83">
        <f t="shared" si="56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57"/>
        <v>Professional Organizations</v>
      </c>
      <c r="C152" s="83">
        <f t="shared" si="56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57"/>
        <v>S&amp;M Events</v>
      </c>
      <c r="C153" s="83">
        <f t="shared" si="56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57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57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58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58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58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58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58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58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 t="shared" ref="D98:AG98" si="1">EOMONTH(C98,0)+1</f>
        <v>45323</v>
      </c>
      <c r="E98" s="44">
        <f t="shared" si="1"/>
        <v>45352</v>
      </c>
      <c r="F98" s="44">
        <f t="shared" si="1"/>
        <v>45383</v>
      </c>
      <c r="G98" s="44">
        <f t="shared" si="1"/>
        <v>45413</v>
      </c>
      <c r="H98" s="44">
        <f t="shared" si="1"/>
        <v>45444</v>
      </c>
      <c r="I98" s="44">
        <f t="shared" si="1"/>
        <v>45474</v>
      </c>
      <c r="J98" s="44">
        <f t="shared" si="1"/>
        <v>45505</v>
      </c>
      <c r="K98" s="44">
        <f t="shared" si="1"/>
        <v>45536</v>
      </c>
      <c r="L98" s="44">
        <f t="shared" si="1"/>
        <v>45566</v>
      </c>
      <c r="M98" s="44">
        <f t="shared" si="1"/>
        <v>45597</v>
      </c>
      <c r="N98" s="44">
        <f t="shared" si="1"/>
        <v>45627</v>
      </c>
      <c r="O98" s="44">
        <f t="shared" si="1"/>
        <v>45658</v>
      </c>
      <c r="P98" s="44">
        <f t="shared" si="1"/>
        <v>45689</v>
      </c>
      <c r="Q98" s="44">
        <f t="shared" si="1"/>
        <v>45717</v>
      </c>
      <c r="R98" s="44">
        <f t="shared" si="1"/>
        <v>45748</v>
      </c>
      <c r="S98" s="44">
        <f t="shared" si="1"/>
        <v>45778</v>
      </c>
      <c r="T98" s="44">
        <f t="shared" si="1"/>
        <v>45809</v>
      </c>
      <c r="U98" s="44">
        <f t="shared" si="1"/>
        <v>45839</v>
      </c>
      <c r="V98" s="44">
        <f t="shared" si="1"/>
        <v>45870</v>
      </c>
      <c r="W98" s="44">
        <f t="shared" si="1"/>
        <v>45901</v>
      </c>
      <c r="X98" s="44">
        <f t="shared" si="1"/>
        <v>45931</v>
      </c>
      <c r="Y98" s="44">
        <f t="shared" si="1"/>
        <v>45962</v>
      </c>
      <c r="Z98" s="44">
        <f t="shared" si="1"/>
        <v>45992</v>
      </c>
      <c r="AA98" s="44">
        <f t="shared" si="1"/>
        <v>46023</v>
      </c>
      <c r="AB98" s="44">
        <f t="shared" si="1"/>
        <v>46054</v>
      </c>
      <c r="AC98" s="44">
        <f t="shared" si="1"/>
        <v>46082</v>
      </c>
      <c r="AD98" s="44">
        <f t="shared" si="1"/>
        <v>46113</v>
      </c>
      <c r="AE98" s="44">
        <f t="shared" si="1"/>
        <v>46143</v>
      </c>
      <c r="AF98" s="44">
        <f t="shared" si="1"/>
        <v>46174</v>
      </c>
      <c r="AG98" s="44">
        <f t="shared" si="1"/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 t="shared" ref="D102:AG102" si="2">EOMONTH(C102,0)+1</f>
        <v>45323</v>
      </c>
      <c r="E102" s="44">
        <f t="shared" si="2"/>
        <v>45352</v>
      </c>
      <c r="F102" s="44">
        <f t="shared" si="2"/>
        <v>45383</v>
      </c>
      <c r="G102" s="44">
        <f t="shared" si="2"/>
        <v>45413</v>
      </c>
      <c r="H102" s="44">
        <f t="shared" si="2"/>
        <v>45444</v>
      </c>
      <c r="I102" s="44">
        <f t="shared" si="2"/>
        <v>45474</v>
      </c>
      <c r="J102" s="44">
        <f t="shared" si="2"/>
        <v>45505</v>
      </c>
      <c r="K102" s="44">
        <f t="shared" si="2"/>
        <v>45536</v>
      </c>
      <c r="L102" s="44">
        <f t="shared" si="2"/>
        <v>45566</v>
      </c>
      <c r="M102" s="44">
        <f t="shared" si="2"/>
        <v>45597</v>
      </c>
      <c r="N102" s="44">
        <f t="shared" si="2"/>
        <v>45627</v>
      </c>
      <c r="O102" s="44">
        <f t="shared" si="2"/>
        <v>45658</v>
      </c>
      <c r="P102" s="44">
        <f t="shared" si="2"/>
        <v>45689</v>
      </c>
      <c r="Q102" s="44">
        <f t="shared" si="2"/>
        <v>45717</v>
      </c>
      <c r="R102" s="44">
        <f t="shared" si="2"/>
        <v>45748</v>
      </c>
      <c r="S102" s="44">
        <f t="shared" si="2"/>
        <v>45778</v>
      </c>
      <c r="T102" s="44">
        <f t="shared" si="2"/>
        <v>45809</v>
      </c>
      <c r="U102" s="44">
        <f t="shared" si="2"/>
        <v>45839</v>
      </c>
      <c r="V102" s="44">
        <f t="shared" si="2"/>
        <v>45870</v>
      </c>
      <c r="W102" s="44">
        <f t="shared" si="2"/>
        <v>45901</v>
      </c>
      <c r="X102" s="44">
        <f t="shared" si="2"/>
        <v>45931</v>
      </c>
      <c r="Y102" s="44">
        <f t="shared" si="2"/>
        <v>45962</v>
      </c>
      <c r="Z102" s="44">
        <f t="shared" si="2"/>
        <v>45992</v>
      </c>
      <c r="AA102" s="44">
        <f t="shared" si="2"/>
        <v>46023</v>
      </c>
      <c r="AB102" s="44">
        <f t="shared" si="2"/>
        <v>46054</v>
      </c>
      <c r="AC102" s="44">
        <f t="shared" si="2"/>
        <v>46082</v>
      </c>
      <c r="AD102" s="44">
        <f t="shared" si="2"/>
        <v>46113</v>
      </c>
      <c r="AE102" s="44">
        <f t="shared" si="2"/>
        <v>46143</v>
      </c>
      <c r="AF102" s="44">
        <f t="shared" si="2"/>
        <v>46174</v>
      </c>
      <c r="AG102" s="44">
        <f t="shared" si="2"/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 t="shared" ref="D106:AG106" si="3">EOMONTH(C106,0)+1</f>
        <v>45323</v>
      </c>
      <c r="E106" s="44">
        <f t="shared" si="3"/>
        <v>45352</v>
      </c>
      <c r="F106" s="44">
        <f t="shared" si="3"/>
        <v>45383</v>
      </c>
      <c r="G106" s="44">
        <f t="shared" si="3"/>
        <v>45413</v>
      </c>
      <c r="H106" s="44">
        <f t="shared" si="3"/>
        <v>45444</v>
      </c>
      <c r="I106" s="44">
        <f t="shared" si="3"/>
        <v>45474</v>
      </c>
      <c r="J106" s="44">
        <f t="shared" si="3"/>
        <v>45505</v>
      </c>
      <c r="K106" s="44">
        <f t="shared" si="3"/>
        <v>45536</v>
      </c>
      <c r="L106" s="44">
        <f t="shared" si="3"/>
        <v>45566</v>
      </c>
      <c r="M106" s="44">
        <f t="shared" si="3"/>
        <v>45597</v>
      </c>
      <c r="N106" s="44">
        <f t="shared" si="3"/>
        <v>45627</v>
      </c>
      <c r="O106" s="44">
        <f t="shared" si="3"/>
        <v>45658</v>
      </c>
      <c r="P106" s="44">
        <f t="shared" si="3"/>
        <v>45689</v>
      </c>
      <c r="Q106" s="44">
        <f t="shared" si="3"/>
        <v>45717</v>
      </c>
      <c r="R106" s="44">
        <f t="shared" si="3"/>
        <v>45748</v>
      </c>
      <c r="S106" s="44">
        <f t="shared" si="3"/>
        <v>45778</v>
      </c>
      <c r="T106" s="44">
        <f t="shared" si="3"/>
        <v>45809</v>
      </c>
      <c r="U106" s="44">
        <f t="shared" si="3"/>
        <v>45839</v>
      </c>
      <c r="V106" s="44">
        <f t="shared" si="3"/>
        <v>45870</v>
      </c>
      <c r="W106" s="44">
        <f t="shared" si="3"/>
        <v>45901</v>
      </c>
      <c r="X106" s="44">
        <f t="shared" si="3"/>
        <v>45931</v>
      </c>
      <c r="Y106" s="44">
        <f t="shared" si="3"/>
        <v>45962</v>
      </c>
      <c r="Z106" s="44">
        <f t="shared" si="3"/>
        <v>45992</v>
      </c>
      <c r="AA106" s="44">
        <f t="shared" si="3"/>
        <v>46023</v>
      </c>
      <c r="AB106" s="44">
        <f t="shared" si="3"/>
        <v>46054</v>
      </c>
      <c r="AC106" s="44">
        <f t="shared" si="3"/>
        <v>46082</v>
      </c>
      <c r="AD106" s="44">
        <f t="shared" si="3"/>
        <v>46113</v>
      </c>
      <c r="AE106" s="44">
        <f t="shared" si="3"/>
        <v>46143</v>
      </c>
      <c r="AF106" s="44">
        <f t="shared" si="3"/>
        <v>46174</v>
      </c>
      <c r="AG106" s="44">
        <f t="shared" si="3"/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>+D9</f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>+D10</f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1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1"/>
        <v>78.900000000000006</v>
      </c>
      <c r="D16" s="206">
        <f t="shared" ref="D16:D26" si="2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1"/>
        <v>36.009</v>
      </c>
      <c r="D17" s="206">
        <f t="shared" si="2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1"/>
        <v>18.025680000000001</v>
      </c>
      <c r="D18" s="206">
        <f t="shared" si="2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1"/>
        <v>16.8</v>
      </c>
      <c r="D19" s="206">
        <f t="shared" si="2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1"/>
        <v>16.908709999999999</v>
      </c>
      <c r="D20" s="206">
        <f t="shared" si="2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1"/>
        <v>13.2</v>
      </c>
      <c r="D21" s="206">
        <f t="shared" si="2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1"/>
        <v>12.04365</v>
      </c>
      <c r="D22" s="163">
        <f t="shared" si="2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1"/>
        <v>9.052719999999999</v>
      </c>
      <c r="D23" s="163">
        <f t="shared" si="2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1"/>
        <v>8.9686699999999995</v>
      </c>
      <c r="D24" s="163">
        <f t="shared" si="2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2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2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3" priority="1">
      <formula>$K$3=1</formula>
    </cfRule>
  </conditionalFormatting>
  <conditionalFormatting sqref="A15:XFD24 A25:B25 D25:XFD25 A26:XFD26">
    <cfRule type="expression" dxfId="72" priority="11">
      <formula>$K$3=1</formula>
    </cfRule>
  </conditionalFormatting>
  <conditionalFormatting sqref="B11:D11">
    <cfRule type="expression" dxfId="71" priority="2">
      <formula>$K$3=1</formula>
    </cfRule>
  </conditionalFormatting>
  <conditionalFormatting sqref="B14:D14">
    <cfRule type="expression" dxfId="70" priority="8">
      <formula>$V$3=1</formula>
    </cfRule>
  </conditionalFormatting>
  <conditionalFormatting sqref="B6:F6">
    <cfRule type="expression" dxfId="69" priority="7">
      <formula>$V$3=1</formula>
    </cfRule>
  </conditionalFormatting>
  <conditionalFormatting sqref="C7:C10">
    <cfRule type="expression" dxfId="68" priority="4">
      <formula>$V$3=1</formula>
    </cfRule>
  </conditionalFormatting>
  <conditionalFormatting sqref="C15 B15:B27 D15:D27 K15:K27 C25:C27 A36:A47 E36:XFD47">
    <cfRule type="expression" dxfId="67" priority="18">
      <formula>$K$3=1</formula>
    </cfRule>
  </conditionalFormatting>
  <conditionalFormatting sqref="C15:C25">
    <cfRule type="expression" dxfId="66" priority="10">
      <formula>$V$3=1</formula>
    </cfRule>
  </conditionalFormatting>
  <conditionalFormatting sqref="C27">
    <cfRule type="expression" dxfId="65" priority="20">
      <formula>$V$3=1</formula>
    </cfRule>
  </conditionalFormatting>
  <conditionalFormatting sqref="C7:D10">
    <cfRule type="expression" dxfId="64" priority="5">
      <formula>$K$3=1</formula>
    </cfRule>
  </conditionalFormatting>
  <conditionalFormatting sqref="C11:D11">
    <cfRule type="expression" dxfId="63" priority="3">
      <formula>$V$3=1</formula>
    </cfRule>
  </conditionalFormatting>
  <conditionalFormatting sqref="K15:K27">
    <cfRule type="expression" dxfId="62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>SUM(C8:C15)</f>
        <v>1475.5390500000001</v>
      </c>
      <c r="D16" s="61">
        <f>SUM(D8:D15)</f>
        <v>2469.0259900000001</v>
      </c>
      <c r="E16" s="124">
        <f>SUM(E8:E15)</f>
        <v>2942.9432999999999</v>
      </c>
      <c r="F16" s="71"/>
      <c r="G16" s="63">
        <f t="shared" ref="G16:R16" si="1">SUM(G8:G15)</f>
        <v>157.49274999999997</v>
      </c>
      <c r="H16" s="61">
        <f t="shared" si="1"/>
        <v>161.958</v>
      </c>
      <c r="I16" s="61">
        <f t="shared" si="1"/>
        <v>175.58</v>
      </c>
      <c r="J16" s="61">
        <f t="shared" si="1"/>
        <v>180.39300000000003</v>
      </c>
      <c r="K16" s="61">
        <f t="shared" si="1"/>
        <v>193.53474999999997</v>
      </c>
      <c r="L16" s="61">
        <f t="shared" si="1"/>
        <v>203.24331999999995</v>
      </c>
      <c r="M16" s="61">
        <f t="shared" si="1"/>
        <v>208.38586999999998</v>
      </c>
      <c r="N16" s="61">
        <f t="shared" si="1"/>
        <v>215.74275</v>
      </c>
      <c r="O16" s="61">
        <f t="shared" si="1"/>
        <v>232.03611000000001</v>
      </c>
      <c r="P16" s="61">
        <f t="shared" si="1"/>
        <v>245.53060999999997</v>
      </c>
      <c r="Q16" s="61">
        <f t="shared" si="1"/>
        <v>243.79017999999999</v>
      </c>
      <c r="R16" s="62">
        <f t="shared" si="1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>SUM(C18:C22)</f>
        <v>48.871600000000001</v>
      </c>
      <c r="D23" s="59">
        <f>SUM(D18:D22)</f>
        <v>83.505239999999986</v>
      </c>
      <c r="E23" s="125">
        <f>SUM(E18:E22)</f>
        <v>55.597719999999995</v>
      </c>
      <c r="F23" s="71"/>
      <c r="G23" s="59">
        <f t="shared" ref="G23:R23" si="2">SUM(G18:G22)</f>
        <v>2.3805699999999996</v>
      </c>
      <c r="H23" s="59">
        <f t="shared" si="2"/>
        <v>2.04121</v>
      </c>
      <c r="I23" s="59">
        <f t="shared" si="2"/>
        <v>3.6642399999999999</v>
      </c>
      <c r="J23" s="59">
        <f t="shared" si="2"/>
        <v>1.29758</v>
      </c>
      <c r="K23" s="59">
        <f t="shared" si="2"/>
        <v>3.1679299999999997</v>
      </c>
      <c r="L23" s="59">
        <f t="shared" si="2"/>
        <v>8.9426800000000011</v>
      </c>
      <c r="M23" s="59">
        <f t="shared" si="2"/>
        <v>33.510510000000004</v>
      </c>
      <c r="N23" s="59">
        <f t="shared" si="2"/>
        <v>15.752599999999999</v>
      </c>
      <c r="O23" s="59">
        <f t="shared" si="2"/>
        <v>8.2833600000000001</v>
      </c>
      <c r="P23" s="59">
        <f t="shared" si="2"/>
        <v>0.66824000000000006</v>
      </c>
      <c r="Q23" s="59">
        <f t="shared" si="2"/>
        <v>3.7091200000000004</v>
      </c>
      <c r="R23" s="59">
        <f t="shared" si="2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3">+G23+G16</f>
        <v>159.87331999999998</v>
      </c>
      <c r="H25" s="61">
        <f t="shared" si="3"/>
        <v>163.99921000000001</v>
      </c>
      <c r="I25" s="61">
        <f t="shared" si="3"/>
        <v>179.24424000000002</v>
      </c>
      <c r="J25" s="61">
        <f t="shared" si="3"/>
        <v>181.69058000000004</v>
      </c>
      <c r="K25" s="61">
        <f t="shared" si="3"/>
        <v>196.70267999999999</v>
      </c>
      <c r="L25" s="61">
        <f t="shared" si="3"/>
        <v>212.18599999999995</v>
      </c>
      <c r="M25" s="61">
        <f t="shared" si="3"/>
        <v>241.89637999999999</v>
      </c>
      <c r="N25" s="61">
        <f t="shared" si="3"/>
        <v>231.49535</v>
      </c>
      <c r="O25" s="61">
        <f t="shared" si="3"/>
        <v>240.31947</v>
      </c>
      <c r="P25" s="61">
        <f t="shared" si="3"/>
        <v>246.19884999999996</v>
      </c>
      <c r="Q25" s="61">
        <f t="shared" si="3"/>
        <v>247.49930000000001</v>
      </c>
      <c r="R25" s="62">
        <f t="shared" si="3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4">G8/G$16</f>
        <v>0.82597611636091206</v>
      </c>
      <c r="H28" s="66">
        <f t="shared" si="4"/>
        <v>0.82484656515886834</v>
      </c>
      <c r="I28" s="66">
        <f t="shared" si="4"/>
        <v>0.7951304248775487</v>
      </c>
      <c r="J28" s="66">
        <f t="shared" si="4"/>
        <v>0.80535691517963548</v>
      </c>
      <c r="K28" s="66">
        <f t="shared" si="4"/>
        <v>0.77711237904304009</v>
      </c>
      <c r="L28" s="66">
        <f t="shared" si="4"/>
        <v>0.77020391125277832</v>
      </c>
      <c r="M28" s="66">
        <f t="shared" si="4"/>
        <v>0.79133676386023688</v>
      </c>
      <c r="N28" s="66">
        <f t="shared" si="4"/>
        <v>0.78957114433741105</v>
      </c>
      <c r="O28" s="66">
        <f t="shared" si="4"/>
        <v>0.79152335384350303</v>
      </c>
      <c r="P28" s="66">
        <f t="shared" si="4"/>
        <v>0.77702898225194827</v>
      </c>
      <c r="Q28" s="66">
        <f t="shared" si="4"/>
        <v>0.79743367841969681</v>
      </c>
      <c r="R28" s="66">
        <f t="shared" si="4"/>
        <v>0.79907129285527712</v>
      </c>
    </row>
    <row r="29" spans="2:18">
      <c r="B29" s="56" t="str">
        <f t="shared" ref="B29:B35" si="5">+B9</f>
        <v>Occupancy Taxes</v>
      </c>
      <c r="C29" s="66">
        <f t="shared" ref="C29:D35" si="6">C9/C$16</f>
        <v>1.6119871581846652E-2</v>
      </c>
      <c r="D29" s="66">
        <f t="shared" si="6"/>
        <v>5.0022211390330487E-2</v>
      </c>
      <c r="E29" s="66">
        <f t="shared" ref="E29:E35" si="7">E9/E$16</f>
        <v>6.5522771029941362E-2</v>
      </c>
      <c r="F29" s="66"/>
      <c r="G29" s="66">
        <f t="shared" ref="G29:R29" si="8">G9/G$16</f>
        <v>3.003312850909011E-2</v>
      </c>
      <c r="H29" s="66">
        <f t="shared" si="8"/>
        <v>2.9760802183282087E-2</v>
      </c>
      <c r="I29" s="66">
        <f t="shared" si="8"/>
        <v>3.0584349014694156E-2</v>
      </c>
      <c r="J29" s="66">
        <f t="shared" si="8"/>
        <v>4.4624791427605282E-2</v>
      </c>
      <c r="K29" s="66">
        <f t="shared" si="8"/>
        <v>4.5909068009750191E-2</v>
      </c>
      <c r="L29" s="66">
        <f t="shared" si="8"/>
        <v>5.3677139302782513E-2</v>
      </c>
      <c r="M29" s="66">
        <f t="shared" si="8"/>
        <v>4.9595349243209248E-2</v>
      </c>
      <c r="N29" s="66">
        <f t="shared" si="8"/>
        <v>5.1797800853099353E-2</v>
      </c>
      <c r="O29" s="66">
        <f t="shared" si="8"/>
        <v>5.1514007884376274E-2</v>
      </c>
      <c r="P29" s="66">
        <f t="shared" si="8"/>
        <v>6.1257983271413699E-2</v>
      </c>
      <c r="Q29" s="66">
        <f t="shared" si="8"/>
        <v>6.6322113548626133E-2</v>
      </c>
      <c r="R29" s="66">
        <f t="shared" si="8"/>
        <v>6.3934257624125856E-2</v>
      </c>
    </row>
    <row r="30" spans="2:18">
      <c r="B30" s="56" t="str">
        <f t="shared" si="5"/>
        <v>SMB Subscription</v>
      </c>
      <c r="C30" s="66">
        <f t="shared" si="6"/>
        <v>0.11490478683027736</v>
      </c>
      <c r="D30" s="66">
        <f t="shared" si="6"/>
        <v>5.3760470945872864E-2</v>
      </c>
      <c r="E30" s="66">
        <f t="shared" si="7"/>
        <v>5.5046932096856922E-3</v>
      </c>
      <c r="F30" s="66"/>
      <c r="G30" s="66">
        <f t="shared" ref="G30:R30" si="9">G10/G$16</f>
        <v>7.5289179978125995E-2</v>
      </c>
      <c r="H30" s="66">
        <f t="shared" si="9"/>
        <v>7.5961051630669685E-2</v>
      </c>
      <c r="I30" s="66">
        <f t="shared" si="9"/>
        <v>6.6593575578084069E-2</v>
      </c>
      <c r="J30" s="66">
        <f t="shared" si="9"/>
        <v>6.4955402925834141E-2</v>
      </c>
      <c r="K30" s="66">
        <f t="shared" si="9"/>
        <v>6.0699693465902128E-2</v>
      </c>
      <c r="L30" s="66">
        <f t="shared" si="9"/>
        <v>5.5502439145355444E-2</v>
      </c>
      <c r="M30" s="66">
        <f t="shared" si="9"/>
        <v>5.2453172568754307E-2</v>
      </c>
      <c r="N30" s="66">
        <f t="shared" si="9"/>
        <v>4.9250785947615852E-2</v>
      </c>
      <c r="O30" s="66">
        <f t="shared" si="9"/>
        <v>4.4456442576976486E-2</v>
      </c>
      <c r="P30" s="66">
        <f t="shared" si="9"/>
        <v>4.2013091565243132E-2</v>
      </c>
      <c r="Q30" s="66">
        <f t="shared" si="9"/>
        <v>4.0918383176877758E-2</v>
      </c>
      <c r="R30" s="66">
        <f t="shared" si="9"/>
        <v>3.968947871726055E-2</v>
      </c>
    </row>
    <row r="31" spans="2:18">
      <c r="B31" s="56" t="str">
        <f t="shared" si="5"/>
        <v>Onboarding</v>
      </c>
      <c r="C31" s="66">
        <f t="shared" si="6"/>
        <v>3.8963760396581844E-2</v>
      </c>
      <c r="D31" s="66">
        <f t="shared" si="6"/>
        <v>3.6986346182609445E-2</v>
      </c>
      <c r="E31" s="66">
        <f t="shared" si="7"/>
        <v>3.5191809505810051E-2</v>
      </c>
      <c r="F31" s="66"/>
      <c r="G31" s="66">
        <f t="shared" ref="G31:R31" si="10">G11/G$16</f>
        <v>2.517576205888843E-2</v>
      </c>
      <c r="H31" s="66">
        <f t="shared" si="10"/>
        <v>2.42038059249929E-2</v>
      </c>
      <c r="I31" s="66">
        <f t="shared" si="10"/>
        <v>5.2036108896229637E-2</v>
      </c>
      <c r="J31" s="66">
        <f t="shared" si="10"/>
        <v>2.9123912790407606E-2</v>
      </c>
      <c r="K31" s="66">
        <f t="shared" si="10"/>
        <v>5.161863696312937E-2</v>
      </c>
      <c r="L31" s="66">
        <f t="shared" si="10"/>
        <v>5.0237813474017262E-2</v>
      </c>
      <c r="M31" s="66">
        <f t="shared" si="10"/>
        <v>3.2031922317957547E-2</v>
      </c>
      <c r="N31" s="66">
        <f t="shared" si="10"/>
        <v>4.2175229526832302E-2</v>
      </c>
      <c r="O31" s="66">
        <f t="shared" si="10"/>
        <v>3.8590976206246519E-2</v>
      </c>
      <c r="P31" s="66">
        <f t="shared" si="10"/>
        <v>5.1341867313407487E-2</v>
      </c>
      <c r="Q31" s="66">
        <f t="shared" si="10"/>
        <v>2.219736660434805E-2</v>
      </c>
      <c r="R31" s="66">
        <f t="shared" si="10"/>
        <v>2.4264075580894537E-2</v>
      </c>
    </row>
    <row r="32" spans="2:18">
      <c r="B32" s="56" t="str">
        <f t="shared" si="5"/>
        <v>Topkey Subscription</v>
      </c>
      <c r="C32" s="66">
        <f t="shared" si="6"/>
        <v>0</v>
      </c>
      <c r="D32" s="66">
        <f t="shared" si="6"/>
        <v>2.2289356297946459E-2</v>
      </c>
      <c r="E32" s="66">
        <f t="shared" si="7"/>
        <v>3.2224881804552609E-2</v>
      </c>
      <c r="F32" s="66"/>
      <c r="G32" s="66">
        <f t="shared" ref="G32:R32" si="11">G12/G$16</f>
        <v>0</v>
      </c>
      <c r="H32" s="66">
        <f t="shared" si="11"/>
        <v>3.210708949233752E-3</v>
      </c>
      <c r="I32" s="66">
        <f t="shared" si="11"/>
        <v>1.342408019136576E-2</v>
      </c>
      <c r="J32" s="66">
        <f t="shared" si="11"/>
        <v>1.5582644559378687E-2</v>
      </c>
      <c r="K32" s="66">
        <f t="shared" si="11"/>
        <v>2.2006383866463263E-2</v>
      </c>
      <c r="L32" s="66">
        <f t="shared" si="11"/>
        <v>2.5850788109542791E-2</v>
      </c>
      <c r="M32" s="66">
        <f t="shared" si="11"/>
        <v>2.712276029080091E-2</v>
      </c>
      <c r="N32" s="66">
        <f t="shared" si="11"/>
        <v>2.4677538410908362E-2</v>
      </c>
      <c r="O32" s="66">
        <f t="shared" si="11"/>
        <v>2.7241449617475485E-2</v>
      </c>
      <c r="P32" s="66">
        <f t="shared" si="11"/>
        <v>2.8342698289227565E-2</v>
      </c>
      <c r="Q32" s="66">
        <f t="shared" si="11"/>
        <v>3.1473786187778359E-2</v>
      </c>
      <c r="R32" s="66">
        <f t="shared" si="11"/>
        <v>3.1443631928475775E-2</v>
      </c>
    </row>
    <row r="33" spans="2:18">
      <c r="B33" s="56" t="str">
        <f t="shared" si="5"/>
        <v>STR Bill Pay</v>
      </c>
      <c r="C33" s="66">
        <f t="shared" si="6"/>
        <v>1.0539538075932317E-2</v>
      </c>
      <c r="D33" s="66">
        <f t="shared" si="6"/>
        <v>2.6830418257363101E-2</v>
      </c>
      <c r="E33" s="66">
        <f t="shared" si="7"/>
        <v>2.8359363906195548E-2</v>
      </c>
      <c r="F33" s="66"/>
      <c r="G33" s="66">
        <f t="shared" ref="G33:R33" si="12">G13/G$16</f>
        <v>2.4794792141225552E-2</v>
      </c>
      <c r="H33" s="66">
        <f t="shared" si="12"/>
        <v>2.3339384284814579E-2</v>
      </c>
      <c r="I33" s="66">
        <f t="shared" si="12"/>
        <v>2.1614079052283856E-2</v>
      </c>
      <c r="J33" s="66">
        <f t="shared" si="12"/>
        <v>2.4003148680935508E-2</v>
      </c>
      <c r="K33" s="66">
        <f t="shared" si="12"/>
        <v>2.7411098006947077E-2</v>
      </c>
      <c r="L33" s="66">
        <f t="shared" si="12"/>
        <v>3.0997328719093949E-2</v>
      </c>
      <c r="M33" s="66">
        <f t="shared" si="12"/>
        <v>3.0664267207752619E-2</v>
      </c>
      <c r="N33" s="66">
        <f t="shared" si="12"/>
        <v>2.9780838521804322E-2</v>
      </c>
      <c r="O33" s="66">
        <f t="shared" si="12"/>
        <v>2.6202818173429988E-2</v>
      </c>
      <c r="P33" s="66">
        <f t="shared" si="12"/>
        <v>2.5760535519379849E-2</v>
      </c>
      <c r="Q33" s="66">
        <f t="shared" si="12"/>
        <v>2.7298064261653199E-2</v>
      </c>
      <c r="R33" s="66">
        <f t="shared" si="12"/>
        <v>2.7671828427502095E-2</v>
      </c>
    </row>
    <row r="34" spans="2:18">
      <c r="B34" s="56" t="str">
        <f t="shared" si="5"/>
        <v>Controller Services</v>
      </c>
      <c r="C34" s="66">
        <f t="shared" si="6"/>
        <v>2.9819610670419057E-2</v>
      </c>
      <c r="D34" s="66">
        <f t="shared" si="6"/>
        <v>1.5856455200781421E-2</v>
      </c>
      <c r="E34" s="66">
        <f t="shared" si="7"/>
        <v>1.4271426839925867E-2</v>
      </c>
      <c r="F34" s="66"/>
      <c r="G34" s="66">
        <f t="shared" ref="G34:R34" si="13">G14/G$16</f>
        <v>1.87310209517581E-2</v>
      </c>
      <c r="H34" s="66">
        <f t="shared" si="13"/>
        <v>1.8677681868138653E-2</v>
      </c>
      <c r="I34" s="66">
        <f t="shared" si="13"/>
        <v>1.7228613737327713E-2</v>
      </c>
      <c r="J34" s="66">
        <f t="shared" si="13"/>
        <v>1.6353184436203178E-2</v>
      </c>
      <c r="K34" s="66">
        <f t="shared" si="13"/>
        <v>1.5242740644767933E-2</v>
      </c>
      <c r="L34" s="66">
        <f t="shared" si="13"/>
        <v>1.3530579996429898E-2</v>
      </c>
      <c r="M34" s="66">
        <f t="shared" si="13"/>
        <v>1.6795764511288603E-2</v>
      </c>
      <c r="N34" s="66">
        <f t="shared" si="13"/>
        <v>1.2746662402328699E-2</v>
      </c>
      <c r="O34" s="66">
        <f t="shared" si="13"/>
        <v>2.0470951697992179E-2</v>
      </c>
      <c r="P34" s="66">
        <f t="shared" si="13"/>
        <v>1.4254841789380152E-2</v>
      </c>
      <c r="Q34" s="66">
        <f t="shared" si="13"/>
        <v>1.4356607801019713E-2</v>
      </c>
      <c r="R34" s="66">
        <f t="shared" si="13"/>
        <v>1.3925434866464029E-2</v>
      </c>
    </row>
    <row r="35" spans="2:18">
      <c r="B35" s="56" t="str">
        <f t="shared" si="5"/>
        <v>Historical Cleanup</v>
      </c>
      <c r="C35" s="66">
        <f t="shared" si="6"/>
        <v>8.7037682940346445E-3</v>
      </c>
      <c r="D35" s="66">
        <f t="shared" si="6"/>
        <v>2.409857176108543E-4</v>
      </c>
      <c r="E35" s="66">
        <f t="shared" si="7"/>
        <v>0</v>
      </c>
      <c r="F35" s="66"/>
      <c r="G35" s="66">
        <f t="shared" ref="G35:R35" si="14">G15/G$16</f>
        <v>0</v>
      </c>
      <c r="H35" s="66">
        <f t="shared" si="14"/>
        <v>0</v>
      </c>
      <c r="I35" s="66">
        <f t="shared" si="14"/>
        <v>3.3887686524661119E-3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6">
        <f t="shared" si="14"/>
        <v>0</v>
      </c>
      <c r="Q35" s="66">
        <f t="shared" si="14"/>
        <v>0</v>
      </c>
      <c r="R35" s="66">
        <f t="shared" si="14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15">IFERROR(D8/C8-1,0)</f>
        <v>0.70129840207181959</v>
      </c>
      <c r="E38" s="66">
        <f t="shared" si="15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16">IFERROR(H8/G8-1,0)</f>
        <v>2.6945791317616541E-2</v>
      </c>
      <c r="I38" s="66">
        <f t="shared" si="16"/>
        <v>4.5051856232292131E-2</v>
      </c>
      <c r="J38" s="66">
        <f t="shared" si="16"/>
        <v>4.0625962509580393E-2</v>
      </c>
      <c r="K38" s="66">
        <f t="shared" si="16"/>
        <v>3.5224900752508281E-2</v>
      </c>
      <c r="L38" s="66">
        <f t="shared" si="16"/>
        <v>4.082860006682254E-2</v>
      </c>
      <c r="M38" s="66">
        <f t="shared" si="16"/>
        <v>5.3434675620357641E-2</v>
      </c>
      <c r="N38" s="66">
        <f t="shared" si="16"/>
        <v>3.2994165068761294E-2</v>
      </c>
      <c r="O38" s="66">
        <f t="shared" si="16"/>
        <v>7.8181388570497834E-2</v>
      </c>
      <c r="P38" s="66">
        <f t="shared" si="16"/>
        <v>3.877993270246427E-2</v>
      </c>
      <c r="Q38" s="66">
        <f t="shared" si="16"/>
        <v>1.8985304878176512E-2</v>
      </c>
      <c r="R38" s="66">
        <f t="shared" si="16"/>
        <v>3.308016964453353E-2</v>
      </c>
    </row>
    <row r="39" spans="2:18">
      <c r="B39" s="56" t="str">
        <f t="shared" ref="B39:B45" si="17">+B9</f>
        <v>Occupancy Taxes</v>
      </c>
      <c r="C39" s="151" t="s">
        <v>974</v>
      </c>
      <c r="D39" s="66">
        <f t="shared" si="15"/>
        <v>4.1924971095835692</v>
      </c>
      <c r="E39" s="66">
        <f t="shared" si="15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18">IFERROR(H9/G9-1,0)</f>
        <v>1.9027484143763207E-2</v>
      </c>
      <c r="I39" s="66">
        <f t="shared" si="18"/>
        <v>0.11410788381742742</v>
      </c>
      <c r="J39" s="66">
        <f t="shared" si="18"/>
        <v>0.49906890130353831</v>
      </c>
      <c r="K39" s="66">
        <f t="shared" si="18"/>
        <v>0.1037267080745341</v>
      </c>
      <c r="L39" s="66">
        <f t="shared" si="18"/>
        <v>0.22785818795723145</v>
      </c>
      <c r="M39" s="66">
        <f t="shared" si="18"/>
        <v>-5.2665011842867537E-2</v>
      </c>
      <c r="N39" s="66">
        <f t="shared" si="18"/>
        <v>8.1280352047466087E-2</v>
      </c>
      <c r="O39" s="66">
        <f t="shared" si="18"/>
        <v>6.9629530201342327E-2</v>
      </c>
      <c r="P39" s="66">
        <f t="shared" si="18"/>
        <v>0.25830934376074488</v>
      </c>
      <c r="Q39" s="66">
        <f t="shared" si="18"/>
        <v>7.4994465021930745E-2</v>
      </c>
      <c r="R39" s="66">
        <f t="shared" si="18"/>
        <v>-6.1557282350817033E-3</v>
      </c>
    </row>
    <row r="40" spans="2:18">
      <c r="B40" s="56" t="str">
        <f t="shared" si="17"/>
        <v>SMB Subscription</v>
      </c>
      <c r="C40" s="151" t="s">
        <v>974</v>
      </c>
      <c r="D40" s="66">
        <f t="shared" si="15"/>
        <v>-0.21711152987528493</v>
      </c>
      <c r="E40" s="66">
        <f t="shared" si="15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19">IFERROR(H10/G10-1,0)</f>
        <v>3.7528990090659908E-2</v>
      </c>
      <c r="I40" s="66">
        <f t="shared" si="19"/>
        <v>-4.9583418004470636E-2</v>
      </c>
      <c r="J40" s="66">
        <f t="shared" si="19"/>
        <v>2.1381227282444293E-3</v>
      </c>
      <c r="K40" s="66">
        <f t="shared" si="19"/>
        <v>2.5602730957969833E-3</v>
      </c>
      <c r="L40" s="66">
        <f t="shared" si="19"/>
        <v>-3.97531389657374E-2</v>
      </c>
      <c r="M40" s="66">
        <f t="shared" si="19"/>
        <v>-3.1026993484331356E-2</v>
      </c>
      <c r="N40" s="66">
        <f t="shared" si="19"/>
        <v>-2.7903572572160473E-2</v>
      </c>
      <c r="O40" s="66">
        <f t="shared" si="19"/>
        <v>-2.9175097642463954E-2</v>
      </c>
      <c r="P40" s="66">
        <f t="shared" si="19"/>
        <v>0</v>
      </c>
      <c r="Q40" s="66">
        <f t="shared" si="19"/>
        <v>-3.2960108574475289E-2</v>
      </c>
      <c r="R40" s="66">
        <f t="shared" si="19"/>
        <v>0</v>
      </c>
    </row>
    <row r="41" spans="2:18">
      <c r="B41" s="56" t="str">
        <f t="shared" si="17"/>
        <v>Onboarding</v>
      </c>
      <c r="C41" s="151" t="s">
        <v>974</v>
      </c>
      <c r="D41" s="66">
        <f t="shared" si="15"/>
        <v>0.58838406019562539</v>
      </c>
      <c r="E41" s="66">
        <f t="shared" si="15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0">IFERROR(H11/G11-1,0)</f>
        <v>-1.1349306431273631E-2</v>
      </c>
      <c r="I41" s="66">
        <f t="shared" si="20"/>
        <v>1.3307397959183676</v>
      </c>
      <c r="J41" s="66">
        <f t="shared" si="20"/>
        <v>-0.42497126908553606</v>
      </c>
      <c r="K41" s="66">
        <f t="shared" si="20"/>
        <v>0.90149892933618836</v>
      </c>
      <c r="L41" s="66">
        <f t="shared" si="20"/>
        <v>2.2072072072071958E-2</v>
      </c>
      <c r="M41" s="66">
        <f t="shared" si="20"/>
        <v>-0.34626120170412811</v>
      </c>
      <c r="N41" s="66">
        <f t="shared" si="20"/>
        <v>0.3631460674157303</v>
      </c>
      <c r="O41" s="66">
        <f t="shared" si="20"/>
        <v>-1.5880866029234109E-2</v>
      </c>
      <c r="P41" s="66">
        <f t="shared" si="20"/>
        <v>0.40778379585683178</v>
      </c>
      <c r="Q41" s="66">
        <f t="shared" si="20"/>
        <v>-0.57072029192448037</v>
      </c>
      <c r="R41" s="66">
        <f t="shared" si="20"/>
        <v>0.12695186177584761</v>
      </c>
    </row>
    <row r="42" spans="2:18">
      <c r="B42" s="56" t="str">
        <f t="shared" si="17"/>
        <v>Topkey Subscription</v>
      </c>
      <c r="C42" s="151" t="s">
        <v>974</v>
      </c>
      <c r="D42" s="66">
        <f t="shared" si="15"/>
        <v>0</v>
      </c>
      <c r="E42" s="66">
        <f t="shared" si="15"/>
        <v>0.72325695491795838</v>
      </c>
      <c r="F42" s="66"/>
      <c r="G42" s="66">
        <f>IFERROR(+'P&amp;L Forecast'!AI11/'P&amp;L Forecast'!AH11-1,0)</f>
        <v>0</v>
      </c>
      <c r="H42" s="66">
        <f t="shared" ref="H42:R42" si="21">IFERROR(H12/G12-1,0)</f>
        <v>0</v>
      </c>
      <c r="I42" s="66">
        <f t="shared" si="21"/>
        <v>3.532692307692308</v>
      </c>
      <c r="J42" s="66">
        <f t="shared" si="21"/>
        <v>0.19261773440814589</v>
      </c>
      <c r="K42" s="66">
        <f t="shared" si="21"/>
        <v>0.51511917467093582</v>
      </c>
      <c r="L42" s="66">
        <f t="shared" si="21"/>
        <v>0.2336229161775063</v>
      </c>
      <c r="M42" s="66">
        <f t="shared" si="21"/>
        <v>7.5751808146174548E-2</v>
      </c>
      <c r="N42" s="66">
        <f t="shared" si="21"/>
        <v>-5.8032554847841533E-2</v>
      </c>
      <c r="O42" s="66">
        <f t="shared" si="21"/>
        <v>0.18726521412471819</v>
      </c>
      <c r="P42" s="66">
        <f t="shared" si="21"/>
        <v>0.10093339661445966</v>
      </c>
      <c r="Q42" s="66">
        <f t="shared" si="21"/>
        <v>0.10260094841212819</v>
      </c>
      <c r="R42" s="66">
        <f t="shared" si="21"/>
        <v>2.9975237846995961E-2</v>
      </c>
    </row>
    <row r="43" spans="2:18">
      <c r="B43" s="56" t="str">
        <f t="shared" si="17"/>
        <v>STR Bill Pay</v>
      </c>
      <c r="C43" s="151" t="s">
        <v>974</v>
      </c>
      <c r="D43" s="66">
        <f t="shared" si="15"/>
        <v>3.2597177121178023</v>
      </c>
      <c r="E43" s="66">
        <f t="shared" si="15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22">IFERROR(H13/G13-1,0)</f>
        <v>-3.201024327784896E-2</v>
      </c>
      <c r="I43" s="66">
        <f t="shared" si="22"/>
        <v>3.9682539682539542E-3</v>
      </c>
      <c r="J43" s="66">
        <f t="shared" si="22"/>
        <v>0.14097496706192358</v>
      </c>
      <c r="K43" s="66">
        <f t="shared" si="22"/>
        <v>0.22517321016166281</v>
      </c>
      <c r="L43" s="66">
        <f t="shared" si="22"/>
        <v>0.1875589066918002</v>
      </c>
      <c r="M43" s="66">
        <f t="shared" si="22"/>
        <v>1.4285714285714235E-2</v>
      </c>
      <c r="N43" s="66">
        <f t="shared" si="22"/>
        <v>5.4773082942096707E-3</v>
      </c>
      <c r="O43" s="66">
        <f t="shared" si="22"/>
        <v>-5.3696498054474628E-2</v>
      </c>
      <c r="P43" s="66">
        <f t="shared" si="22"/>
        <v>4.0296052631578982E-2</v>
      </c>
      <c r="Q43" s="66">
        <f t="shared" si="22"/>
        <v>5.2173913043478182E-2</v>
      </c>
      <c r="R43" s="66">
        <f t="shared" si="22"/>
        <v>4.5078888054094657E-2</v>
      </c>
    </row>
    <row r="44" spans="2:18">
      <c r="B44" s="56" t="str">
        <f t="shared" si="17"/>
        <v>Controller Services</v>
      </c>
      <c r="C44" s="151" t="s">
        <v>974</v>
      </c>
      <c r="D44" s="66">
        <f t="shared" si="15"/>
        <v>-0.11022727272727273</v>
      </c>
      <c r="E44" s="66">
        <f t="shared" si="15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23">IFERROR(H14/G14-1,0)</f>
        <v>2.5423728813559254E-2</v>
      </c>
      <c r="I44" s="66">
        <f t="shared" si="23"/>
        <v>0</v>
      </c>
      <c r="J44" s="66">
        <f t="shared" si="23"/>
        <v>-2.4793388429751984E-2</v>
      </c>
      <c r="K44" s="66">
        <f t="shared" si="23"/>
        <v>0</v>
      </c>
      <c r="L44" s="66">
        <f t="shared" si="23"/>
        <v>-6.7796610169491567E-2</v>
      </c>
      <c r="M44" s="66">
        <f t="shared" si="23"/>
        <v>0.27272727272727271</v>
      </c>
      <c r="N44" s="66">
        <f t="shared" si="23"/>
        <v>-0.2142857142857143</v>
      </c>
      <c r="O44" s="66">
        <f t="shared" si="23"/>
        <v>0.72727272727272729</v>
      </c>
      <c r="P44" s="66">
        <f t="shared" si="23"/>
        <v>-0.26315789473684215</v>
      </c>
      <c r="Q44" s="66">
        <f t="shared" si="23"/>
        <v>0</v>
      </c>
      <c r="R44" s="66">
        <f t="shared" si="23"/>
        <v>0</v>
      </c>
    </row>
    <row r="45" spans="2:18">
      <c r="B45" s="56" t="str">
        <f t="shared" si="17"/>
        <v>Historical Cleanup</v>
      </c>
      <c r="C45" s="151" t="s">
        <v>974</v>
      </c>
      <c r="D45" s="66">
        <f t="shared" si="15"/>
        <v>-0.9536703587627261</v>
      </c>
      <c r="E45" s="66">
        <f t="shared" si="15"/>
        <v>-1</v>
      </c>
      <c r="F45" s="66"/>
      <c r="G45" s="66">
        <f>IFERROR(+'P&amp;L Forecast'!AI14/'P&amp;L Forecast'!AH14-1,0)</f>
        <v>0</v>
      </c>
      <c r="H45" s="66">
        <f t="shared" ref="H45:R45" si="24">IFERROR(H15/G15-1,0)</f>
        <v>0</v>
      </c>
      <c r="I45" s="66">
        <f t="shared" si="24"/>
        <v>0</v>
      </c>
      <c r="J45" s="66">
        <f t="shared" si="24"/>
        <v>-1</v>
      </c>
      <c r="K45" s="66">
        <f t="shared" si="24"/>
        <v>0</v>
      </c>
      <c r="L45" s="66">
        <f t="shared" si="24"/>
        <v>0</v>
      </c>
      <c r="M45" s="66">
        <f t="shared" si="24"/>
        <v>0</v>
      </c>
      <c r="N45" s="66">
        <f t="shared" si="24"/>
        <v>0</v>
      </c>
      <c r="O45" s="66">
        <f t="shared" si="24"/>
        <v>0</v>
      </c>
      <c r="P45" s="66">
        <f t="shared" si="24"/>
        <v>0</v>
      </c>
      <c r="Q45" s="66">
        <f t="shared" si="24"/>
        <v>0</v>
      </c>
      <c r="R45" s="66">
        <f t="shared" si="24"/>
        <v>0</v>
      </c>
    </row>
    <row r="46" spans="2:18">
      <c r="B46" s="60" t="s">
        <v>275</v>
      </c>
      <c r="C46" s="67">
        <f>SUM(C38:C45)</f>
        <v>0</v>
      </c>
      <c r="D46" s="67">
        <f t="shared" si="15"/>
        <v>0.67330440356695398</v>
      </c>
      <c r="E46" s="68">
        <f t="shared" si="15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25">IFERROR(H16/G16-1,0)</f>
        <v>2.8352098747402854E-2</v>
      </c>
      <c r="I46" s="67">
        <f t="shared" si="25"/>
        <v>8.4108225589350383E-2</v>
      </c>
      <c r="J46" s="67">
        <f t="shared" si="25"/>
        <v>2.7412005923225902E-2</v>
      </c>
      <c r="K46" s="67">
        <f t="shared" si="25"/>
        <v>7.2850664937109233E-2</v>
      </c>
      <c r="L46" s="67">
        <f t="shared" si="25"/>
        <v>5.016447950561842E-2</v>
      </c>
      <c r="M46" s="67">
        <f t="shared" si="25"/>
        <v>2.5302430603869386E-2</v>
      </c>
      <c r="N46" s="67">
        <f t="shared" si="25"/>
        <v>3.5304121147945455E-2</v>
      </c>
      <c r="O46" s="67">
        <f t="shared" si="25"/>
        <v>7.5522167025311449E-2</v>
      </c>
      <c r="P46" s="67">
        <f t="shared" si="25"/>
        <v>5.8156896355485266E-2</v>
      </c>
      <c r="Q46" s="67">
        <f t="shared" si="25"/>
        <v>-7.0884440844258823E-3</v>
      </c>
      <c r="R46" s="68">
        <f t="shared" si="25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 t="shared" ref="D47:AG47" si="0">EOMONTH(C47,0)+1</f>
        <v>45323</v>
      </c>
      <c r="E47" s="44">
        <f t="shared" si="0"/>
        <v>45352</v>
      </c>
      <c r="F47" s="44">
        <f t="shared" si="0"/>
        <v>45383</v>
      </c>
      <c r="G47" s="44">
        <f t="shared" si="0"/>
        <v>45413</v>
      </c>
      <c r="H47" s="44">
        <f t="shared" si="0"/>
        <v>45444</v>
      </c>
      <c r="I47" s="44">
        <f t="shared" si="0"/>
        <v>45474</v>
      </c>
      <c r="J47" s="44">
        <f t="shared" si="0"/>
        <v>45505</v>
      </c>
      <c r="K47" s="44">
        <f t="shared" si="0"/>
        <v>45536</v>
      </c>
      <c r="L47" s="44">
        <f t="shared" si="0"/>
        <v>45566</v>
      </c>
      <c r="M47" s="44">
        <f t="shared" si="0"/>
        <v>45597</v>
      </c>
      <c r="N47" s="44">
        <f t="shared" si="0"/>
        <v>45627</v>
      </c>
      <c r="O47" s="44">
        <f t="shared" si="0"/>
        <v>45658</v>
      </c>
      <c r="P47" s="44">
        <f t="shared" si="0"/>
        <v>45689</v>
      </c>
      <c r="Q47" s="44">
        <f t="shared" si="0"/>
        <v>45717</v>
      </c>
      <c r="R47" s="44">
        <f t="shared" si="0"/>
        <v>45748</v>
      </c>
      <c r="S47" s="44">
        <f t="shared" si="0"/>
        <v>45778</v>
      </c>
      <c r="T47" s="44">
        <f t="shared" si="0"/>
        <v>45809</v>
      </c>
      <c r="U47" s="44">
        <f t="shared" si="0"/>
        <v>45839</v>
      </c>
      <c r="V47" s="44">
        <f t="shared" si="0"/>
        <v>45870</v>
      </c>
      <c r="W47" s="44">
        <f t="shared" si="0"/>
        <v>45901</v>
      </c>
      <c r="X47" s="44">
        <f t="shared" si="0"/>
        <v>45931</v>
      </c>
      <c r="Y47" s="44">
        <f t="shared" si="0"/>
        <v>45962</v>
      </c>
      <c r="Z47" s="44">
        <f t="shared" si="0"/>
        <v>45992</v>
      </c>
      <c r="AA47" s="44">
        <f t="shared" si="0"/>
        <v>46023</v>
      </c>
      <c r="AB47" s="44">
        <f t="shared" si="0"/>
        <v>46054</v>
      </c>
      <c r="AC47" s="44">
        <f t="shared" si="0"/>
        <v>46082</v>
      </c>
      <c r="AD47" s="44">
        <f t="shared" si="0"/>
        <v>46113</v>
      </c>
      <c r="AE47" s="44">
        <f t="shared" si="0"/>
        <v>46143</v>
      </c>
      <c r="AF47" s="44">
        <f t="shared" si="0"/>
        <v>46174</v>
      </c>
      <c r="AG47" s="44">
        <f t="shared" si="0"/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 t="shared" ref="D50:AG50" si="1">EOMONTH(C50,0)+1</f>
        <v>45323</v>
      </c>
      <c r="E50" s="44">
        <f t="shared" si="1"/>
        <v>45352</v>
      </c>
      <c r="F50" s="44">
        <f t="shared" si="1"/>
        <v>45383</v>
      </c>
      <c r="G50" s="44">
        <f t="shared" si="1"/>
        <v>45413</v>
      </c>
      <c r="H50" s="44">
        <f t="shared" si="1"/>
        <v>45444</v>
      </c>
      <c r="I50" s="44">
        <f t="shared" si="1"/>
        <v>45474</v>
      </c>
      <c r="J50" s="44">
        <f t="shared" si="1"/>
        <v>45505</v>
      </c>
      <c r="K50" s="44">
        <f t="shared" si="1"/>
        <v>45536</v>
      </c>
      <c r="L50" s="44">
        <f t="shared" si="1"/>
        <v>45566</v>
      </c>
      <c r="M50" s="44">
        <f t="shared" si="1"/>
        <v>45597</v>
      </c>
      <c r="N50" s="44">
        <f t="shared" si="1"/>
        <v>45627</v>
      </c>
      <c r="O50" s="44">
        <f t="shared" si="1"/>
        <v>45658</v>
      </c>
      <c r="P50" s="44">
        <f t="shared" si="1"/>
        <v>45689</v>
      </c>
      <c r="Q50" s="44">
        <f t="shared" si="1"/>
        <v>45717</v>
      </c>
      <c r="R50" s="44">
        <f t="shared" si="1"/>
        <v>45748</v>
      </c>
      <c r="S50" s="44">
        <f t="shared" si="1"/>
        <v>45778</v>
      </c>
      <c r="T50" s="44">
        <f t="shared" si="1"/>
        <v>45809</v>
      </c>
      <c r="U50" s="44">
        <f t="shared" si="1"/>
        <v>45839</v>
      </c>
      <c r="V50" s="44">
        <f t="shared" si="1"/>
        <v>45870</v>
      </c>
      <c r="W50" s="44">
        <f t="shared" si="1"/>
        <v>45901</v>
      </c>
      <c r="X50" s="44">
        <f t="shared" si="1"/>
        <v>45931</v>
      </c>
      <c r="Y50" s="44">
        <f t="shared" si="1"/>
        <v>45962</v>
      </c>
      <c r="Z50" s="44">
        <f t="shared" si="1"/>
        <v>45992</v>
      </c>
      <c r="AA50" s="44">
        <f t="shared" si="1"/>
        <v>46023</v>
      </c>
      <c r="AB50" s="44">
        <f t="shared" si="1"/>
        <v>46054</v>
      </c>
      <c r="AC50" s="44">
        <f t="shared" si="1"/>
        <v>46082</v>
      </c>
      <c r="AD50" s="44">
        <f t="shared" si="1"/>
        <v>46113</v>
      </c>
      <c r="AE50" s="44">
        <f t="shared" si="1"/>
        <v>46143</v>
      </c>
      <c r="AF50" s="44">
        <f t="shared" si="1"/>
        <v>46174</v>
      </c>
      <c r="AG50" s="44">
        <f t="shared" si="1"/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2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2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2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2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2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2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>SUM(D8:D16)</f>
        <v>1751.4015400000001</v>
      </c>
      <c r="E17" s="62">
        <f>SUM(E8:E16)</f>
        <v>2094.12662</v>
      </c>
      <c r="F17" s="71"/>
      <c r="G17" s="71">
        <f t="shared" ref="G17:S17" si="1">SUM(G8:G16)</f>
        <v>108.35927</v>
      </c>
      <c r="H17" s="63">
        <f t="shared" si="1"/>
        <v>103.32645000000001</v>
      </c>
      <c r="I17" s="61">
        <f t="shared" si="1"/>
        <v>120.57245999999999</v>
      </c>
      <c r="J17" s="61">
        <f t="shared" si="1"/>
        <v>138.08331000000001</v>
      </c>
      <c r="K17" s="61">
        <f t="shared" si="1"/>
        <v>122.83484</v>
      </c>
      <c r="L17" s="61">
        <f t="shared" si="1"/>
        <v>145.69238999999999</v>
      </c>
      <c r="M17" s="61">
        <f t="shared" si="1"/>
        <v>135.50082</v>
      </c>
      <c r="N17" s="61">
        <f t="shared" si="1"/>
        <v>117.71538000000001</v>
      </c>
      <c r="O17" s="61">
        <f t="shared" si="1"/>
        <v>169.54907000000003</v>
      </c>
      <c r="P17" s="61">
        <f t="shared" si="1"/>
        <v>171.55422000000002</v>
      </c>
      <c r="Q17" s="61">
        <f t="shared" si="1"/>
        <v>168.43431999999996</v>
      </c>
      <c r="R17" s="61">
        <f t="shared" si="1"/>
        <v>177.74943999999994</v>
      </c>
      <c r="S17" s="62">
        <f t="shared" si="1"/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2">+B8</f>
        <v>Indirect Labor</v>
      </c>
      <c r="C20" s="66">
        <f t="shared" ref="C20:E28" si="3">C8/C$86</f>
        <v>0.13278310539223798</v>
      </c>
      <c r="D20" s="66">
        <f t="shared" si="3"/>
        <v>0.19675323619840684</v>
      </c>
      <c r="E20" s="66">
        <f t="shared" si="3"/>
        <v>0.227210498524379</v>
      </c>
      <c r="F20" s="66"/>
      <c r="G20" s="66">
        <f t="shared" ref="G20:S20" si="4">G8/G$86</f>
        <v>0.14546612521831853</v>
      </c>
      <c r="H20" s="66">
        <f t="shared" si="4"/>
        <v>0.12485685541527505</v>
      </c>
      <c r="I20" s="66">
        <f t="shared" si="4"/>
        <v>0.16832782304256222</v>
      </c>
      <c r="J20" s="66">
        <f t="shared" si="4"/>
        <v>0.19072239085618595</v>
      </c>
      <c r="K20" s="66">
        <f t="shared" si="4"/>
        <v>0.16363847812032961</v>
      </c>
      <c r="L20" s="66">
        <f t="shared" si="4"/>
        <v>0.17010286794262286</v>
      </c>
      <c r="M20" s="66">
        <f t="shared" si="4"/>
        <v>0.17085764376537568</v>
      </c>
      <c r="N20" s="66">
        <f t="shared" si="4"/>
        <v>0.13893349706184113</v>
      </c>
      <c r="O20" s="66">
        <f t="shared" si="4"/>
        <v>0.24708591338875704</v>
      </c>
      <c r="P20" s="66">
        <f t="shared" si="4"/>
        <v>0.24236883511768731</v>
      </c>
      <c r="Q20" s="66">
        <f t="shared" si="4"/>
        <v>0.21961609487615402</v>
      </c>
      <c r="R20" s="66">
        <f t="shared" si="4"/>
        <v>0.24244032205343607</v>
      </c>
      <c r="S20" s="66">
        <f t="shared" si="4"/>
        <v>0.23026820830077729</v>
      </c>
    </row>
    <row r="21" spans="2:19">
      <c r="B21" s="56" t="str">
        <f t="shared" si="2"/>
        <v>Bookkeeper Wages</v>
      </c>
      <c r="C21" s="66">
        <f t="shared" si="3"/>
        <v>0.15755661376414548</v>
      </c>
      <c r="D21" s="66">
        <f t="shared" si="3"/>
        <v>0.17107484714300633</v>
      </c>
      <c r="E21" s="66">
        <f t="shared" si="3"/>
        <v>0.16427989369310012</v>
      </c>
      <c r="F21" s="66"/>
      <c r="G21" s="66">
        <f t="shared" ref="G21:S21" si="5">G9/G$86</f>
        <v>0.17961623052735351</v>
      </c>
      <c r="H21" s="66">
        <f t="shared" si="5"/>
        <v>0.18481507733748198</v>
      </c>
      <c r="I21" s="66">
        <f t="shared" si="5"/>
        <v>0.20394775072392113</v>
      </c>
      <c r="J21" s="66">
        <f t="shared" si="5"/>
        <v>0.21085374905213131</v>
      </c>
      <c r="K21" s="66">
        <f t="shared" si="5"/>
        <v>0.18747983522315792</v>
      </c>
      <c r="L21" s="66">
        <f t="shared" si="5"/>
        <v>0.17317801668996072</v>
      </c>
      <c r="M21" s="66">
        <f t="shared" si="5"/>
        <v>0.18087376169964089</v>
      </c>
      <c r="N21" s="66">
        <f t="shared" si="5"/>
        <v>0.12278612850675981</v>
      </c>
      <c r="O21" s="66">
        <f t="shared" si="5"/>
        <v>0.16165551489479163</v>
      </c>
      <c r="P21" s="66">
        <f t="shared" si="5"/>
        <v>0.16133649096346628</v>
      </c>
      <c r="Q21" s="66">
        <f t="shared" si="5"/>
        <v>0.15554406529518722</v>
      </c>
      <c r="R21" s="66">
        <f t="shared" si="5"/>
        <v>0.16444422267052874</v>
      </c>
      <c r="S21" s="66">
        <f t="shared" si="5"/>
        <v>0.1769412333695998</v>
      </c>
    </row>
    <row r="22" spans="2:19">
      <c r="B22" s="56" t="str">
        <f t="shared" si="2"/>
        <v>Client Lead Wages</v>
      </c>
      <c r="C22" s="66">
        <f t="shared" si="3"/>
        <v>0.23164914913183005</v>
      </c>
      <c r="D22" s="66">
        <f t="shared" si="3"/>
        <v>0.13858075303548786</v>
      </c>
      <c r="E22" s="66">
        <f t="shared" si="3"/>
        <v>0.13103856754976126</v>
      </c>
      <c r="F22" s="66"/>
      <c r="G22" s="66">
        <f t="shared" ref="G22:S22" si="6">G10/G$86</f>
        <v>0.18972507410504699</v>
      </c>
      <c r="H22" s="66">
        <f t="shared" si="6"/>
        <v>0.16782437494886579</v>
      </c>
      <c r="I22" s="66">
        <f t="shared" si="6"/>
        <v>0.18162008219429837</v>
      </c>
      <c r="J22" s="66">
        <f t="shared" si="6"/>
        <v>0.18354492172244977</v>
      </c>
      <c r="K22" s="66">
        <f t="shared" si="6"/>
        <v>0.16232729291744236</v>
      </c>
      <c r="L22" s="66">
        <f t="shared" si="6"/>
        <v>0.16608675590998559</v>
      </c>
      <c r="M22" s="66">
        <f t="shared" si="6"/>
        <v>0.1230755092230402</v>
      </c>
      <c r="N22" s="66">
        <f t="shared" si="6"/>
        <v>9.0557370060684664E-2</v>
      </c>
      <c r="O22" s="66">
        <f t="shared" si="6"/>
        <v>0.13286850038240508</v>
      </c>
      <c r="P22" s="66">
        <f t="shared" si="6"/>
        <v>0.13145160481587281</v>
      </c>
      <c r="Q22" s="66">
        <f t="shared" si="6"/>
        <v>0.11251035494276274</v>
      </c>
      <c r="R22" s="66">
        <f t="shared" si="6"/>
        <v>0.12622354891508783</v>
      </c>
      <c r="S22" s="66">
        <f t="shared" si="6"/>
        <v>0.13023207438694151</v>
      </c>
    </row>
    <row r="23" spans="2:19">
      <c r="B23" s="56" t="str">
        <f t="shared" si="2"/>
        <v>Onboarding Team Wages</v>
      </c>
      <c r="C23" s="66">
        <f t="shared" si="3"/>
        <v>7.9576556356385983E-2</v>
      </c>
      <c r="D23" s="66">
        <f t="shared" si="3"/>
        <v>7.4240067182253441E-2</v>
      </c>
      <c r="E23" s="66">
        <f t="shared" si="3"/>
        <v>6.5748455227069055E-2</v>
      </c>
      <c r="F23" s="66"/>
      <c r="G23" s="66">
        <f t="shared" ref="G23:S23" si="7">G11/G$86</f>
        <v>8.6706798614345992E-2</v>
      </c>
      <c r="H23" s="66">
        <f t="shared" si="7"/>
        <v>7.9463352609428523E-2</v>
      </c>
      <c r="I23" s="66">
        <f t="shared" si="7"/>
        <v>8.9627504912980979E-2</v>
      </c>
      <c r="J23" s="66">
        <f t="shared" si="7"/>
        <v>8.6714418270846513E-2</v>
      </c>
      <c r="K23" s="66">
        <f t="shared" si="7"/>
        <v>7.8945259572620649E-2</v>
      </c>
      <c r="L23" s="66">
        <f t="shared" si="7"/>
        <v>0.10640688779634321</v>
      </c>
      <c r="M23" s="66">
        <f t="shared" si="7"/>
        <v>7.8016174488420548E-2</v>
      </c>
      <c r="N23" s="66">
        <f t="shared" si="7"/>
        <v>4.765102313643553E-2</v>
      </c>
      <c r="O23" s="66">
        <f t="shared" si="7"/>
        <v>6.4531879366043418E-2</v>
      </c>
      <c r="P23" s="66">
        <f t="shared" si="7"/>
        <v>6.4845016510730491E-2</v>
      </c>
      <c r="Q23" s="66">
        <f t="shared" si="7"/>
        <v>7.9624254946763576E-2</v>
      </c>
      <c r="R23" s="66">
        <f t="shared" si="7"/>
        <v>6.7250978083574373E-2</v>
      </c>
      <c r="S23" s="66">
        <f t="shared" si="7"/>
        <v>6.534379818145189E-2</v>
      </c>
    </row>
    <row r="24" spans="2:19">
      <c r="B24" s="56" t="str">
        <f t="shared" si="2"/>
        <v>Owner Wages</v>
      </c>
      <c r="C24" s="66">
        <f t="shared" si="3"/>
        <v>2.982537546559387E-2</v>
      </c>
      <c r="D24" s="66">
        <f t="shared" si="3"/>
        <v>4.2445686355030418E-2</v>
      </c>
      <c r="E24" s="66">
        <f t="shared" si="3"/>
        <v>3.6132218728160005E-2</v>
      </c>
      <c r="F24" s="66"/>
      <c r="G24" s="66">
        <f t="shared" ref="G24:S24" si="8">G12/G$86</f>
        <v>6.1287309794686329E-2</v>
      </c>
      <c r="H24" s="66">
        <f t="shared" si="8"/>
        <v>5.4385622316469075E-2</v>
      </c>
      <c r="I24" s="66">
        <f t="shared" si="8"/>
        <v>5.5541974866830157E-2</v>
      </c>
      <c r="J24" s="66">
        <f t="shared" si="8"/>
        <v>5.312789967476779E-2</v>
      </c>
      <c r="K24" s="66">
        <f t="shared" si="8"/>
        <v>4.5576165808926358E-2</v>
      </c>
      <c r="L24" s="66">
        <f t="shared" si="8"/>
        <v>4.8772289223512358E-2</v>
      </c>
      <c r="M24" s="66">
        <f t="shared" si="8"/>
        <v>4.3717351757420385E-2</v>
      </c>
      <c r="N24" s="66">
        <f t="shared" si="8"/>
        <v>3.4405764980856672E-2</v>
      </c>
      <c r="O24" s="66">
        <f t="shared" si="8"/>
        <v>3.9347788195313642E-2</v>
      </c>
      <c r="P24" s="66">
        <f t="shared" si="8"/>
        <v>3.7903004696207096E-2</v>
      </c>
      <c r="Q24" s="66">
        <f t="shared" si="8"/>
        <v>3.5316208828757738E-2</v>
      </c>
      <c r="R24" s="66">
        <f t="shared" si="8"/>
        <v>3.6803498030095444E-2</v>
      </c>
      <c r="S24" s="66">
        <f t="shared" si="8"/>
        <v>3.7875461095189696E-2</v>
      </c>
    </row>
    <row r="25" spans="2:19">
      <c r="B25" s="56" t="str">
        <f t="shared" si="2"/>
        <v>S&amp;M Wages</v>
      </c>
      <c r="C25" s="66">
        <f t="shared" si="3"/>
        <v>2.0332119826111158E-3</v>
      </c>
      <c r="D25" s="66">
        <f t="shared" si="3"/>
        <v>2.663688859156485E-2</v>
      </c>
      <c r="E25" s="66">
        <f t="shared" si="3"/>
        <v>3.2798991023974718E-2</v>
      </c>
      <c r="F25" s="66"/>
      <c r="G25" s="66">
        <f t="shared" ref="G25:S25" si="9">G13/G$86</f>
        <v>1.0507412821585786E-2</v>
      </c>
      <c r="H25" s="66">
        <f t="shared" si="9"/>
        <v>1.0746320899572236E-2</v>
      </c>
      <c r="I25" s="66">
        <f t="shared" si="9"/>
        <v>1.1674446480565363E-2</v>
      </c>
      <c r="J25" s="66">
        <f t="shared" si="9"/>
        <v>1.3126781647209415E-2</v>
      </c>
      <c r="K25" s="66">
        <f t="shared" si="9"/>
        <v>1.2357492611889948E-2</v>
      </c>
      <c r="L25" s="66">
        <f t="shared" si="9"/>
        <v>3.9752330776581191E-2</v>
      </c>
      <c r="M25" s="66">
        <f t="shared" si="9"/>
        <v>2.6643605138887583E-2</v>
      </c>
      <c r="N25" s="66">
        <f t="shared" si="9"/>
        <v>2.4625792250384238E-2</v>
      </c>
      <c r="O25" s="66">
        <f t="shared" si="9"/>
        <v>3.3619681777625338E-2</v>
      </c>
      <c r="P25" s="66">
        <f t="shared" si="9"/>
        <v>3.3859137588810428E-2</v>
      </c>
      <c r="Q25" s="66">
        <f t="shared" si="9"/>
        <v>3.1715217191306953E-2</v>
      </c>
      <c r="R25" s="66">
        <f t="shared" si="9"/>
        <v>3.3968580921238972E-2</v>
      </c>
      <c r="S25" s="66">
        <f t="shared" si="9"/>
        <v>3.2597125554114662E-2</v>
      </c>
    </row>
    <row r="26" spans="2:19">
      <c r="B26" s="56" t="str">
        <f t="shared" si="2"/>
        <v>Occupancy Tax Specialist</v>
      </c>
      <c r="C26" s="66">
        <f t="shared" si="3"/>
        <v>1.0095180061881618E-2</v>
      </c>
      <c r="D26" s="66">
        <f t="shared" si="3"/>
        <v>2.2477041348481365E-2</v>
      </c>
      <c r="E26" s="66">
        <f t="shared" si="3"/>
        <v>1.9409439327930222E-2</v>
      </c>
      <c r="F26" s="66"/>
      <c r="G26" s="66">
        <f t="shared" ref="G26:S26" si="10">G14/G$86</f>
        <v>1.4024707560355922E-2</v>
      </c>
      <c r="H26" s="66">
        <f t="shared" si="10"/>
        <v>1.3278826010493809E-2</v>
      </c>
      <c r="I26" s="66">
        <f t="shared" si="10"/>
        <v>1.8928139958722969E-2</v>
      </c>
      <c r="J26" s="66">
        <f t="shared" si="10"/>
        <v>1.8250907253700314E-2</v>
      </c>
      <c r="K26" s="66">
        <f t="shared" si="10"/>
        <v>2.0031143056508483E-2</v>
      </c>
      <c r="L26" s="66">
        <f t="shared" si="10"/>
        <v>1.6015694346411549E-2</v>
      </c>
      <c r="M26" s="66">
        <f t="shared" si="10"/>
        <v>7.9701771087630682E-3</v>
      </c>
      <c r="N26" s="66">
        <f t="shared" si="10"/>
        <v>2.2940359835066568E-2</v>
      </c>
      <c r="O26" s="66">
        <f t="shared" si="10"/>
        <v>3.1101704634671924E-2</v>
      </c>
      <c r="P26" s="66">
        <f t="shared" si="10"/>
        <v>3.409087078962017E-2</v>
      </c>
      <c r="Q26" s="66">
        <f t="shared" si="10"/>
        <v>3.3644958130389327E-2</v>
      </c>
      <c r="R26" s="66">
        <f t="shared" si="10"/>
        <v>2.2192588019440861E-2</v>
      </c>
      <c r="S26" s="66">
        <f t="shared" si="10"/>
        <v>2.2575642082944134E-2</v>
      </c>
    </row>
    <row r="27" spans="2:19">
      <c r="B27" s="56" t="str">
        <f t="shared" si="2"/>
        <v>Sr. Client Lead Wages</v>
      </c>
      <c r="C27" s="66">
        <f t="shared" si="3"/>
        <v>0</v>
      </c>
      <c r="D27" s="66">
        <f t="shared" si="3"/>
        <v>3.1321849879971885E-3</v>
      </c>
      <c r="E27" s="66">
        <f t="shared" si="3"/>
        <v>1.1032445372383133E-2</v>
      </c>
      <c r="F27" s="66"/>
      <c r="G27" s="66">
        <f t="shared" ref="G27:S27" si="11">G15/G$86</f>
        <v>0</v>
      </c>
      <c r="H27" s="66">
        <f t="shared" si="11"/>
        <v>0</v>
      </c>
      <c r="I27" s="66">
        <f t="shared" si="11"/>
        <v>0</v>
      </c>
      <c r="J27" s="66">
        <f t="shared" si="11"/>
        <v>0</v>
      </c>
      <c r="K27" s="66">
        <f t="shared" si="11"/>
        <v>0</v>
      </c>
      <c r="L27" s="66">
        <f t="shared" si="11"/>
        <v>0</v>
      </c>
      <c r="M27" s="66">
        <f t="shared" si="11"/>
        <v>0</v>
      </c>
      <c r="N27" s="66">
        <f t="shared" si="11"/>
        <v>0</v>
      </c>
      <c r="O27" s="66">
        <f t="shared" si="11"/>
        <v>0</v>
      </c>
      <c r="P27" s="66">
        <f t="shared" si="11"/>
        <v>0</v>
      </c>
      <c r="Q27" s="66">
        <f t="shared" si="11"/>
        <v>1.0223687072461955E-2</v>
      </c>
      <c r="R27" s="66">
        <f t="shared" si="11"/>
        <v>1.0994657358626873E-2</v>
      </c>
      <c r="S27" s="66">
        <f t="shared" si="11"/>
        <v>1.0964544815101548E-2</v>
      </c>
    </row>
    <row r="28" spans="2:19">
      <c r="B28" s="56" t="str">
        <f t="shared" si="2"/>
        <v>Employee Benefits</v>
      </c>
      <c r="C28" s="66">
        <f t="shared" si="3"/>
        <v>7.9813533184119375E-3</v>
      </c>
      <c r="D28" s="66">
        <f t="shared" si="3"/>
        <v>1.0802336001193605E-2</v>
      </c>
      <c r="E28" s="66">
        <f t="shared" si="3"/>
        <v>1.0731338936293756E-2</v>
      </c>
      <c r="F28" s="66"/>
      <c r="G28" s="66">
        <f t="shared" ref="G28:S28" si="12">G16/G$86</f>
        <v>1.0045193491756189E-2</v>
      </c>
      <c r="H28" s="66">
        <f t="shared" si="12"/>
        <v>1.0931592588431894E-2</v>
      </c>
      <c r="I28" s="66">
        <f t="shared" si="12"/>
        <v>5.5337461686553241E-3</v>
      </c>
      <c r="J28" s="66">
        <f t="shared" si="12"/>
        <v>1.402293317765748E-2</v>
      </c>
      <c r="K28" s="66">
        <f t="shared" si="12"/>
        <v>5.7104226317071577E-3</v>
      </c>
      <c r="L28" s="66">
        <f t="shared" si="12"/>
        <v>2.0358288966881386E-2</v>
      </c>
      <c r="M28" s="66">
        <f t="shared" si="12"/>
        <v>7.4403118019096479E-3</v>
      </c>
      <c r="N28" s="66">
        <f t="shared" si="12"/>
        <v>4.7356227488811542E-3</v>
      </c>
      <c r="O28" s="66">
        <f t="shared" si="12"/>
        <v>2.2197119726162968E-2</v>
      </c>
      <c r="P28" s="66">
        <f t="shared" si="12"/>
        <v>8.0040539370363952E-3</v>
      </c>
      <c r="Q28" s="66">
        <f t="shared" si="12"/>
        <v>5.9445038025157312E-3</v>
      </c>
      <c r="R28" s="66">
        <f t="shared" si="12"/>
        <v>1.3863190724175783E-2</v>
      </c>
      <c r="S28" s="66">
        <f t="shared" si="12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13">+B8</f>
        <v>Indirect Labor</v>
      </c>
      <c r="C31" s="151" t="s">
        <v>974</v>
      </c>
      <c r="D31" s="66">
        <f t="shared" ref="D31:E40" si="14">IFERROR(D8/C8-1,0)</f>
        <v>1.4811221920324669</v>
      </c>
      <c r="E31" s="66">
        <f t="shared" si="14"/>
        <v>0.35658009443613392</v>
      </c>
      <c r="F31" s="66"/>
      <c r="G31" s="66"/>
      <c r="H31" s="66">
        <f t="shared" ref="H31:S31" si="15">IFERROR(H8/G8-1,0)</f>
        <v>-0.11686068530047833</v>
      </c>
      <c r="I31" s="66">
        <f t="shared" si="15"/>
        <v>0.38295890844675307</v>
      </c>
      <c r="J31" s="66">
        <f t="shared" si="15"/>
        <v>0.23836659406070426</v>
      </c>
      <c r="K31" s="66">
        <f t="shared" si="15"/>
        <v>-0.13029703190409847</v>
      </c>
      <c r="L31" s="66">
        <f t="shared" si="15"/>
        <v>0.12539263819569579</v>
      </c>
      <c r="M31" s="66">
        <f t="shared" si="15"/>
        <v>8.3500773617448232E-2</v>
      </c>
      <c r="N31" s="66">
        <f t="shared" si="15"/>
        <v>-7.2988337709909978E-2</v>
      </c>
      <c r="O31" s="66">
        <f t="shared" si="15"/>
        <v>0.70197792100634615</v>
      </c>
      <c r="P31" s="66">
        <f t="shared" si="15"/>
        <v>1.8299369012595434E-2</v>
      </c>
      <c r="Q31" s="66">
        <f t="shared" si="15"/>
        <v>-7.1708333369101096E-2</v>
      </c>
      <c r="R31" s="66">
        <f t="shared" si="15"/>
        <v>0.10975891463592125</v>
      </c>
      <c r="S31" s="66">
        <f t="shared" si="15"/>
        <v>-3.5138268719936305E-2</v>
      </c>
    </row>
    <row r="32" spans="2:19">
      <c r="B32" s="56" t="str">
        <f t="shared" si="13"/>
        <v>Bookkeeper Wages</v>
      </c>
      <c r="C32" s="151" t="s">
        <v>974</v>
      </c>
      <c r="D32" s="66">
        <f t="shared" si="14"/>
        <v>0.81810354008881148</v>
      </c>
      <c r="E32" s="66">
        <f t="shared" si="14"/>
        <v>0.12807294248804313</v>
      </c>
      <c r="F32" s="66"/>
      <c r="G32" s="66"/>
      <c r="H32" s="66">
        <f t="shared" ref="H32:S32" si="16">IFERROR(H9/G9-1,0)</f>
        <v>5.8694158962137921E-2</v>
      </c>
      <c r="I32" s="66">
        <f t="shared" si="16"/>
        <v>0.13200223372931252</v>
      </c>
      <c r="J32" s="66">
        <f t="shared" si="16"/>
        <v>0.12996725891231198</v>
      </c>
      <c r="K32" s="66">
        <f t="shared" si="16"/>
        <v>-9.8718537600359091E-2</v>
      </c>
      <c r="L32" s="66">
        <f t="shared" si="16"/>
        <v>3.6989935214837288E-5</v>
      </c>
      <c r="M32" s="66">
        <f t="shared" si="16"/>
        <v>0.12665061480282436</v>
      </c>
      <c r="N32" s="66">
        <f t="shared" si="16"/>
        <v>-0.22609727016525738</v>
      </c>
      <c r="O32" s="66">
        <f t="shared" si="16"/>
        <v>0.25995235260686989</v>
      </c>
      <c r="P32" s="66">
        <f t="shared" si="16"/>
        <v>3.6069209700046789E-2</v>
      </c>
      <c r="Q32" s="66">
        <f t="shared" si="16"/>
        <v>-1.231626702568589E-2</v>
      </c>
      <c r="R32" s="66">
        <f t="shared" si="16"/>
        <v>6.2803876351783749E-2</v>
      </c>
      <c r="S32" s="66">
        <f t="shared" si="16"/>
        <v>9.3065990693327327E-2</v>
      </c>
    </row>
    <row r="33" spans="2:19">
      <c r="B33" s="56" t="str">
        <f t="shared" si="13"/>
        <v>Client Lead Wages</v>
      </c>
      <c r="C33" s="151" t="s">
        <v>974</v>
      </c>
      <c r="D33" s="66">
        <f t="shared" si="14"/>
        <v>1.7083586274833085E-3</v>
      </c>
      <c r="E33" s="66">
        <f t="shared" si="14"/>
        <v>0.11079815577738694</v>
      </c>
      <c r="F33" s="66"/>
      <c r="G33" s="66"/>
      <c r="H33" s="66">
        <f t="shared" ref="H33:S33" si="17">IFERROR(H10/G10-1,0)</f>
        <v>-8.9858319117302354E-2</v>
      </c>
      <c r="I33" s="66">
        <f t="shared" si="17"/>
        <v>0.11013192380055048</v>
      </c>
      <c r="J33" s="66">
        <f t="shared" si="17"/>
        <v>0.10454129603112938</v>
      </c>
      <c r="K33" s="66">
        <f t="shared" si="17"/>
        <v>-0.10352873018541098</v>
      </c>
      <c r="L33" s="66">
        <f t="shared" si="17"/>
        <v>0.10769787348601412</v>
      </c>
      <c r="M33" s="66">
        <f t="shared" si="17"/>
        <v>-0.2006387568178597</v>
      </c>
      <c r="N33" s="66">
        <f t="shared" si="17"/>
        <v>-0.16118767446936433</v>
      </c>
      <c r="O33" s="66">
        <f t="shared" si="17"/>
        <v>0.40414233868206617</v>
      </c>
      <c r="P33" s="66">
        <f t="shared" si="17"/>
        <v>2.7047535570724701E-2</v>
      </c>
      <c r="Q33" s="66">
        <f t="shared" si="17"/>
        <v>-0.12315331439507848</v>
      </c>
      <c r="R33" s="66">
        <f t="shared" si="17"/>
        <v>0.12780975540723594</v>
      </c>
      <c r="S33" s="66">
        <f t="shared" si="17"/>
        <v>4.8126070734411774E-2</v>
      </c>
    </row>
    <row r="34" spans="2:19">
      <c r="B34" s="56" t="str">
        <f t="shared" si="13"/>
        <v>Onboarding Team Wages</v>
      </c>
      <c r="C34" s="151" t="s">
        <v>974</v>
      </c>
      <c r="D34" s="66">
        <f t="shared" si="14"/>
        <v>0.56214846008918662</v>
      </c>
      <c r="E34" s="66">
        <f t="shared" si="14"/>
        <v>4.0365943889525191E-2</v>
      </c>
      <c r="F34" s="66"/>
      <c r="G34" s="66"/>
      <c r="H34" s="66">
        <f t="shared" ref="H34:S34" si="18">IFERROR(H11/G11-1,0)</f>
        <v>-5.7041826466665224E-2</v>
      </c>
      <c r="I34" s="66">
        <f t="shared" si="18"/>
        <v>0.15701818393632916</v>
      </c>
      <c r="J34" s="66">
        <f t="shared" si="18"/>
        <v>5.7434464216223668E-2</v>
      </c>
      <c r="K34" s="66">
        <f t="shared" si="18"/>
        <v>-7.7169489148211423E-2</v>
      </c>
      <c r="L34" s="66">
        <f t="shared" si="18"/>
        <v>0.45922260853439267</v>
      </c>
      <c r="M34" s="66">
        <f t="shared" si="18"/>
        <v>-0.20910039502124189</v>
      </c>
      <c r="N34" s="66">
        <f t="shared" si="18"/>
        <v>-0.30369386381731467</v>
      </c>
      <c r="O34" s="66">
        <f t="shared" si="18"/>
        <v>0.29602979540385244</v>
      </c>
      <c r="P34" s="66">
        <f t="shared" si="18"/>
        <v>4.3155320731275593E-2</v>
      </c>
      <c r="Q34" s="66">
        <f t="shared" si="18"/>
        <v>0.25795712393605563</v>
      </c>
      <c r="R34" s="66">
        <f t="shared" si="18"/>
        <v>-0.15093453176489802</v>
      </c>
      <c r="S34" s="66">
        <f t="shared" si="18"/>
        <v>-1.2944161369143226E-2</v>
      </c>
    </row>
    <row r="35" spans="2:19">
      <c r="B35" s="56" t="str">
        <f t="shared" si="13"/>
        <v>Owner Wages</v>
      </c>
      <c r="C35" s="151" t="s">
        <v>974</v>
      </c>
      <c r="D35" s="66">
        <f t="shared" si="14"/>
        <v>1.3829598830953684</v>
      </c>
      <c r="E35" s="66">
        <f t="shared" si="14"/>
        <v>0</v>
      </c>
      <c r="F35" s="66"/>
      <c r="G35" s="66"/>
      <c r="H35" s="66">
        <f t="shared" ref="H35:S35" si="19">IFERROR(H12/G12-1,0)</f>
        <v>-8.6954878098724486E-2</v>
      </c>
      <c r="I35" s="66">
        <f t="shared" si="19"/>
        <v>4.7618061809286294E-2</v>
      </c>
      <c r="J35" s="66">
        <f t="shared" si="19"/>
        <v>4.5453647226211036E-2</v>
      </c>
      <c r="K35" s="66">
        <f t="shared" si="19"/>
        <v>-0.13043441735527206</v>
      </c>
      <c r="L35" s="66">
        <f t="shared" si="19"/>
        <v>0.1585458339572694</v>
      </c>
      <c r="M35" s="66">
        <f t="shared" si="19"/>
        <v>-3.3087545498893034E-2</v>
      </c>
      <c r="N35" s="66">
        <f t="shared" si="19"/>
        <v>-0.10279844893550283</v>
      </c>
      <c r="O35" s="66">
        <f t="shared" si="19"/>
        <v>9.4465331271485153E-2</v>
      </c>
      <c r="P35" s="66">
        <f t="shared" si="19"/>
        <v>0</v>
      </c>
      <c r="Q35" s="66">
        <f t="shared" si="19"/>
        <v>-4.5452599291017526E-2</v>
      </c>
      <c r="R35" s="66">
        <f t="shared" si="19"/>
        <v>4.7618061809286294E-2</v>
      </c>
      <c r="S35" s="66">
        <f t="shared" si="19"/>
        <v>4.5453647226211036E-2</v>
      </c>
    </row>
    <row r="36" spans="2:19">
      <c r="B36" s="56" t="str">
        <f t="shared" si="13"/>
        <v>S&amp;M Wages</v>
      </c>
      <c r="C36" s="151" t="s">
        <v>974</v>
      </c>
      <c r="D36" s="66">
        <f t="shared" si="14"/>
        <v>20.936630692542224</v>
      </c>
      <c r="E36" s="66">
        <f t="shared" si="14"/>
        <v>0.44649161240619972</v>
      </c>
      <c r="F36" s="66"/>
      <c r="G36" s="66"/>
      <c r="H36" s="66">
        <f t="shared" ref="H36:S36" si="20">IFERROR(H13/G13-1,0)</f>
        <v>5.2307598076746231E-2</v>
      </c>
      <c r="I36" s="66">
        <f t="shared" si="20"/>
        <v>0.1144029568406042</v>
      </c>
      <c r="J36" s="66">
        <f t="shared" si="20"/>
        <v>0.22892510184895021</v>
      </c>
      <c r="K36" s="66">
        <f t="shared" si="20"/>
        <v>-4.5756300735262934E-2</v>
      </c>
      <c r="L36" s="66">
        <f t="shared" si="20"/>
        <v>2.4826521886301691</v>
      </c>
      <c r="M36" s="66">
        <f t="shared" si="20"/>
        <v>-0.27700242602044411</v>
      </c>
      <c r="N36" s="66">
        <f t="shared" si="20"/>
        <v>5.3682739590335204E-2</v>
      </c>
      <c r="O36" s="66">
        <f t="shared" si="20"/>
        <v>0.30652068445111458</v>
      </c>
      <c r="P36" s="66">
        <f t="shared" si="20"/>
        <v>4.5511898031556752E-2</v>
      </c>
      <c r="Q36" s="66">
        <f t="shared" si="20"/>
        <v>-4.0403047310990092E-2</v>
      </c>
      <c r="R36" s="66">
        <f t="shared" si="20"/>
        <v>7.6707328786860263E-2</v>
      </c>
      <c r="S36" s="66">
        <f t="shared" si="20"/>
        <v>-2.5149871538681312E-2</v>
      </c>
    </row>
    <row r="37" spans="2:19">
      <c r="B37" s="56" t="str">
        <f t="shared" si="13"/>
        <v>Occupancy Tax Specialist</v>
      </c>
      <c r="C37" s="151" t="s">
        <v>974</v>
      </c>
      <c r="D37" s="66">
        <f t="shared" si="14"/>
        <v>2.7281567592857328</v>
      </c>
      <c r="E37" s="66">
        <f t="shared" si="14"/>
        <v>1.4408257492372512E-2</v>
      </c>
      <c r="F37" s="66"/>
      <c r="G37" s="66"/>
      <c r="H37" s="66">
        <f t="shared" ref="H37:S37" si="21">IFERROR(H14/G14-1,0)</f>
        <v>-2.5807991115883722E-2</v>
      </c>
      <c r="I37" s="66">
        <f t="shared" si="21"/>
        <v>0.46222437857112575</v>
      </c>
      <c r="J37" s="66">
        <f t="shared" si="21"/>
        <v>5.3852844533213151E-2</v>
      </c>
      <c r="K37" s="66">
        <f t="shared" si="21"/>
        <v>0.11252166523505425</v>
      </c>
      <c r="L37" s="66">
        <f t="shared" si="21"/>
        <v>-0.13439868991913662</v>
      </c>
      <c r="M37" s="66">
        <f t="shared" si="21"/>
        <v>-0.46318004780451572</v>
      </c>
      <c r="N37" s="66">
        <f t="shared" si="21"/>
        <v>2.2812921308451002</v>
      </c>
      <c r="O37" s="66">
        <f t="shared" si="21"/>
        <v>0.29746863956721614</v>
      </c>
      <c r="P37" s="66">
        <f t="shared" si="21"/>
        <v>0.13789080403894505</v>
      </c>
      <c r="Q37" s="66">
        <f t="shared" si="21"/>
        <v>1.1064728355731246E-2</v>
      </c>
      <c r="R37" s="66">
        <f t="shared" si="21"/>
        <v>-0.33690475471880355</v>
      </c>
      <c r="S37" s="66">
        <f t="shared" si="21"/>
        <v>3.3399178902715487E-2</v>
      </c>
    </row>
    <row r="38" spans="2:19">
      <c r="B38" s="56" t="str">
        <f t="shared" si="13"/>
        <v>Sr. Client Lead Wages</v>
      </c>
      <c r="C38" s="151" t="s">
        <v>974</v>
      </c>
      <c r="D38" s="66">
        <f t="shared" si="14"/>
        <v>0</v>
      </c>
      <c r="E38" s="66">
        <f t="shared" si="14"/>
        <v>3.1377410881801131</v>
      </c>
      <c r="F38" s="66"/>
      <c r="G38" s="66"/>
      <c r="H38" s="66">
        <f t="shared" ref="H38:S38" si="22">IFERROR(H15/G15-1,0)</f>
        <v>0</v>
      </c>
      <c r="I38" s="66">
        <f t="shared" si="22"/>
        <v>0</v>
      </c>
      <c r="J38" s="66">
        <f t="shared" si="22"/>
        <v>0</v>
      </c>
      <c r="K38" s="66">
        <f t="shared" si="22"/>
        <v>0</v>
      </c>
      <c r="L38" s="66">
        <f t="shared" si="22"/>
        <v>0</v>
      </c>
      <c r="M38" s="66">
        <f t="shared" si="22"/>
        <v>0</v>
      </c>
      <c r="N38" s="66">
        <f t="shared" si="22"/>
        <v>0</v>
      </c>
      <c r="O38" s="66">
        <f t="shared" si="22"/>
        <v>0</v>
      </c>
      <c r="P38" s="66">
        <f t="shared" si="22"/>
        <v>0</v>
      </c>
      <c r="Q38" s="66">
        <f t="shared" si="22"/>
        <v>0</v>
      </c>
      <c r="R38" s="66">
        <f t="shared" si="22"/>
        <v>8.1090637489769746E-2</v>
      </c>
      <c r="S38" s="66">
        <f t="shared" si="22"/>
        <v>1.3082607848829753E-2</v>
      </c>
    </row>
    <row r="39" spans="2:19">
      <c r="B39" s="56" t="str">
        <f t="shared" si="13"/>
        <v>Employee Benefits</v>
      </c>
      <c r="C39" s="151" t="s">
        <v>974</v>
      </c>
      <c r="D39" s="66">
        <f t="shared" si="14"/>
        <v>1.2662626182926404</v>
      </c>
      <c r="E39" s="66">
        <f t="shared" si="14"/>
        <v>0.16701156553622543</v>
      </c>
      <c r="F39" s="66"/>
      <c r="G39" s="66"/>
      <c r="H39" s="66">
        <f t="shared" ref="H39:S39" si="23">IFERROR(H16/G16-1,0)</f>
        <v>0.11970554128252275</v>
      </c>
      <c r="I39" s="66">
        <f t="shared" si="23"/>
        <v>-0.48072004440197535</v>
      </c>
      <c r="J39" s="66">
        <f t="shared" si="23"/>
        <v>1.7696384692517055</v>
      </c>
      <c r="K39" s="66">
        <f t="shared" si="23"/>
        <v>-0.5872219547807267</v>
      </c>
      <c r="L39" s="66">
        <f t="shared" si="23"/>
        <v>2.8596763467080466</v>
      </c>
      <c r="M39" s="66">
        <f t="shared" si="23"/>
        <v>-0.60576397230136858</v>
      </c>
      <c r="N39" s="66">
        <f t="shared" si="23"/>
        <v>-0.27439777542708377</v>
      </c>
      <c r="O39" s="66">
        <f t="shared" si="23"/>
        <v>3.4857227658812944</v>
      </c>
      <c r="P39" s="66">
        <f t="shared" si="23"/>
        <v>-0.6256653167345525</v>
      </c>
      <c r="Q39" s="66">
        <f t="shared" si="23"/>
        <v>-0.23914365775423307</v>
      </c>
      <c r="R39" s="66">
        <f t="shared" si="23"/>
        <v>1.3444206815029411</v>
      </c>
      <c r="S39" s="66">
        <f t="shared" si="23"/>
        <v>-0.21847029987205369</v>
      </c>
    </row>
    <row r="40" spans="2:19">
      <c r="B40" s="60" t="s">
        <v>983</v>
      </c>
      <c r="C40" s="67">
        <f>SUM(C31:C38)</f>
        <v>0</v>
      </c>
      <c r="D40" s="67">
        <f t="shared" si="14"/>
        <v>0.76347362797185281</v>
      </c>
      <c r="E40" s="68">
        <f t="shared" si="14"/>
        <v>0.1956861817079365</v>
      </c>
      <c r="F40" s="72"/>
      <c r="G40" s="72"/>
      <c r="H40" s="69">
        <f t="shared" ref="H40:S40" si="24">IFERROR(H17/G17-1,0)</f>
        <v>-4.6445680189613592E-2</v>
      </c>
      <c r="I40" s="67">
        <f t="shared" si="24"/>
        <v>0.16690798919347349</v>
      </c>
      <c r="J40" s="67">
        <f t="shared" si="24"/>
        <v>0.14523092586814612</v>
      </c>
      <c r="K40" s="67">
        <f t="shared" si="24"/>
        <v>-0.11042949361512266</v>
      </c>
      <c r="L40" s="67">
        <f t="shared" si="24"/>
        <v>0.18608360624721776</v>
      </c>
      <c r="M40" s="67">
        <f t="shared" si="24"/>
        <v>-6.9952658474474738E-2</v>
      </c>
      <c r="N40" s="67">
        <f t="shared" si="24"/>
        <v>-0.13125706545539717</v>
      </c>
      <c r="O40" s="67">
        <f t="shared" si="24"/>
        <v>0.44033065178059161</v>
      </c>
      <c r="P40" s="67">
        <f t="shared" si="24"/>
        <v>1.182636979371221E-2</v>
      </c>
      <c r="Q40" s="67">
        <f t="shared" si="24"/>
        <v>-1.8186087174072774E-2</v>
      </c>
      <c r="R40" s="67">
        <f t="shared" si="24"/>
        <v>5.5304168414133104E-2</v>
      </c>
      <c r="S40" s="68">
        <f t="shared" si="24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25">SUM(G43:G46)</f>
        <v>22.120130000000003</v>
      </c>
      <c r="H47" s="63">
        <f t="shared" si="25"/>
        <v>24.11375</v>
      </c>
      <c r="I47" s="61">
        <f t="shared" si="25"/>
        <v>25.266280000000002</v>
      </c>
      <c r="J47" s="61">
        <f t="shared" si="25"/>
        <v>25.829260000000001</v>
      </c>
      <c r="K47" s="61">
        <f t="shared" si="25"/>
        <v>30.724890000000002</v>
      </c>
      <c r="L47" s="61">
        <f t="shared" si="25"/>
        <v>33.980350000000001</v>
      </c>
      <c r="M47" s="61">
        <f t="shared" si="25"/>
        <v>34.801209999999998</v>
      </c>
      <c r="N47" s="61">
        <f t="shared" si="25"/>
        <v>36.180370000000003</v>
      </c>
      <c r="O47" s="61">
        <f t="shared" si="25"/>
        <v>37.779439999999994</v>
      </c>
      <c r="P47" s="61">
        <f t="shared" si="25"/>
        <v>42.557700000000004</v>
      </c>
      <c r="Q47" s="61">
        <f t="shared" si="25"/>
        <v>41.873910000000002</v>
      </c>
      <c r="R47" s="61">
        <f t="shared" si="25"/>
        <v>44.14931</v>
      </c>
      <c r="S47" s="62">
        <f t="shared" si="25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26">C43/C$86</f>
        <v>9.3336693757682679E-2</v>
      </c>
      <c r="D50" s="66">
        <f t="shared" si="26"/>
        <v>8.8072454259452884E-2</v>
      </c>
      <c r="E50" s="66">
        <f t="shared" si="26"/>
        <v>0.11195716775620432</v>
      </c>
      <c r="F50" s="66"/>
      <c r="G50" s="66">
        <f t="shared" ref="G50:S50" si="27">G43/G$86</f>
        <v>8.4537160902397337E-2</v>
      </c>
      <c r="H50" s="66">
        <f t="shared" si="27"/>
        <v>8.917779401841408E-2</v>
      </c>
      <c r="I50" s="66">
        <f t="shared" si="27"/>
        <v>8.2897472493922389E-2</v>
      </c>
      <c r="J50" s="66">
        <f t="shared" si="27"/>
        <v>6.8887122955805999E-2</v>
      </c>
      <c r="K50" s="66">
        <f t="shared" si="27"/>
        <v>8.3756736315113295E-2</v>
      </c>
      <c r="L50" s="66">
        <f t="shared" si="27"/>
        <v>8.6976039167336205E-2</v>
      </c>
      <c r="M50" s="66">
        <f t="shared" si="27"/>
        <v>8.7038258886071668E-2</v>
      </c>
      <c r="N50" s="66">
        <f t="shared" si="27"/>
        <v>7.4082423226011079E-2</v>
      </c>
      <c r="O50" s="66">
        <f t="shared" si="27"/>
        <v>7.9522374855477654E-2</v>
      </c>
      <c r="P50" s="66">
        <f t="shared" si="27"/>
        <v>8.8997158657182468E-2</v>
      </c>
      <c r="Q50" s="66">
        <f t="shared" si="27"/>
        <v>9.5231314037413264E-2</v>
      </c>
      <c r="R50" s="66">
        <f t="shared" si="27"/>
        <v>9.9695918331890232E-2</v>
      </c>
      <c r="S50" s="66">
        <f t="shared" si="27"/>
        <v>0.11126811344179605</v>
      </c>
    </row>
    <row r="51" spans="2:19">
      <c r="B51" s="56" t="str">
        <f>+B44</f>
        <v>Software &amp; Apps - G&amp;A</v>
      </c>
      <c r="C51" s="66">
        <f t="shared" si="26"/>
        <v>5.6753008121532077E-2</v>
      </c>
      <c r="D51" s="66">
        <f t="shared" si="26"/>
        <v>6.1623199023504209E-2</v>
      </c>
      <c r="E51" s="66">
        <f t="shared" si="26"/>
        <v>5.196615252573733E-2</v>
      </c>
      <c r="F51" s="66"/>
      <c r="G51" s="66">
        <f t="shared" ref="G51:S51" si="28">G44/G$86</f>
        <v>5.7823625290077715E-2</v>
      </c>
      <c r="H51" s="66">
        <f t="shared" si="28"/>
        <v>6.1652563417085485E-2</v>
      </c>
      <c r="I51" s="66">
        <f t="shared" si="28"/>
        <v>6.545098601389604E-2</v>
      </c>
      <c r="J51" s="66">
        <f t="shared" si="28"/>
        <v>6.7446462993734121E-2</v>
      </c>
      <c r="K51" s="66">
        <f t="shared" si="28"/>
        <v>7.235284294870982E-2</v>
      </c>
      <c r="L51" s="66">
        <f t="shared" si="28"/>
        <v>7.3315879580288387E-2</v>
      </c>
      <c r="M51" s="66">
        <f t="shared" si="28"/>
        <v>6.2507234219034258E-2</v>
      </c>
      <c r="N51" s="66">
        <f t="shared" si="28"/>
        <v>6.0852915616182439E-2</v>
      </c>
      <c r="O51" s="66">
        <f t="shared" si="28"/>
        <v>6.4756030736686496E-2</v>
      </c>
      <c r="P51" s="66">
        <f t="shared" si="28"/>
        <v>6.1354121661470043E-2</v>
      </c>
      <c r="Q51" s="66">
        <f t="shared" si="28"/>
        <v>5.3733800949923215E-2</v>
      </c>
      <c r="R51" s="66">
        <f t="shared" si="28"/>
        <v>5.2990008456589577E-2</v>
      </c>
      <c r="S51" s="66">
        <f t="shared" si="28"/>
        <v>5.1646320376365434E-2</v>
      </c>
    </row>
    <row r="52" spans="2:19">
      <c r="B52" s="56" t="str">
        <f>+B45</f>
        <v>Software &amp; Apps - Topkey</v>
      </c>
      <c r="C52" s="66">
        <f t="shared" ref="C52:E53" si="29">C45/C$86</f>
        <v>0</v>
      </c>
      <c r="D52" s="66">
        <f t="shared" si="29"/>
        <v>1.4091502418170218E-2</v>
      </c>
      <c r="E52" s="66">
        <f t="shared" si="29"/>
        <v>2.0289867503630148E-2</v>
      </c>
      <c r="F52" s="66"/>
      <c r="G52" s="66">
        <f t="shared" ref="G52:S52" si="30">G45/G$86</f>
        <v>0</v>
      </c>
      <c r="H52" s="66">
        <f t="shared" si="30"/>
        <v>0</v>
      </c>
      <c r="I52" s="66">
        <f t="shared" si="30"/>
        <v>5.7149665538023019E-3</v>
      </c>
      <c r="J52" s="66">
        <f t="shared" si="30"/>
        <v>7.7673346713958554E-3</v>
      </c>
      <c r="K52" s="66">
        <f t="shared" si="30"/>
        <v>1.2995995719756079E-2</v>
      </c>
      <c r="L52" s="66">
        <f t="shared" si="30"/>
        <v>1.2457888219926643E-2</v>
      </c>
      <c r="M52" s="66">
        <f t="shared" si="30"/>
        <v>1.3901718303752371E-2</v>
      </c>
      <c r="N52" s="66">
        <f t="shared" si="30"/>
        <v>1.4138285161605146E-2</v>
      </c>
      <c r="O52" s="66">
        <f t="shared" si="30"/>
        <v>1.5888008117657653E-2</v>
      </c>
      <c r="P52" s="66">
        <f t="shared" si="30"/>
        <v>1.7551636577760429E-2</v>
      </c>
      <c r="Q52" s="66">
        <f t="shared" si="30"/>
        <v>1.7400568686653087E-2</v>
      </c>
      <c r="R52" s="66">
        <f t="shared" si="30"/>
        <v>2.1042483756519716E-2</v>
      </c>
      <c r="S52" s="66">
        <f t="shared" si="30"/>
        <v>2.0164990990385434E-2</v>
      </c>
    </row>
    <row r="53" spans="2:19">
      <c r="B53" s="56" t="str">
        <f>+B46</f>
        <v>Software &amp; Apps - AI tools</v>
      </c>
      <c r="C53" s="66">
        <f t="shared" si="29"/>
        <v>0</v>
      </c>
      <c r="D53" s="66">
        <f t="shared" si="29"/>
        <v>2.5572733149282563E-3</v>
      </c>
      <c r="E53" s="66">
        <f t="shared" si="29"/>
        <v>5.2504734452490489E-3</v>
      </c>
      <c r="F53" s="66"/>
      <c r="G53" s="66">
        <f t="shared" ref="G53:S53" si="31">G46/G$86</f>
        <v>0</v>
      </c>
      <c r="H53" s="66">
        <f t="shared" si="31"/>
        <v>0</v>
      </c>
      <c r="I53" s="66">
        <f t="shared" si="31"/>
        <v>0</v>
      </c>
      <c r="J53" s="66">
        <f t="shared" si="31"/>
        <v>0</v>
      </c>
      <c r="K53" s="66">
        <f t="shared" si="31"/>
        <v>0</v>
      </c>
      <c r="L53" s="66">
        <f t="shared" si="31"/>
        <v>0</v>
      </c>
      <c r="M53" s="66">
        <f t="shared" si="31"/>
        <v>5.6554155316561891E-4</v>
      </c>
      <c r="N53" s="66">
        <f t="shared" si="31"/>
        <v>4.9608018110895247E-4</v>
      </c>
      <c r="O53" s="66">
        <f t="shared" si="31"/>
        <v>3.0309896073506442E-3</v>
      </c>
      <c r="P53" s="66">
        <f t="shared" si="31"/>
        <v>9.1851068080334893E-3</v>
      </c>
      <c r="Q53" s="66">
        <f t="shared" si="31"/>
        <v>3.7159799893460108E-3</v>
      </c>
      <c r="R53" s="66">
        <f t="shared" si="31"/>
        <v>4.6531444735399257E-3</v>
      </c>
      <c r="S53" s="66">
        <f t="shared" si="31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 t="shared" ref="D56:E60" si="32">IFERROR(D43/C43-1,0)</f>
        <v>0.57999886845588877</v>
      </c>
      <c r="E56" s="66">
        <f t="shared" si="32"/>
        <v>0.49331261755325184</v>
      </c>
      <c r="F56" s="66"/>
      <c r="G56" s="66"/>
      <c r="H56" s="66">
        <f t="shared" ref="H56:S56" si="33">IFERROR(H43/G43-1,0)</f>
        <v>8.5394866563383687E-2</v>
      </c>
      <c r="I56" s="66">
        <f t="shared" si="33"/>
        <v>-4.6434946675878219E-2</v>
      </c>
      <c r="J56" s="66">
        <f t="shared" si="33"/>
        <v>-9.1760867134677793E-2</v>
      </c>
      <c r="K56" s="66">
        <f t="shared" si="33"/>
        <v>0.23244884439268443</v>
      </c>
      <c r="L56" s="66">
        <f t="shared" si="33"/>
        <v>0.12423666743112172</v>
      </c>
      <c r="M56" s="66">
        <f t="shared" si="33"/>
        <v>7.9486007474682152E-2</v>
      </c>
      <c r="N56" s="66">
        <f t="shared" si="33"/>
        <v>-2.9674090197798209E-2</v>
      </c>
      <c r="O56" s="66">
        <f t="shared" si="33"/>
        <v>2.7275816714815049E-2</v>
      </c>
      <c r="P56" s="66">
        <f t="shared" si="33"/>
        <v>0.16180565438974082</v>
      </c>
      <c r="Q56" s="66">
        <f t="shared" si="33"/>
        <v>9.6227513413051913E-2</v>
      </c>
      <c r="R56" s="66">
        <f t="shared" si="33"/>
        <v>5.2411429916778385E-2</v>
      </c>
      <c r="S56" s="66">
        <f t="shared" si="33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 t="shared" si="32"/>
        <v>0.81812795462145327</v>
      </c>
      <c r="E57" s="66">
        <f t="shared" si="32"/>
        <v>-9.3613826848051307E-3</v>
      </c>
      <c r="F57" s="66"/>
      <c r="G57" s="66"/>
      <c r="H57" s="66">
        <f t="shared" ref="H57:S57" si="34">IFERROR(H44/G44-1,0)</f>
        <v>9.7045192483204756E-2</v>
      </c>
      <c r="I57" s="66">
        <f t="shared" si="34"/>
        <v>8.9007365623034351E-2</v>
      </c>
      <c r="J57" s="66">
        <f t="shared" si="34"/>
        <v>0.12628017190380758</v>
      </c>
      <c r="K57" s="66">
        <f t="shared" si="34"/>
        <v>8.7385715904607197E-2</v>
      </c>
      <c r="L57" s="66">
        <f t="shared" si="34"/>
        <v>9.7034572940620789E-2</v>
      </c>
      <c r="M57" s="66">
        <f t="shared" si="34"/>
        <v>-8.0315891003874262E-2</v>
      </c>
      <c r="N57" s="66">
        <f t="shared" si="34"/>
        <v>0.10984863335735984</v>
      </c>
      <c r="O57" s="66">
        <f t="shared" si="34"/>
        <v>1.838438597563874E-2</v>
      </c>
      <c r="P57" s="66">
        <f t="shared" si="34"/>
        <v>-1.6418824446057245E-2</v>
      </c>
      <c r="Q57" s="66">
        <f t="shared" si="34"/>
        <v>-0.10277600123163821</v>
      </c>
      <c r="R57" s="66">
        <f t="shared" si="34"/>
        <v>-8.6331750975116028E-3</v>
      </c>
      <c r="S57" s="66">
        <f t="shared" si="34"/>
        <v>-9.8947845175635374E-3</v>
      </c>
    </row>
    <row r="58" spans="2:19">
      <c r="B58" s="56" t="str">
        <f>+B45</f>
        <v>Software &amp; Apps - Topkey</v>
      </c>
      <c r="C58" s="151" t="s">
        <v>974</v>
      </c>
      <c r="D58" s="66">
        <f t="shared" si="32"/>
        <v>0</v>
      </c>
      <c r="E58" s="66">
        <f t="shared" si="32"/>
        <v>0.69145653201367852</v>
      </c>
      <c r="F58" s="66"/>
      <c r="G58" s="66"/>
      <c r="H58" s="66">
        <f t="shared" ref="H58:S58" si="35">IFERROR(H45/G45-1,0)</f>
        <v>0</v>
      </c>
      <c r="I58" s="66">
        <f t="shared" si="35"/>
        <v>0</v>
      </c>
      <c r="J58" s="66">
        <f t="shared" si="35"/>
        <v>0.48546279007735382</v>
      </c>
      <c r="K58" s="66">
        <f t="shared" si="35"/>
        <v>0.69599569042916154</v>
      </c>
      <c r="L58" s="66">
        <f t="shared" si="35"/>
        <v>3.7797776601376398E-2</v>
      </c>
      <c r="M58" s="66">
        <f t="shared" si="35"/>
        <v>0.20373393185064281</v>
      </c>
      <c r="N58" s="66">
        <f t="shared" si="35"/>
        <v>0.15942028985507251</v>
      </c>
      <c r="O58" s="66">
        <f t="shared" si="35"/>
        <v>7.5438596491228083E-2</v>
      </c>
      <c r="P58" s="66">
        <f t="shared" si="35"/>
        <v>0.14681892332789559</v>
      </c>
      <c r="Q58" s="66">
        <f t="shared" si="35"/>
        <v>1.5647226173541862E-2</v>
      </c>
      <c r="R58" s="66">
        <f t="shared" si="35"/>
        <v>0.21568627450980404</v>
      </c>
      <c r="S58" s="66">
        <f t="shared" si="35"/>
        <v>-2.6497695852534586E-2</v>
      </c>
    </row>
    <row r="59" spans="2:19">
      <c r="B59" s="56" t="str">
        <f>+B46</f>
        <v>Software &amp; Apps - AI tools</v>
      </c>
      <c r="C59" s="151" t="s">
        <v>974</v>
      </c>
      <c r="D59" s="66">
        <f t="shared" si="32"/>
        <v>0</v>
      </c>
      <c r="E59" s="66">
        <f t="shared" si="32"/>
        <v>1.4119052871534667</v>
      </c>
      <c r="F59" s="66"/>
      <c r="G59" s="66"/>
      <c r="H59" s="66">
        <f t="shared" ref="H59:S59" si="36">IFERROR(H46/G46-1,0)</f>
        <v>0</v>
      </c>
      <c r="I59" s="66">
        <f t="shared" si="36"/>
        <v>0</v>
      </c>
      <c r="J59" s="66">
        <f t="shared" si="36"/>
        <v>0</v>
      </c>
      <c r="K59" s="66">
        <f t="shared" si="36"/>
        <v>0</v>
      </c>
      <c r="L59" s="66">
        <f t="shared" si="36"/>
        <v>0</v>
      </c>
      <c r="M59" s="66">
        <f t="shared" si="36"/>
        <v>0</v>
      </c>
      <c r="N59" s="66">
        <f t="shared" si="36"/>
        <v>0</v>
      </c>
      <c r="O59" s="66">
        <f t="shared" si="36"/>
        <v>4.8471666666666664</v>
      </c>
      <c r="P59" s="66">
        <f t="shared" si="36"/>
        <v>2.145911125046319</v>
      </c>
      <c r="Q59" s="66">
        <f t="shared" si="36"/>
        <v>-0.58553656857060021</v>
      </c>
      <c r="R59" s="66">
        <f t="shared" si="36"/>
        <v>0.25881272749133766</v>
      </c>
      <c r="S59" s="66">
        <f t="shared" si="36"/>
        <v>0.13921764424955496</v>
      </c>
    </row>
    <row r="60" spans="2:19">
      <c r="B60" s="60" t="s">
        <v>986</v>
      </c>
      <c r="C60" s="67">
        <f>SUM(C56:C59)</f>
        <v>0</v>
      </c>
      <c r="D60" s="67">
        <f t="shared" si="32"/>
        <v>0.85577985399719259</v>
      </c>
      <c r="E60" s="68">
        <f t="shared" si="32"/>
        <v>0.33800148304513411</v>
      </c>
      <c r="F60" s="72"/>
      <c r="G60" s="72"/>
      <c r="H60" s="69">
        <f t="shared" ref="H60:S60" si="37">IFERROR(H47/G47-1,0)</f>
        <v>9.012695675839133E-2</v>
      </c>
      <c r="I60" s="67">
        <f t="shared" si="37"/>
        <v>4.7795552330102131E-2</v>
      </c>
      <c r="J60" s="67">
        <f t="shared" si="37"/>
        <v>2.2281871332067826E-2</v>
      </c>
      <c r="K60" s="67">
        <f t="shared" si="37"/>
        <v>0.18953814394992352</v>
      </c>
      <c r="L60" s="67">
        <f t="shared" si="37"/>
        <v>0.1059551393023701</v>
      </c>
      <c r="M60" s="67">
        <f t="shared" si="37"/>
        <v>2.415690244508939E-2</v>
      </c>
      <c r="N60" s="67">
        <f t="shared" si="37"/>
        <v>3.9629656555045134E-2</v>
      </c>
      <c r="O60" s="67">
        <f t="shared" si="37"/>
        <v>4.419717100737186E-2</v>
      </c>
      <c r="P60" s="67">
        <f t="shared" si="37"/>
        <v>0.12647778791850839</v>
      </c>
      <c r="Q60" s="67">
        <f t="shared" si="37"/>
        <v>-1.6067362662925855E-2</v>
      </c>
      <c r="R60" s="67">
        <f t="shared" si="37"/>
        <v>5.4339324892277663E-2</v>
      </c>
      <c r="S60" s="68">
        <f t="shared" si="37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38">+H72-SUM(H63:H70)</f>
        <v>2.1041500000000006</v>
      </c>
      <c r="I71" s="143">
        <f t="shared" si="38"/>
        <v>4.1907599999999992</v>
      </c>
      <c r="J71" s="143">
        <f t="shared" si="38"/>
        <v>3.0395699999999977</v>
      </c>
      <c r="K71" s="143">
        <f t="shared" si="38"/>
        <v>1.0314300000000003</v>
      </c>
      <c r="L71" s="143">
        <f t="shared" si="38"/>
        <v>13.049990000000005</v>
      </c>
      <c r="M71" s="143">
        <f t="shared" si="38"/>
        <v>5.3295300000000001</v>
      </c>
      <c r="N71" s="143">
        <f t="shared" si="38"/>
        <v>6.8620100000000015</v>
      </c>
      <c r="O71" s="143">
        <f t="shared" si="38"/>
        <v>9.6291599999999988</v>
      </c>
      <c r="P71" s="143">
        <f t="shared" si="38"/>
        <v>-2.3808199999999999</v>
      </c>
      <c r="Q71" s="143">
        <f t="shared" si="38"/>
        <v>2.0276700000000005</v>
      </c>
      <c r="R71" s="143">
        <f t="shared" si="38"/>
        <v>2.8599300000000003</v>
      </c>
      <c r="S71" s="143">
        <f t="shared" si="38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>SUM(D63:D71)</f>
        <v>273.24252000000001</v>
      </c>
      <c r="E72" s="62">
        <f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39">+B63</f>
        <v>Other Professional Fees</v>
      </c>
      <c r="C75" s="66">
        <f t="shared" ref="C75:E83" si="40">C63/C$86</f>
        <v>1.4266877497871063E-2</v>
      </c>
      <c r="D75" s="66">
        <f t="shared" si="40"/>
        <v>2.8433324986194192E-2</v>
      </c>
      <c r="E75" s="66">
        <f t="shared" si="40"/>
        <v>2.4204087759986687E-2</v>
      </c>
      <c r="F75" s="66"/>
      <c r="G75" s="66">
        <f t="shared" ref="G75:S75" si="41">G63/G$86</f>
        <v>0</v>
      </c>
      <c r="H75" s="66">
        <f t="shared" si="41"/>
        <v>1.2509904717059735E-3</v>
      </c>
      <c r="I75" s="66">
        <f t="shared" si="41"/>
        <v>8.0911975124758218E-3</v>
      </c>
      <c r="J75" s="66">
        <f t="shared" si="41"/>
        <v>0</v>
      </c>
      <c r="K75" s="66">
        <f t="shared" si="41"/>
        <v>3.3023175995145149E-2</v>
      </c>
      <c r="L75" s="66">
        <f t="shared" si="41"/>
        <v>3.8128611160763042E-2</v>
      </c>
      <c r="M75" s="66">
        <f t="shared" si="41"/>
        <v>0</v>
      </c>
      <c r="N75" s="66">
        <f t="shared" si="41"/>
        <v>0</v>
      </c>
      <c r="O75" s="66">
        <f t="shared" si="41"/>
        <v>2.85102918913922E-2</v>
      </c>
      <c r="P75" s="66">
        <f t="shared" si="41"/>
        <v>5.8255787598066856E-2</v>
      </c>
      <c r="Q75" s="66">
        <f t="shared" si="41"/>
        <v>7.3111633137197846E-2</v>
      </c>
      <c r="R75" s="66">
        <f t="shared" si="41"/>
        <v>0</v>
      </c>
      <c r="S75" s="66">
        <f t="shared" si="41"/>
        <v>7.5370133977870596E-2</v>
      </c>
    </row>
    <row r="76" spans="2:19">
      <c r="B76" s="56" t="str">
        <f t="shared" si="39"/>
        <v>Referral Fees</v>
      </c>
      <c r="C76" s="66">
        <f t="shared" si="40"/>
        <v>1.7193201844922821E-2</v>
      </c>
      <c r="D76" s="66">
        <f t="shared" si="40"/>
        <v>1.2024898907897005E-2</v>
      </c>
      <c r="E76" s="66">
        <f t="shared" si="40"/>
        <v>1.0236288179909573E-2</v>
      </c>
      <c r="F76" s="66"/>
      <c r="G76" s="66">
        <f t="shared" ref="G76:S76" si="42">G64/G$86</f>
        <v>2.426136617411755E-2</v>
      </c>
      <c r="H76" s="66">
        <f t="shared" si="42"/>
        <v>1.0608399200066653E-2</v>
      </c>
      <c r="I76" s="66">
        <f t="shared" si="42"/>
        <v>1.358238250050107E-2</v>
      </c>
      <c r="J76" s="66">
        <f t="shared" si="42"/>
        <v>9.2862119307153181E-3</v>
      </c>
      <c r="K76" s="66">
        <f t="shared" si="42"/>
        <v>9.4599841114492537E-3</v>
      </c>
      <c r="L76" s="66">
        <f t="shared" si="42"/>
        <v>1.4018365179366138E-2</v>
      </c>
      <c r="M76" s="66">
        <f t="shared" si="42"/>
        <v>8.8073671212992397E-3</v>
      </c>
      <c r="N76" s="66">
        <f t="shared" si="42"/>
        <v>1.8354594640895412E-2</v>
      </c>
      <c r="O76" s="66">
        <f t="shared" si="42"/>
        <v>1.0339775723356863E-2</v>
      </c>
      <c r="P76" s="66">
        <f t="shared" si="42"/>
        <v>1.5220822515961775E-2</v>
      </c>
      <c r="Q76" s="66">
        <f t="shared" si="42"/>
        <v>1.1916343232309983E-2</v>
      </c>
      <c r="R76" s="66">
        <f t="shared" si="42"/>
        <v>6.3280987057337135E-3</v>
      </c>
      <c r="S76" s="66">
        <f t="shared" si="42"/>
        <v>1.4992571368457139E-2</v>
      </c>
    </row>
    <row r="77" spans="2:19">
      <c r="B77" s="56" t="str">
        <f t="shared" si="39"/>
        <v>Travel, Meals &amp; Entertainment</v>
      </c>
      <c r="C77" s="66">
        <f t="shared" si="40"/>
        <v>1.4625704694466677E-2</v>
      </c>
      <c r="D77" s="66">
        <f t="shared" si="40"/>
        <v>1.1028683868443795E-2</v>
      </c>
      <c r="E77" s="66">
        <f t="shared" si="40"/>
        <v>9.3882524241739405E-3</v>
      </c>
      <c r="F77" s="66"/>
      <c r="G77" s="66">
        <f t="shared" ref="G77:S77" si="43">G65/G$86</f>
        <v>6.2852046437146222E-4</v>
      </c>
      <c r="H77" s="66">
        <f t="shared" si="43"/>
        <v>5.7640636974324432E-3</v>
      </c>
      <c r="I77" s="66">
        <f t="shared" si="43"/>
        <v>1.8074660237692611E-2</v>
      </c>
      <c r="J77" s="66">
        <f t="shared" si="43"/>
        <v>5.7842305002381109E-3</v>
      </c>
      <c r="K77" s="66">
        <f t="shared" si="43"/>
        <v>1.1615131615519084E-2</v>
      </c>
      <c r="L77" s="66">
        <f t="shared" si="43"/>
        <v>2.1999700258278129E-3</v>
      </c>
      <c r="M77" s="66">
        <f t="shared" si="43"/>
        <v>0</v>
      </c>
      <c r="N77" s="66">
        <f t="shared" si="43"/>
        <v>0</v>
      </c>
      <c r="O77" s="66">
        <f t="shared" si="43"/>
        <v>0</v>
      </c>
      <c r="P77" s="66">
        <f t="shared" si="43"/>
        <v>4.063382796242019E-2</v>
      </c>
      <c r="Q77" s="66">
        <f t="shared" si="43"/>
        <v>4.1651006899504212E-2</v>
      </c>
      <c r="R77" s="66">
        <f t="shared" si="43"/>
        <v>2.6501085053573892E-3</v>
      </c>
      <c r="S77" s="66">
        <f t="shared" si="43"/>
        <v>3.9733384614191421E-5</v>
      </c>
    </row>
    <row r="78" spans="2:19">
      <c r="B78" s="56" t="str">
        <f t="shared" si="39"/>
        <v>Payment Collection Fees</v>
      </c>
      <c r="C78" s="66">
        <f t="shared" si="40"/>
        <v>6.9165942917021736E-3</v>
      </c>
      <c r="D78" s="66">
        <f t="shared" si="40"/>
        <v>6.1013631555058385E-3</v>
      </c>
      <c r="E78" s="66">
        <f t="shared" si="40"/>
        <v>5.1938325659456877E-3</v>
      </c>
      <c r="F78" s="66"/>
      <c r="G78" s="66">
        <f t="shared" ref="G78:S78" si="44">G66/G$86</f>
        <v>7.8822490143246812E-3</v>
      </c>
      <c r="H78" s="66">
        <f t="shared" si="44"/>
        <v>6.907844285713215E-3</v>
      </c>
      <c r="I78" s="66">
        <f t="shared" si="44"/>
        <v>7.9099771273288457E-3</v>
      </c>
      <c r="J78" s="66">
        <f t="shared" si="44"/>
        <v>6.7917942579354294E-3</v>
      </c>
      <c r="K78" s="66">
        <f t="shared" si="44"/>
        <v>8.9324388749268107E-3</v>
      </c>
      <c r="L78" s="66">
        <f t="shared" si="44"/>
        <v>6.6350900760477702E-3</v>
      </c>
      <c r="M78" s="66">
        <f t="shared" si="44"/>
        <v>5.795575579915736E-3</v>
      </c>
      <c r="N78" s="66">
        <f t="shared" si="44"/>
        <v>7.1868376037706721E-3</v>
      </c>
      <c r="O78" s="66">
        <f t="shared" si="44"/>
        <v>5.846683313509321E-3</v>
      </c>
      <c r="P78" s="66">
        <f t="shared" si="44"/>
        <v>5.1347899527241798E-3</v>
      </c>
      <c r="Q78" s="66">
        <f t="shared" si="44"/>
        <v>4.7578207615510794E-3</v>
      </c>
      <c r="R78" s="66">
        <f t="shared" si="44"/>
        <v>4.6623162166519261E-3</v>
      </c>
      <c r="S78" s="66">
        <f t="shared" si="44"/>
        <v>4.5574868296159674E-3</v>
      </c>
    </row>
    <row r="79" spans="2:19">
      <c r="B79" s="56" t="str">
        <f t="shared" si="39"/>
        <v>Professional Organizations</v>
      </c>
      <c r="C79" s="66">
        <f t="shared" si="40"/>
        <v>6.2533543700970581E-3</v>
      </c>
      <c r="D79" s="66">
        <f t="shared" si="40"/>
        <v>4.5487278915682453E-3</v>
      </c>
      <c r="E79" s="66">
        <f t="shared" si="40"/>
        <v>3.8721397915043362E-3</v>
      </c>
      <c r="F79" s="66"/>
      <c r="G79" s="66">
        <f t="shared" ref="G79:S79" si="45">G67/G$86</f>
        <v>9.5634736805929287E-3</v>
      </c>
      <c r="H79" s="66">
        <f t="shared" si="45"/>
        <v>6.0253956069718203E-3</v>
      </c>
      <c r="I79" s="66">
        <f t="shared" si="45"/>
        <v>5.9781995291318781E-3</v>
      </c>
      <c r="J79" s="66">
        <f t="shared" si="45"/>
        <v>5.7431134188747146E-3</v>
      </c>
      <c r="K79" s="66">
        <f t="shared" si="45"/>
        <v>5.6657863054870522E-3</v>
      </c>
      <c r="L79" s="66">
        <f t="shared" si="45"/>
        <v>5.2332789771852633E-3</v>
      </c>
      <c r="M79" s="66">
        <f t="shared" si="45"/>
        <v>4.4292743159303639E-3</v>
      </c>
      <c r="N79" s="66">
        <f t="shared" si="45"/>
        <v>3.885258638430224E-3</v>
      </c>
      <c r="O79" s="66">
        <f t="shared" si="45"/>
        <v>4.0598223679222936E-3</v>
      </c>
      <c r="P79" s="66">
        <f t="shared" si="45"/>
        <v>3.9107526327350839E-3</v>
      </c>
      <c r="Q79" s="66">
        <f t="shared" si="45"/>
        <v>3.8173614539629254E-3</v>
      </c>
      <c r="R79" s="66">
        <f t="shared" si="45"/>
        <v>3.7973036691416905E-3</v>
      </c>
      <c r="S79" s="66">
        <f t="shared" si="45"/>
        <v>3.7380006868824346E-3</v>
      </c>
    </row>
    <row r="80" spans="2:19">
      <c r="B80" s="56" t="str">
        <f t="shared" si="39"/>
        <v>S&amp;M Events</v>
      </c>
      <c r="C80" s="66">
        <f t="shared" si="40"/>
        <v>0</v>
      </c>
      <c r="D80" s="66">
        <f t="shared" si="40"/>
        <v>9.1453455008266449E-3</v>
      </c>
      <c r="E80" s="66">
        <f t="shared" si="40"/>
        <v>7.7850460755077488E-3</v>
      </c>
      <c r="F80" s="66"/>
      <c r="G80" s="66">
        <f t="shared" ref="G80:S80" si="46">G68/G$86</f>
        <v>0</v>
      </c>
      <c r="H80" s="66">
        <f t="shared" si="46"/>
        <v>4.4848008410659147E-2</v>
      </c>
      <c r="I80" s="66">
        <f t="shared" si="46"/>
        <v>1.0057975279271162E-2</v>
      </c>
      <c r="J80" s="66">
        <f t="shared" si="46"/>
        <v>1.4944971174527004E-2</v>
      </c>
      <c r="K80" s="66">
        <f t="shared" si="46"/>
        <v>0</v>
      </c>
      <c r="L80" s="66">
        <f t="shared" si="46"/>
        <v>0</v>
      </c>
      <c r="M80" s="66">
        <f t="shared" si="46"/>
        <v>2.3564231381900791E-4</v>
      </c>
      <c r="N80" s="66">
        <f t="shared" si="46"/>
        <v>0</v>
      </c>
      <c r="O80" s="66">
        <f t="shared" si="46"/>
        <v>0</v>
      </c>
      <c r="P80" s="66">
        <f t="shared" si="46"/>
        <v>0</v>
      </c>
      <c r="Q80" s="66">
        <f t="shared" si="46"/>
        <v>3.9825531272790274E-4</v>
      </c>
      <c r="R80" s="66">
        <f t="shared" si="46"/>
        <v>9.8182095868553984E-6</v>
      </c>
      <c r="S80" s="66">
        <f t="shared" si="46"/>
        <v>4.6514708014311172E-2</v>
      </c>
    </row>
    <row r="81" spans="2:19">
      <c r="B81" s="56" t="str">
        <f t="shared" si="39"/>
        <v>Contract Labor - Tax</v>
      </c>
      <c r="C81" s="66">
        <f t="shared" si="40"/>
        <v>0</v>
      </c>
      <c r="D81" s="66">
        <f t="shared" si="40"/>
        <v>1.257692741334256E-2</v>
      </c>
      <c r="E81" s="66">
        <f t="shared" si="40"/>
        <v>1.2926786641057855E-2</v>
      </c>
      <c r="F81" s="66"/>
      <c r="G81" s="66">
        <f t="shared" ref="G81:S81" si="47">G69/G$86</f>
        <v>0</v>
      </c>
      <c r="H81" s="66">
        <f t="shared" si="47"/>
        <v>0</v>
      </c>
      <c r="I81" s="66">
        <f t="shared" si="47"/>
        <v>0</v>
      </c>
      <c r="J81" s="66">
        <f t="shared" si="47"/>
        <v>6.4158268070427247E-3</v>
      </c>
      <c r="K81" s="66">
        <f t="shared" si="47"/>
        <v>2.4079399163126668E-3</v>
      </c>
      <c r="L81" s="66">
        <f t="shared" si="47"/>
        <v>0</v>
      </c>
      <c r="M81" s="66">
        <f t="shared" si="47"/>
        <v>0</v>
      </c>
      <c r="N81" s="66">
        <f t="shared" si="47"/>
        <v>1.2402004527723814E-2</v>
      </c>
      <c r="O81" s="66">
        <f t="shared" si="47"/>
        <v>7.0262750418096945E-2</v>
      </c>
      <c r="P81" s="66">
        <f t="shared" si="47"/>
        <v>1.165115751961337E-2</v>
      </c>
      <c r="Q81" s="66">
        <f t="shared" si="47"/>
        <v>0</v>
      </c>
      <c r="R81" s="66">
        <f t="shared" si="47"/>
        <v>3.4141510703262594E-2</v>
      </c>
      <c r="S81" s="66">
        <f t="shared" si="47"/>
        <v>0</v>
      </c>
    </row>
    <row r="82" spans="2:19">
      <c r="B82" s="56" t="str">
        <f t="shared" si="39"/>
        <v>Recruiting Fees</v>
      </c>
      <c r="C82" s="66">
        <f t="shared" si="40"/>
        <v>2.3186704973492549E-2</v>
      </c>
      <c r="D82" s="66">
        <f t="shared" si="40"/>
        <v>3.474496176879293E-3</v>
      </c>
      <c r="E82" s="66">
        <f t="shared" si="40"/>
        <v>2.9576917376971548E-3</v>
      </c>
      <c r="F82" s="66"/>
      <c r="G82" s="66">
        <f t="shared" ref="G82:S82" si="48">G70/G$86</f>
        <v>4.9998461843221544E-3</v>
      </c>
      <c r="H82" s="66">
        <f t="shared" si="48"/>
        <v>1.3555107256170075E-3</v>
      </c>
      <c r="I82" s="66">
        <f t="shared" si="48"/>
        <v>4.5702659177443592E-3</v>
      </c>
      <c r="J82" s="66">
        <f t="shared" si="48"/>
        <v>5.1646290000727495E-3</v>
      </c>
      <c r="K82" s="66">
        <f t="shared" si="48"/>
        <v>3.6349710590389433E-3</v>
      </c>
      <c r="L82" s="66">
        <f t="shared" si="48"/>
        <v>3.8218086301620297E-3</v>
      </c>
      <c r="M82" s="66">
        <f t="shared" si="48"/>
        <v>3.8659478005146435E-3</v>
      </c>
      <c r="N82" s="66">
        <f t="shared" si="48"/>
        <v>2.8130226669783156E-3</v>
      </c>
      <c r="O82" s="66">
        <f t="shared" si="48"/>
        <v>3.3365249021200644E-3</v>
      </c>
      <c r="P82" s="66">
        <f t="shared" si="48"/>
        <v>2.9797003130874085E-3</v>
      </c>
      <c r="Q82" s="66">
        <f t="shared" si="48"/>
        <v>2.6003370852463368E-3</v>
      </c>
      <c r="R82" s="66">
        <f t="shared" si="48"/>
        <v>4.5874069138781403E-3</v>
      </c>
      <c r="S82" s="66">
        <f t="shared" si="48"/>
        <v>3.1810173854438591E-3</v>
      </c>
    </row>
    <row r="83" spans="2:19">
      <c r="B83" s="56" t="str">
        <f t="shared" si="39"/>
        <v>Other Expenses</v>
      </c>
      <c r="C83" s="66">
        <f t="shared" si="40"/>
        <v>2.7399972573007168E-2</v>
      </c>
      <c r="D83" s="66">
        <f t="shared" si="40"/>
        <v>1.9713901796218177E-2</v>
      </c>
      <c r="E83" s="66">
        <f t="shared" si="40"/>
        <v>1.8693964706876013E-2</v>
      </c>
      <c r="F83" s="66"/>
      <c r="G83" s="66">
        <f t="shared" ref="G83:S83" si="49">G71/G$86</f>
        <v>1.2006568637382326E-2</v>
      </c>
      <c r="H83" s="66">
        <f t="shared" si="49"/>
        <v>1.3161358005200623E-2</v>
      </c>
      <c r="I83" s="66">
        <f t="shared" si="49"/>
        <v>2.555353772740734E-2</v>
      </c>
      <c r="J83" s="66">
        <f t="shared" si="49"/>
        <v>1.6957699728593775E-2</v>
      </c>
      <c r="K83" s="66">
        <f t="shared" si="49"/>
        <v>5.676849069445428E-3</v>
      </c>
      <c r="L83" s="66">
        <f t="shared" si="49"/>
        <v>6.6343732581579495E-2</v>
      </c>
      <c r="M83" s="66">
        <f t="shared" si="49"/>
        <v>2.5117255615356344E-2</v>
      </c>
      <c r="N83" s="66">
        <f t="shared" si="49"/>
        <v>2.83675596964287E-2</v>
      </c>
      <c r="O83" s="66">
        <f t="shared" si="49"/>
        <v>4.1595479131654262E-2</v>
      </c>
      <c r="P83" s="66">
        <f t="shared" si="49"/>
        <v>-9.906896016373538E-3</v>
      </c>
      <c r="Q83" s="66">
        <f t="shared" si="49"/>
        <v>8.2359036201834438E-3</v>
      </c>
      <c r="R83" s="66">
        <f t="shared" si="49"/>
        <v>1.1555305408944592E-2</v>
      </c>
      <c r="S83" s="66">
        <f t="shared" si="4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>$E8*12</f>
        <v>159568</v>
      </c>
      <c r="G8" s="430">
        <f>IFERROR($E8/$C8,0)</f>
        <v>443.24444444444441</v>
      </c>
      <c r="H8" s="430">
        <f>IFERROR($Q8/$D8,0)</f>
        <v>57.217687074829932</v>
      </c>
      <c r="I8" s="434">
        <f>IFERROR($D8/$P8,0)</f>
        <v>8.1666666666666661</v>
      </c>
      <c r="J8" s="439">
        <f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>$E9*12</f>
        <v>113383</v>
      </c>
      <c r="G9" s="430">
        <f>IFERROR($E9/$C9,0)</f>
        <v>858.96212121212125</v>
      </c>
      <c r="H9" s="430">
        <f>IFERROR($Q9/$D9,0)</f>
        <v>0</v>
      </c>
      <c r="I9" s="434">
        <f>IFERROR($D9/$P9,0)</f>
        <v>0</v>
      </c>
      <c r="J9" s="439">
        <f>IFERROR($E9/$E$11,0)</f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>$E10*12</f>
        <v>16200</v>
      </c>
      <c r="G10" s="430">
        <f>IFERROR($E10/$C10,0)</f>
        <v>675</v>
      </c>
      <c r="H10" s="430">
        <f>IFERROR($Q10/$D10,0)</f>
        <v>0</v>
      </c>
      <c r="I10" s="434">
        <f>IFERROR($D10/$P10,0)</f>
        <v>0</v>
      </c>
      <c r="J10" s="439">
        <f>IFERROR($E10/$E$11,0)</f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0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1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2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0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1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2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0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1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2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0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1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2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0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1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2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0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1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2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59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30" zoomScaleNormal="130" zoomScaleSheetLayoutView="130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>EOMONTH(AC5,0)</f>
        <v>46265</v>
      </c>
      <c r="AD1" s="193">
        <f>EOMONTH(AD5,0)</f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2">EOMONTH(J5,0)+1</f>
        <v>45689</v>
      </c>
      <c r="L5" s="189">
        <f t="shared" si="2"/>
        <v>45717</v>
      </c>
      <c r="M5" s="189">
        <f t="shared" si="2"/>
        <v>45748</v>
      </c>
      <c r="N5" s="189">
        <f t="shared" si="2"/>
        <v>45778</v>
      </c>
      <c r="O5" s="189">
        <f t="shared" si="2"/>
        <v>45809</v>
      </c>
      <c r="P5" s="189">
        <f t="shared" si="2"/>
        <v>45839</v>
      </c>
      <c r="Q5" s="189">
        <v>45870</v>
      </c>
      <c r="R5" s="189">
        <f t="shared" ref="R5:AB5" si="3">EOMONTH(Q5,0)+1</f>
        <v>45901</v>
      </c>
      <c r="S5" s="189">
        <f t="shared" si="3"/>
        <v>45931</v>
      </c>
      <c r="T5" s="189">
        <f t="shared" si="3"/>
        <v>45962</v>
      </c>
      <c r="U5" s="189">
        <f t="shared" si="3"/>
        <v>45992</v>
      </c>
      <c r="V5" s="189">
        <f t="shared" si="3"/>
        <v>46023</v>
      </c>
      <c r="W5" s="189">
        <f t="shared" si="3"/>
        <v>46054</v>
      </c>
      <c r="X5" s="189">
        <f t="shared" si="3"/>
        <v>46082</v>
      </c>
      <c r="Y5" s="189">
        <f t="shared" si="3"/>
        <v>46113</v>
      </c>
      <c r="Z5" s="189">
        <f t="shared" si="3"/>
        <v>46143</v>
      </c>
      <c r="AA5" s="189">
        <f t="shared" si="3"/>
        <v>46174</v>
      </c>
      <c r="AB5" s="189">
        <f t="shared" si="3"/>
        <v>46204</v>
      </c>
      <c r="AC5" s="189">
        <f>EOMONTH(AB5,0)+1</f>
        <v>46235</v>
      </c>
      <c r="AD5" s="189">
        <f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4">+H13-H8-H12</f>
        <v>178</v>
      </c>
      <c r="J7" s="181">
        <f t="shared" ref="J7:P7" si="5">+J13-J8-J12</f>
        <v>145</v>
      </c>
      <c r="K7" s="181">
        <f t="shared" si="5"/>
        <v>147</v>
      </c>
      <c r="L7" s="181">
        <f t="shared" si="5"/>
        <v>148</v>
      </c>
      <c r="M7" s="181">
        <f t="shared" si="5"/>
        <v>154</v>
      </c>
      <c r="N7" s="181">
        <f t="shared" si="5"/>
        <v>159</v>
      </c>
      <c r="O7" s="181">
        <f t="shared" si="5"/>
        <v>165</v>
      </c>
      <c r="P7" s="181">
        <f t="shared" si="5"/>
        <v>165</v>
      </c>
      <c r="Q7" s="181">
        <f t="shared" si="4"/>
        <v>169</v>
      </c>
      <c r="R7" s="181">
        <f t="shared" si="4"/>
        <v>175</v>
      </c>
      <c r="S7" s="181">
        <f t="shared" si="4"/>
        <v>178</v>
      </c>
      <c r="T7" s="181">
        <f t="shared" si="4"/>
        <v>191</v>
      </c>
      <c r="U7" s="181">
        <f t="shared" si="4"/>
        <v>189</v>
      </c>
      <c r="V7" s="181">
        <f t="shared" si="4"/>
        <v>188</v>
      </c>
      <c r="W7" s="181">
        <f t="shared" si="4"/>
        <v>195</v>
      </c>
      <c r="X7" s="181">
        <f t="shared" si="4"/>
        <v>204</v>
      </c>
      <c r="Y7" s="181">
        <f t="shared" si="4"/>
        <v>203</v>
      </c>
      <c r="Z7" s="181">
        <f t="shared" si="4"/>
        <v>209</v>
      </c>
      <c r="AA7" s="181">
        <f>+AA13-AA8-AA12</f>
        <v>200</v>
      </c>
      <c r="AB7" s="181">
        <f>+AB13-AB8-AB12</f>
        <v>200</v>
      </c>
      <c r="AC7" s="181">
        <f>+AC13-AC8-AC12</f>
        <v>185</v>
      </c>
      <c r="AD7" s="181">
        <f>+AD13-AD8-AD12</f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>SUM(J9:U9)</f>
        <v>-33</v>
      </c>
      <c r="F9" s="194">
        <f>SUM(V9:AD9)</f>
        <v>-30</v>
      </c>
      <c r="H9" s="194">
        <f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>SUM(J10:U10)</f>
        <v>-24</v>
      </c>
      <c r="F10" s="194">
        <f>SUM(V10:AD10)</f>
        <v>-21</v>
      </c>
      <c r="H10" s="194">
        <f>SUM(S10:AD10)</f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>SUM(J11:U11)</f>
        <v>-2</v>
      </c>
      <c r="F11" s="194">
        <f>SUM(V11:AD11)</f>
        <v>-9</v>
      </c>
      <c r="H11" s="194">
        <f>SUM(S11:AD11)</f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:P13" si="6">+K7</f>
        <v>147</v>
      </c>
      <c r="K13" s="257">
        <f t="shared" si="6"/>
        <v>148</v>
      </c>
      <c r="L13" s="257">
        <f t="shared" si="6"/>
        <v>154</v>
      </c>
      <c r="M13" s="257">
        <f t="shared" si="6"/>
        <v>159</v>
      </c>
      <c r="N13" s="257">
        <f t="shared" si="6"/>
        <v>165</v>
      </c>
      <c r="O13" s="257">
        <f t="shared" si="6"/>
        <v>165</v>
      </c>
      <c r="P13" s="257">
        <f t="shared" si="6"/>
        <v>169</v>
      </c>
      <c r="Q13" s="257">
        <f t="shared" ref="Q13:Y13" si="7">+R7</f>
        <v>175</v>
      </c>
      <c r="R13" s="257">
        <f t="shared" si="7"/>
        <v>178</v>
      </c>
      <c r="S13" s="259">
        <f t="shared" si="7"/>
        <v>191</v>
      </c>
      <c r="T13" s="257">
        <f t="shared" si="7"/>
        <v>189</v>
      </c>
      <c r="U13" s="257">
        <f t="shared" si="7"/>
        <v>188</v>
      </c>
      <c r="V13" s="257">
        <f t="shared" si="7"/>
        <v>195</v>
      </c>
      <c r="W13" s="257">
        <f t="shared" si="7"/>
        <v>204</v>
      </c>
      <c r="X13" s="257">
        <f t="shared" si="7"/>
        <v>203</v>
      </c>
      <c r="Y13" s="257">
        <f t="shared" si="7"/>
        <v>209</v>
      </c>
      <c r="Z13" s="257">
        <f>+AA7</f>
        <v>200</v>
      </c>
      <c r="AA13" s="257">
        <f>+AB7</f>
        <v>200</v>
      </c>
      <c r="AB13" s="257">
        <f>+AC7</f>
        <v>185</v>
      </c>
      <c r="AC13" s="257">
        <f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8">AVERAGE(K7,K13)</f>
        <v>147.5</v>
      </c>
      <c r="L15" s="257">
        <f t="shared" si="8"/>
        <v>151</v>
      </c>
      <c r="M15" s="257">
        <f t="shared" si="8"/>
        <v>156.5</v>
      </c>
      <c r="N15" s="257">
        <f t="shared" si="8"/>
        <v>162</v>
      </c>
      <c r="O15" s="257">
        <f t="shared" si="8"/>
        <v>165</v>
      </c>
      <c r="P15" s="257">
        <f t="shared" si="8"/>
        <v>167</v>
      </c>
      <c r="Q15" s="257">
        <f t="shared" si="8"/>
        <v>172</v>
      </c>
      <c r="R15" s="257">
        <f t="shared" si="8"/>
        <v>176.5</v>
      </c>
      <c r="S15" s="259">
        <f t="shared" si="8"/>
        <v>184.5</v>
      </c>
      <c r="T15" s="257">
        <f t="shared" si="8"/>
        <v>190</v>
      </c>
      <c r="U15" s="257">
        <f t="shared" si="8"/>
        <v>188.5</v>
      </c>
      <c r="V15" s="257">
        <f t="shared" si="8"/>
        <v>191.5</v>
      </c>
      <c r="W15" s="257">
        <f t="shared" si="8"/>
        <v>199.5</v>
      </c>
      <c r="X15" s="257">
        <f t="shared" si="8"/>
        <v>203.5</v>
      </c>
      <c r="Y15" s="257">
        <f t="shared" si="8"/>
        <v>206</v>
      </c>
      <c r="Z15" s="257">
        <f t="shared" si="8"/>
        <v>204.5</v>
      </c>
      <c r="AA15" s="257">
        <f t="shared" si="8"/>
        <v>200</v>
      </c>
      <c r="AB15" s="257">
        <f t="shared" si="8"/>
        <v>192.5</v>
      </c>
      <c r="AC15" s="257">
        <f t="shared" si="8"/>
        <v>185.5</v>
      </c>
      <c r="AD15" s="260">
        <f t="shared" si="8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9">(J8+J7)/J7-1</f>
        <v>6.2068965517241281E-2</v>
      </c>
      <c r="K17" s="233">
        <f t="shared" si="9"/>
        <v>3.4013605442176909E-2</v>
      </c>
      <c r="L17" s="233">
        <f t="shared" si="9"/>
        <v>5.4054054054053946E-2</v>
      </c>
      <c r="M17" s="233">
        <f t="shared" si="9"/>
        <v>5.8441558441558517E-2</v>
      </c>
      <c r="N17" s="233">
        <f t="shared" si="9"/>
        <v>5.6603773584905648E-2</v>
      </c>
      <c r="O17" s="233">
        <f t="shared" si="9"/>
        <v>4.2424242424242475E-2</v>
      </c>
      <c r="P17" s="233">
        <f t="shared" si="9"/>
        <v>4.2424242424242475E-2</v>
      </c>
      <c r="Q17" s="233">
        <f t="shared" si="9"/>
        <v>4.7337278106508895E-2</v>
      </c>
      <c r="R17" s="233">
        <f t="shared" si="9"/>
        <v>4.5714285714285818E-2</v>
      </c>
      <c r="S17" s="243">
        <f t="shared" si="9"/>
        <v>7.8651685393258397E-2</v>
      </c>
      <c r="T17" s="233">
        <f t="shared" si="9"/>
        <v>3.6649214659685958E-2</v>
      </c>
      <c r="U17" s="233">
        <f t="shared" si="9"/>
        <v>5.8201058201058142E-2</v>
      </c>
      <c r="V17" s="233">
        <f t="shared" si="9"/>
        <v>5.8510638297872397E-2</v>
      </c>
      <c r="W17" s="233">
        <f t="shared" si="9"/>
        <v>5.6410256410256432E-2</v>
      </c>
      <c r="X17" s="233">
        <f t="shared" si="9"/>
        <v>2.9411764705882248E-2</v>
      </c>
      <c r="Y17" s="233">
        <f t="shared" si="9"/>
        <v>5.4187192118226646E-2</v>
      </c>
      <c r="Z17" s="233">
        <f t="shared" si="9"/>
        <v>3.3492822966507241E-2</v>
      </c>
      <c r="AA17" s="233">
        <f t="shared" si="9"/>
        <v>2.0000000000000018E-2</v>
      </c>
      <c r="AB17" s="233">
        <f t="shared" si="9"/>
        <v>2.4999999999999911E-2</v>
      </c>
      <c r="AC17" s="233">
        <f>(AC8+AC7)/AC7-1</f>
        <v>1.6216216216216273E-2</v>
      </c>
      <c r="AD17" s="244">
        <f>(AD8+AD7)/AD7-1</f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10">(J12+J15)/J15-1</f>
        <v>-4.7945205479452024E-2</v>
      </c>
      <c r="K18" s="236">
        <f t="shared" si="10"/>
        <v>-2.7118644067796627E-2</v>
      </c>
      <c r="L18" s="236">
        <f t="shared" si="10"/>
        <v>-1.3245033112582738E-2</v>
      </c>
      <c r="M18" s="236">
        <f t="shared" si="10"/>
        <v>-2.5559105431309903E-2</v>
      </c>
      <c r="N18" s="236">
        <f t="shared" si="10"/>
        <v>-1.851851851851849E-2</v>
      </c>
      <c r="O18" s="236">
        <f t="shared" si="10"/>
        <v>-4.2424242424242475E-2</v>
      </c>
      <c r="P18" s="236">
        <f t="shared" si="10"/>
        <v>-1.7964071856287456E-2</v>
      </c>
      <c r="Q18" s="236">
        <f t="shared" si="10"/>
        <v>-1.1627906976744207E-2</v>
      </c>
      <c r="R18" s="236">
        <f t="shared" si="10"/>
        <v>-2.8328611898016942E-2</v>
      </c>
      <c r="S18" s="238">
        <f t="shared" si="10"/>
        <v>-5.4200542005420349E-3</v>
      </c>
      <c r="T18" s="236">
        <f t="shared" si="10"/>
        <v>-4.7368421052631615E-2</v>
      </c>
      <c r="U18" s="236">
        <f t="shared" si="10"/>
        <v>-6.3660477453580944E-2</v>
      </c>
      <c r="V18" s="236">
        <f t="shared" si="10"/>
        <v>-2.0887728459530019E-2</v>
      </c>
      <c r="W18" s="236">
        <f t="shared" si="10"/>
        <v>-1.0025062656641603E-2</v>
      </c>
      <c r="X18" s="236">
        <f t="shared" si="10"/>
        <v>-3.4398034398034349E-2</v>
      </c>
      <c r="Y18" s="236">
        <f t="shared" si="10"/>
        <v>-2.4271844660194164E-2</v>
      </c>
      <c r="Z18" s="236">
        <f t="shared" si="10"/>
        <v>-7.8239608801956018E-2</v>
      </c>
      <c r="AA18" s="236">
        <f t="shared" si="10"/>
        <v>-2.0000000000000018E-2</v>
      </c>
      <c r="AB18" s="236">
        <f t="shared" si="10"/>
        <v>-0.10389610389610393</v>
      </c>
      <c r="AC18" s="236">
        <f t="shared" si="10"/>
        <v>-1.0781671159029615E-2</v>
      </c>
      <c r="AD18" s="237">
        <f t="shared" si="10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:P20" si="11">EOMONTH(J20,0)+1</f>
        <v>45689</v>
      </c>
      <c r="L20" s="189">
        <f t="shared" si="11"/>
        <v>45717</v>
      </c>
      <c r="M20" s="189">
        <f t="shared" si="11"/>
        <v>45748</v>
      </c>
      <c r="N20" s="189">
        <f t="shared" si="11"/>
        <v>45778</v>
      </c>
      <c r="O20" s="189">
        <f t="shared" si="11"/>
        <v>45809</v>
      </c>
      <c r="P20" s="189">
        <f t="shared" si="11"/>
        <v>45839</v>
      </c>
      <c r="Q20" s="189">
        <v>45870</v>
      </c>
      <c r="R20" s="189">
        <f t="shared" ref="R20:AD20" si="12">EOMONTH(Q20,0)+1</f>
        <v>45901</v>
      </c>
      <c r="S20" s="189">
        <f t="shared" si="12"/>
        <v>45931</v>
      </c>
      <c r="T20" s="189">
        <f t="shared" si="12"/>
        <v>45962</v>
      </c>
      <c r="U20" s="189">
        <f t="shared" si="12"/>
        <v>45992</v>
      </c>
      <c r="V20" s="189">
        <f t="shared" si="12"/>
        <v>46023</v>
      </c>
      <c r="W20" s="189">
        <f t="shared" si="12"/>
        <v>46054</v>
      </c>
      <c r="X20" s="189">
        <f t="shared" si="12"/>
        <v>46082</v>
      </c>
      <c r="Y20" s="189">
        <f t="shared" si="12"/>
        <v>46113</v>
      </c>
      <c r="Z20" s="189">
        <f t="shared" si="12"/>
        <v>46143</v>
      </c>
      <c r="AA20" s="189">
        <f t="shared" si="12"/>
        <v>46174</v>
      </c>
      <c r="AB20" s="189">
        <f t="shared" si="12"/>
        <v>46204</v>
      </c>
      <c r="AC20" s="189">
        <f t="shared" si="12"/>
        <v>46235</v>
      </c>
      <c r="AD20" s="189">
        <f t="shared" si="12"/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>+H28-H23-H27</f>
        <v>151</v>
      </c>
      <c r="J22" s="181">
        <f t="shared" ref="J22:Z22" si="13">+J28-J23-J27</f>
        <v>113</v>
      </c>
      <c r="K22" s="181">
        <f t="shared" si="13"/>
        <v>118</v>
      </c>
      <c r="L22" s="181">
        <f t="shared" si="13"/>
        <v>120</v>
      </c>
      <c r="M22" s="181">
        <f t="shared" si="13"/>
        <v>126</v>
      </c>
      <c r="N22" s="181">
        <f t="shared" si="13"/>
        <v>131</v>
      </c>
      <c r="O22" s="181">
        <f t="shared" si="13"/>
        <v>138</v>
      </c>
      <c r="P22" s="181">
        <f t="shared" si="13"/>
        <v>138</v>
      </c>
      <c r="Q22" s="181">
        <f t="shared" si="13"/>
        <v>143</v>
      </c>
      <c r="R22" s="181">
        <f t="shared" si="13"/>
        <v>148</v>
      </c>
      <c r="S22" s="181">
        <f t="shared" si="13"/>
        <v>151</v>
      </c>
      <c r="T22" s="181">
        <f t="shared" si="13"/>
        <v>156</v>
      </c>
      <c r="U22" s="181">
        <f t="shared" si="13"/>
        <v>155</v>
      </c>
      <c r="V22" s="181">
        <f t="shared" si="13"/>
        <v>157</v>
      </c>
      <c r="W22" s="181">
        <f t="shared" si="13"/>
        <v>164</v>
      </c>
      <c r="X22" s="181">
        <f t="shared" si="13"/>
        <v>172</v>
      </c>
      <c r="Y22" s="181">
        <f t="shared" si="13"/>
        <v>173</v>
      </c>
      <c r="Z22" s="181">
        <f t="shared" si="13"/>
        <v>179</v>
      </c>
      <c r="AA22" s="181">
        <f>+AA28-AA23-AA27</f>
        <v>171</v>
      </c>
      <c r="AB22" s="181">
        <f>+AB28-AB23-AB27</f>
        <v>171</v>
      </c>
      <c r="AC22" s="181">
        <f>+AC28-AC23-AC27</f>
        <v>172</v>
      </c>
      <c r="AD22" s="181">
        <f>+AD28-AD23-AD27</f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14">+J38+J53+J83</f>
        <v>9</v>
      </c>
      <c r="K23" s="192">
        <f t="shared" si="14"/>
        <v>5</v>
      </c>
      <c r="L23" s="192">
        <f t="shared" si="14"/>
        <v>8</v>
      </c>
      <c r="M23" s="192">
        <f t="shared" si="14"/>
        <v>9</v>
      </c>
      <c r="N23" s="192">
        <f t="shared" si="14"/>
        <v>9</v>
      </c>
      <c r="O23" s="192">
        <f t="shared" si="14"/>
        <v>6</v>
      </c>
      <c r="P23" s="192">
        <f t="shared" si="14"/>
        <v>7</v>
      </c>
      <c r="Q23" s="192">
        <f t="shared" si="14"/>
        <v>7</v>
      </c>
      <c r="R23" s="192">
        <f t="shared" si="14"/>
        <v>6</v>
      </c>
      <c r="S23" s="192">
        <f t="shared" si="14"/>
        <v>6</v>
      </c>
      <c r="T23" s="192">
        <f t="shared" si="14"/>
        <v>7</v>
      </c>
      <c r="U23" s="192">
        <f t="shared" si="14"/>
        <v>11</v>
      </c>
      <c r="V23" s="192">
        <f t="shared" si="14"/>
        <v>10</v>
      </c>
      <c r="W23" s="192">
        <f t="shared" si="14"/>
        <v>9</v>
      </c>
      <c r="X23" s="192">
        <f t="shared" si="14"/>
        <v>6</v>
      </c>
      <c r="Y23" s="192">
        <f t="shared" si="14"/>
        <v>11</v>
      </c>
      <c r="Z23" s="192">
        <f t="shared" si="14"/>
        <v>7</v>
      </c>
      <c r="AA23" s="192">
        <f t="shared" si="14"/>
        <v>4</v>
      </c>
      <c r="AB23" s="192">
        <f t="shared" si="14"/>
        <v>5</v>
      </c>
      <c r="AC23" s="192">
        <f t="shared" si="14"/>
        <v>3</v>
      </c>
      <c r="AD23" s="192">
        <f t="shared" si="14"/>
        <v>4</v>
      </c>
    </row>
    <row r="24" spans="2:34">
      <c r="B24" s="262" t="s">
        <v>1528</v>
      </c>
      <c r="E24" s="194">
        <f>SUM(J24:U24)</f>
        <v>-26</v>
      </c>
      <c r="F24" s="194">
        <f>SUM(V24:AD24)</f>
        <v>-25</v>
      </c>
      <c r="H24" s="194">
        <f>SUM(S24:AD24)</f>
        <v>-34</v>
      </c>
      <c r="J24" s="192">
        <f t="shared" ref="J24:AD24" si="15">+J39+J54+J84</f>
        <v>0</v>
      </c>
      <c r="K24" s="192">
        <f t="shared" si="15"/>
        <v>-2</v>
      </c>
      <c r="L24" s="192">
        <f t="shared" si="15"/>
        <v>-1</v>
      </c>
      <c r="M24" s="192">
        <f t="shared" si="15"/>
        <v>-3</v>
      </c>
      <c r="N24" s="192">
        <f t="shared" si="15"/>
        <v>0</v>
      </c>
      <c r="O24" s="192">
        <f t="shared" si="15"/>
        <v>-5</v>
      </c>
      <c r="P24" s="192">
        <f t="shared" si="15"/>
        <v>-2</v>
      </c>
      <c r="Q24" s="192">
        <f t="shared" si="15"/>
        <v>-2</v>
      </c>
      <c r="R24" s="192">
        <f t="shared" si="15"/>
        <v>-2</v>
      </c>
      <c r="S24" s="192">
        <f t="shared" si="15"/>
        <v>-1</v>
      </c>
      <c r="T24" s="192">
        <f t="shared" si="15"/>
        <v>-3</v>
      </c>
      <c r="U24" s="192">
        <f t="shared" si="15"/>
        <v>-5</v>
      </c>
      <c r="V24" s="192">
        <f t="shared" si="15"/>
        <v>-1</v>
      </c>
      <c r="W24" s="192">
        <f t="shared" si="15"/>
        <v>-1</v>
      </c>
      <c r="X24" s="192">
        <f t="shared" si="15"/>
        <v>-2</v>
      </c>
      <c r="Y24" s="192">
        <f t="shared" si="15"/>
        <v>-3</v>
      </c>
      <c r="Z24" s="192">
        <f t="shared" si="15"/>
        <v>-12</v>
      </c>
      <c r="AA24" s="192">
        <f t="shared" si="15"/>
        <v>-4</v>
      </c>
      <c r="AB24" s="192">
        <f t="shared" si="15"/>
        <v>-2</v>
      </c>
      <c r="AC24" s="192">
        <f t="shared" si="15"/>
        <v>0</v>
      </c>
      <c r="AD24" s="192">
        <f t="shared" si="15"/>
        <v>0</v>
      </c>
    </row>
    <row r="25" spans="2:34">
      <c r="B25" s="262" t="s">
        <v>1529</v>
      </c>
      <c r="E25" s="194">
        <f>SUM(J25:U25)</f>
        <v>-20</v>
      </c>
      <c r="F25" s="194">
        <f>SUM(V25:AD25)</f>
        <v>-6</v>
      </c>
      <c r="H25" s="194">
        <f>SUM(S25:AD25)</f>
        <v>-15</v>
      </c>
      <c r="J25" s="192">
        <f t="shared" ref="J25:AD25" si="16">+J40+J55+J85</f>
        <v>-4</v>
      </c>
      <c r="K25" s="192">
        <f t="shared" si="16"/>
        <v>-1</v>
      </c>
      <c r="L25" s="192">
        <f t="shared" si="16"/>
        <v>-1</v>
      </c>
      <c r="M25" s="192">
        <f t="shared" si="16"/>
        <v>-1</v>
      </c>
      <c r="N25" s="192">
        <f t="shared" si="16"/>
        <v>-2</v>
      </c>
      <c r="O25" s="192">
        <f t="shared" si="16"/>
        <v>-1</v>
      </c>
      <c r="P25" s="192">
        <f t="shared" si="16"/>
        <v>0</v>
      </c>
      <c r="Q25" s="192">
        <f t="shared" si="16"/>
        <v>0</v>
      </c>
      <c r="R25" s="192">
        <f t="shared" si="16"/>
        <v>-1</v>
      </c>
      <c r="S25" s="192">
        <f t="shared" si="16"/>
        <v>0</v>
      </c>
      <c r="T25" s="192">
        <f t="shared" si="16"/>
        <v>-5</v>
      </c>
      <c r="U25" s="192">
        <f t="shared" si="16"/>
        <v>-4</v>
      </c>
      <c r="V25" s="192">
        <f t="shared" si="16"/>
        <v>-2</v>
      </c>
      <c r="W25" s="192">
        <f t="shared" si="16"/>
        <v>0</v>
      </c>
      <c r="X25" s="192">
        <f t="shared" si="16"/>
        <v>0</v>
      </c>
      <c r="Y25" s="192">
        <f t="shared" si="16"/>
        <v>-1</v>
      </c>
      <c r="Z25" s="192">
        <f t="shared" si="16"/>
        <v>-2</v>
      </c>
      <c r="AA25" s="192">
        <f t="shared" si="16"/>
        <v>0</v>
      </c>
      <c r="AB25" s="192">
        <f t="shared" si="16"/>
        <v>-1</v>
      </c>
      <c r="AC25" s="192">
        <f t="shared" si="16"/>
        <v>0</v>
      </c>
      <c r="AD25" s="192">
        <f t="shared" si="16"/>
        <v>0</v>
      </c>
    </row>
    <row r="26" spans="2:34">
      <c r="B26" s="262" t="s">
        <v>1530</v>
      </c>
      <c r="E26" s="194">
        <f>SUM(J26:U26)</f>
        <v>0</v>
      </c>
      <c r="F26" s="194">
        <f>SUM(V26:AD26)</f>
        <v>-8</v>
      </c>
      <c r="H26" s="194">
        <f>SUM(S26:AD26)</f>
        <v>-8</v>
      </c>
      <c r="J26" s="192">
        <f t="shared" ref="J26:AD26" si="17">+J41+J56+J86</f>
        <v>0</v>
      </c>
      <c r="K26" s="192">
        <f t="shared" si="17"/>
        <v>0</v>
      </c>
      <c r="L26" s="192">
        <f t="shared" si="17"/>
        <v>0</v>
      </c>
      <c r="M26" s="192">
        <f t="shared" si="17"/>
        <v>0</v>
      </c>
      <c r="N26" s="192">
        <f t="shared" si="17"/>
        <v>0</v>
      </c>
      <c r="O26" s="192">
        <f t="shared" si="17"/>
        <v>0</v>
      </c>
      <c r="P26" s="192">
        <f t="shared" si="17"/>
        <v>0</v>
      </c>
      <c r="Q26" s="192">
        <f t="shared" si="17"/>
        <v>0</v>
      </c>
      <c r="R26" s="192">
        <f t="shared" si="17"/>
        <v>0</v>
      </c>
      <c r="S26" s="192">
        <f t="shared" si="17"/>
        <v>0</v>
      </c>
      <c r="T26" s="192">
        <f t="shared" si="17"/>
        <v>0</v>
      </c>
      <c r="U26" s="192">
        <f t="shared" si="17"/>
        <v>0</v>
      </c>
      <c r="V26" s="192">
        <f t="shared" si="17"/>
        <v>0</v>
      </c>
      <c r="W26" s="192">
        <f t="shared" si="17"/>
        <v>0</v>
      </c>
      <c r="X26" s="192">
        <f t="shared" si="17"/>
        <v>-3</v>
      </c>
      <c r="Y26" s="192">
        <f t="shared" si="17"/>
        <v>-1</v>
      </c>
      <c r="Z26" s="192">
        <f t="shared" si="17"/>
        <v>-1</v>
      </c>
      <c r="AA26" s="192">
        <f t="shared" si="17"/>
        <v>0</v>
      </c>
      <c r="AB26" s="192">
        <f t="shared" si="17"/>
        <v>-1</v>
      </c>
      <c r="AC26" s="192">
        <f t="shared" si="17"/>
        <v>-2</v>
      </c>
      <c r="AD26" s="192">
        <f t="shared" si="17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18">+J42+J57+J87</f>
        <v>-4</v>
      </c>
      <c r="K27" s="255">
        <f t="shared" si="18"/>
        <v>-3</v>
      </c>
      <c r="L27" s="255">
        <f t="shared" si="18"/>
        <v>-2</v>
      </c>
      <c r="M27" s="255">
        <f t="shared" si="18"/>
        <v>-4</v>
      </c>
      <c r="N27" s="255">
        <f t="shared" si="18"/>
        <v>-2</v>
      </c>
      <c r="O27" s="255">
        <f t="shared" si="18"/>
        <v>-6</v>
      </c>
      <c r="P27" s="255">
        <f t="shared" si="18"/>
        <v>-2</v>
      </c>
      <c r="Q27" s="255">
        <f t="shared" si="18"/>
        <v>-2</v>
      </c>
      <c r="R27" s="255">
        <f t="shared" si="18"/>
        <v>-3</v>
      </c>
      <c r="S27" s="255">
        <f t="shared" si="18"/>
        <v>-1</v>
      </c>
      <c r="T27" s="255">
        <f t="shared" si="18"/>
        <v>-8</v>
      </c>
      <c r="U27" s="255">
        <f t="shared" si="18"/>
        <v>-9</v>
      </c>
      <c r="V27" s="255">
        <f t="shared" si="18"/>
        <v>-3</v>
      </c>
      <c r="W27" s="255">
        <f t="shared" si="18"/>
        <v>-1</v>
      </c>
      <c r="X27" s="255">
        <f t="shared" si="18"/>
        <v>-5</v>
      </c>
      <c r="Y27" s="255">
        <f t="shared" si="18"/>
        <v>-5</v>
      </c>
      <c r="Z27" s="255">
        <f t="shared" si="18"/>
        <v>-15</v>
      </c>
      <c r="AA27" s="255">
        <f t="shared" si="18"/>
        <v>-4</v>
      </c>
      <c r="AB27" s="255">
        <f t="shared" si="18"/>
        <v>-4</v>
      </c>
      <c r="AC27" s="255">
        <f t="shared" si="18"/>
        <v>-2</v>
      </c>
      <c r="AD27" s="255">
        <f t="shared" si="18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:AA28" si="19">+K22</f>
        <v>118</v>
      </c>
      <c r="K28" s="257">
        <f t="shared" si="19"/>
        <v>120</v>
      </c>
      <c r="L28" s="257">
        <f t="shared" si="19"/>
        <v>126</v>
      </c>
      <c r="M28" s="257">
        <f t="shared" si="19"/>
        <v>131</v>
      </c>
      <c r="N28" s="257">
        <f t="shared" si="19"/>
        <v>138</v>
      </c>
      <c r="O28" s="257">
        <f t="shared" si="19"/>
        <v>138</v>
      </c>
      <c r="P28" s="257">
        <f t="shared" si="19"/>
        <v>143</v>
      </c>
      <c r="Q28" s="257">
        <f t="shared" si="19"/>
        <v>148</v>
      </c>
      <c r="R28" s="257">
        <f t="shared" si="19"/>
        <v>151</v>
      </c>
      <c r="S28" s="259">
        <f t="shared" si="19"/>
        <v>156</v>
      </c>
      <c r="T28" s="257">
        <f t="shared" si="19"/>
        <v>155</v>
      </c>
      <c r="U28" s="257">
        <f t="shared" si="19"/>
        <v>157</v>
      </c>
      <c r="V28" s="257">
        <f t="shared" si="19"/>
        <v>164</v>
      </c>
      <c r="W28" s="257">
        <f t="shared" si="19"/>
        <v>172</v>
      </c>
      <c r="X28" s="257">
        <f t="shared" si="19"/>
        <v>173</v>
      </c>
      <c r="Y28" s="257">
        <f t="shared" si="19"/>
        <v>179</v>
      </c>
      <c r="Z28" s="257">
        <f t="shared" si="19"/>
        <v>171</v>
      </c>
      <c r="AA28" s="257">
        <f t="shared" si="19"/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20">AVERAGE(K22,K28)</f>
        <v>119</v>
      </c>
      <c r="L30" s="257">
        <f t="shared" si="20"/>
        <v>123</v>
      </c>
      <c r="M30" s="257">
        <f t="shared" si="20"/>
        <v>128.5</v>
      </c>
      <c r="N30" s="257">
        <f t="shared" si="20"/>
        <v>134.5</v>
      </c>
      <c r="O30" s="257">
        <f t="shared" si="20"/>
        <v>138</v>
      </c>
      <c r="P30" s="257">
        <f t="shared" si="20"/>
        <v>140.5</v>
      </c>
      <c r="Q30" s="257">
        <f t="shared" si="20"/>
        <v>145.5</v>
      </c>
      <c r="R30" s="257">
        <f t="shared" si="20"/>
        <v>149.5</v>
      </c>
      <c r="S30" s="259">
        <f t="shared" si="20"/>
        <v>153.5</v>
      </c>
      <c r="T30" s="257">
        <f t="shared" si="20"/>
        <v>155.5</v>
      </c>
      <c r="U30" s="257">
        <f t="shared" si="20"/>
        <v>156</v>
      </c>
      <c r="V30" s="257">
        <f t="shared" si="20"/>
        <v>160.5</v>
      </c>
      <c r="W30" s="257">
        <f t="shared" si="20"/>
        <v>168</v>
      </c>
      <c r="X30" s="257">
        <f t="shared" si="20"/>
        <v>172.5</v>
      </c>
      <c r="Y30" s="257">
        <f t="shared" si="20"/>
        <v>176</v>
      </c>
      <c r="Z30" s="257">
        <f t="shared" si="20"/>
        <v>175</v>
      </c>
      <c r="AA30" s="257">
        <f t="shared" si="20"/>
        <v>171</v>
      </c>
      <c r="AB30" s="257">
        <f t="shared" si="20"/>
        <v>171.5</v>
      </c>
      <c r="AC30" s="257">
        <f t="shared" si="20"/>
        <v>172.5</v>
      </c>
      <c r="AD30" s="260">
        <f t="shared" si="20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21">(J23+J22)/J22-1</f>
        <v>7.9646017699114946E-2</v>
      </c>
      <c r="K32" s="233">
        <f t="shared" si="21"/>
        <v>4.2372881355932313E-2</v>
      </c>
      <c r="L32" s="233">
        <f t="shared" si="21"/>
        <v>6.6666666666666652E-2</v>
      </c>
      <c r="M32" s="233">
        <f t="shared" si="21"/>
        <v>7.1428571428571397E-2</v>
      </c>
      <c r="N32" s="233">
        <f t="shared" si="21"/>
        <v>6.8702290076335881E-2</v>
      </c>
      <c r="O32" s="233">
        <f t="shared" si="21"/>
        <v>4.3478260869565188E-2</v>
      </c>
      <c r="P32" s="233">
        <f t="shared" si="21"/>
        <v>5.0724637681159424E-2</v>
      </c>
      <c r="Q32" s="233">
        <f t="shared" si="21"/>
        <v>4.8951048951048959E-2</v>
      </c>
      <c r="R32" s="233">
        <f t="shared" si="21"/>
        <v>4.0540540540540571E-2</v>
      </c>
      <c r="S32" s="243">
        <f t="shared" si="21"/>
        <v>3.9735099337748325E-2</v>
      </c>
      <c r="T32" s="233">
        <f t="shared" si="21"/>
        <v>4.4871794871794934E-2</v>
      </c>
      <c r="U32" s="233">
        <f t="shared" si="21"/>
        <v>7.0967741935483941E-2</v>
      </c>
      <c r="V32" s="233">
        <f t="shared" si="21"/>
        <v>6.3694267515923553E-2</v>
      </c>
      <c r="W32" s="233">
        <f t="shared" si="21"/>
        <v>5.4878048780487854E-2</v>
      </c>
      <c r="X32" s="233">
        <f t="shared" si="21"/>
        <v>3.488372093023262E-2</v>
      </c>
      <c r="Y32" s="233">
        <f t="shared" si="21"/>
        <v>6.3583815028901647E-2</v>
      </c>
      <c r="Z32" s="233">
        <f t="shared" si="21"/>
        <v>3.9106145251396551E-2</v>
      </c>
      <c r="AA32" s="233">
        <f t="shared" si="21"/>
        <v>2.3391812865497075E-2</v>
      </c>
      <c r="AB32" s="233">
        <f t="shared" si="21"/>
        <v>2.9239766081871288E-2</v>
      </c>
      <c r="AC32" s="233">
        <f>(AC23+AC22)/AC22-1</f>
        <v>1.744186046511631E-2</v>
      </c>
      <c r="AD32" s="244">
        <f>(AD23+AD22)/AD22-1</f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22">(J27+J30)/J30-1</f>
        <v>-3.4632034632034681E-2</v>
      </c>
      <c r="K33" s="236">
        <f t="shared" si="22"/>
        <v>-2.5210084033613467E-2</v>
      </c>
      <c r="L33" s="236">
        <f t="shared" si="22"/>
        <v>-1.6260162601625994E-2</v>
      </c>
      <c r="M33" s="236">
        <f t="shared" si="22"/>
        <v>-3.1128404669260701E-2</v>
      </c>
      <c r="N33" s="236">
        <f t="shared" si="22"/>
        <v>-1.4869888475836479E-2</v>
      </c>
      <c r="O33" s="236">
        <f t="shared" si="22"/>
        <v>-4.3478260869565188E-2</v>
      </c>
      <c r="P33" s="236">
        <f t="shared" si="22"/>
        <v>-1.4234875444839812E-2</v>
      </c>
      <c r="Q33" s="236">
        <f t="shared" si="22"/>
        <v>-1.3745704467353903E-2</v>
      </c>
      <c r="R33" s="236">
        <f t="shared" si="22"/>
        <v>-2.006688963210701E-2</v>
      </c>
      <c r="S33" s="238">
        <f t="shared" si="22"/>
        <v>-6.514657980456029E-3</v>
      </c>
      <c r="T33" s="236">
        <f t="shared" si="22"/>
        <v>-5.144694533762062E-2</v>
      </c>
      <c r="U33" s="236">
        <f t="shared" si="22"/>
        <v>-5.7692307692307709E-2</v>
      </c>
      <c r="V33" s="236">
        <f t="shared" si="22"/>
        <v>-1.8691588785046731E-2</v>
      </c>
      <c r="W33" s="236">
        <f t="shared" si="22"/>
        <v>-5.9523809523809312E-3</v>
      </c>
      <c r="X33" s="236">
        <f t="shared" si="22"/>
        <v>-2.8985507246376829E-2</v>
      </c>
      <c r="Y33" s="236">
        <f t="shared" si="22"/>
        <v>-2.8409090909090939E-2</v>
      </c>
      <c r="Z33" s="236">
        <f t="shared" si="22"/>
        <v>-8.5714285714285743E-2</v>
      </c>
      <c r="AA33" s="236">
        <f t="shared" si="22"/>
        <v>-2.3391812865497075E-2</v>
      </c>
      <c r="AB33" s="236">
        <f t="shared" si="22"/>
        <v>-2.3323615160349864E-2</v>
      </c>
      <c r="AC33" s="236">
        <f t="shared" si="22"/>
        <v>-1.1594202898550732E-2</v>
      </c>
      <c r="AD33" s="237">
        <f t="shared" si="2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:P35" si="23">EOMONTH(J35,0)+1</f>
        <v>45689</v>
      </c>
      <c r="L35" s="189">
        <f t="shared" si="23"/>
        <v>45717</v>
      </c>
      <c r="M35" s="189">
        <f t="shared" si="23"/>
        <v>45748</v>
      </c>
      <c r="N35" s="189">
        <f t="shared" si="23"/>
        <v>45778</v>
      </c>
      <c r="O35" s="189">
        <f t="shared" si="23"/>
        <v>45809</v>
      </c>
      <c r="P35" s="189">
        <f t="shared" si="23"/>
        <v>45839</v>
      </c>
      <c r="Q35" s="189">
        <v>45870</v>
      </c>
      <c r="R35" s="189">
        <f t="shared" ref="R35:AD35" si="24">EOMONTH(Q35,0)+1</f>
        <v>45901</v>
      </c>
      <c r="S35" s="189">
        <f t="shared" si="24"/>
        <v>45931</v>
      </c>
      <c r="T35" s="189">
        <f t="shared" si="24"/>
        <v>45962</v>
      </c>
      <c r="U35" s="189">
        <f t="shared" si="24"/>
        <v>45992</v>
      </c>
      <c r="V35" s="189">
        <f t="shared" si="24"/>
        <v>46023</v>
      </c>
      <c r="W35" s="189">
        <f t="shared" si="24"/>
        <v>46054</v>
      </c>
      <c r="X35" s="189">
        <f t="shared" si="24"/>
        <v>46082</v>
      </c>
      <c r="Y35" s="189">
        <f t="shared" si="24"/>
        <v>46113</v>
      </c>
      <c r="Z35" s="189">
        <f t="shared" si="24"/>
        <v>46143</v>
      </c>
      <c r="AA35" s="189">
        <f t="shared" si="24"/>
        <v>46174</v>
      </c>
      <c r="AB35" s="189">
        <f t="shared" si="24"/>
        <v>46204</v>
      </c>
      <c r="AC35" s="189">
        <f t="shared" si="24"/>
        <v>46235</v>
      </c>
      <c r="AD35" s="189">
        <f t="shared" si="24"/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25">+J43-J38-J42</f>
        <v>68</v>
      </c>
      <c r="K37" s="181">
        <f t="shared" si="25"/>
        <v>75</v>
      </c>
      <c r="L37" s="181">
        <f t="shared" si="25"/>
        <v>77</v>
      </c>
      <c r="M37" s="181">
        <f t="shared" si="25"/>
        <v>83</v>
      </c>
      <c r="N37" s="181">
        <f t="shared" si="25"/>
        <v>90</v>
      </c>
      <c r="O37" s="181">
        <f t="shared" si="25"/>
        <v>95</v>
      </c>
      <c r="P37" s="181">
        <f t="shared" si="25"/>
        <v>98</v>
      </c>
      <c r="Q37" s="181">
        <f t="shared" si="25"/>
        <v>101</v>
      </c>
      <c r="R37" s="181">
        <f t="shared" si="25"/>
        <v>105</v>
      </c>
      <c r="S37" s="181">
        <f t="shared" si="25"/>
        <v>109</v>
      </c>
      <c r="T37" s="181">
        <f t="shared" si="25"/>
        <v>113</v>
      </c>
      <c r="U37" s="181">
        <f t="shared" si="25"/>
        <v>118</v>
      </c>
      <c r="V37" s="181">
        <f t="shared" si="25"/>
        <v>124</v>
      </c>
      <c r="W37" s="181">
        <f t="shared" si="25"/>
        <v>130</v>
      </c>
      <c r="X37" s="181">
        <f t="shared" si="25"/>
        <v>135</v>
      </c>
      <c r="Y37" s="181">
        <f t="shared" si="25"/>
        <v>136</v>
      </c>
      <c r="Z37" s="181">
        <f t="shared" si="25"/>
        <v>140</v>
      </c>
      <c r="AA37" s="181">
        <f t="shared" si="25"/>
        <v>140</v>
      </c>
      <c r="AB37" s="181">
        <f t="shared" si="25"/>
        <v>141</v>
      </c>
      <c r="AC37" s="181">
        <f t="shared" si="25"/>
        <v>142</v>
      </c>
      <c r="AD37" s="181">
        <f t="shared" si="25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>SUM(J39:U39)</f>
        <v>-2</v>
      </c>
      <c r="F39" s="194">
        <f>SUM(V39:AD39)</f>
        <v>-14</v>
      </c>
      <c r="H39" s="194">
        <f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>SUM(J40:U40)</f>
        <v>-1</v>
      </c>
      <c r="F40" s="194">
        <f>SUM(V40:AD40)</f>
        <v>-4</v>
      </c>
      <c r="H40" s="194">
        <f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>SUM(J41:U41)</f>
        <v>0</v>
      </c>
      <c r="F41" s="194">
        <f>SUM(V41:AD41)</f>
        <v>-7</v>
      </c>
      <c r="H41" s="194">
        <f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26">+K37</f>
        <v>75</v>
      </c>
      <c r="K43" s="257">
        <f t="shared" si="26"/>
        <v>77</v>
      </c>
      <c r="L43" s="257">
        <f t="shared" si="26"/>
        <v>83</v>
      </c>
      <c r="M43" s="257">
        <f t="shared" si="26"/>
        <v>90</v>
      </c>
      <c r="N43" s="257">
        <f t="shared" si="26"/>
        <v>95</v>
      </c>
      <c r="O43" s="257">
        <f t="shared" si="26"/>
        <v>98</v>
      </c>
      <c r="P43" s="257">
        <f t="shared" si="26"/>
        <v>101</v>
      </c>
      <c r="Q43" s="257">
        <f t="shared" si="26"/>
        <v>105</v>
      </c>
      <c r="R43" s="257">
        <f t="shared" si="26"/>
        <v>109</v>
      </c>
      <c r="S43" s="259">
        <f t="shared" si="26"/>
        <v>113</v>
      </c>
      <c r="T43" s="257">
        <f t="shared" si="26"/>
        <v>118</v>
      </c>
      <c r="U43" s="257">
        <f t="shared" si="26"/>
        <v>124</v>
      </c>
      <c r="V43" s="257">
        <f t="shared" si="26"/>
        <v>130</v>
      </c>
      <c r="W43" s="257">
        <f t="shared" si="26"/>
        <v>135</v>
      </c>
      <c r="X43" s="257">
        <f t="shared" si="26"/>
        <v>136</v>
      </c>
      <c r="Y43" s="257">
        <f t="shared" si="26"/>
        <v>140</v>
      </c>
      <c r="Z43" s="257">
        <f t="shared" si="26"/>
        <v>140</v>
      </c>
      <c r="AA43" s="257">
        <f t="shared" si="26"/>
        <v>141</v>
      </c>
      <c r="AB43" s="257">
        <f t="shared" si="26"/>
        <v>142</v>
      </c>
      <c r="AC43" s="257">
        <f t="shared" si="26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27">AVERAGE(K37,K43)</f>
        <v>76</v>
      </c>
      <c r="L45" s="257">
        <f t="shared" si="27"/>
        <v>80</v>
      </c>
      <c r="M45" s="257">
        <f t="shared" si="27"/>
        <v>86.5</v>
      </c>
      <c r="N45" s="257">
        <f t="shared" si="27"/>
        <v>92.5</v>
      </c>
      <c r="O45" s="257">
        <f t="shared" si="27"/>
        <v>96.5</v>
      </c>
      <c r="P45" s="257">
        <f t="shared" si="27"/>
        <v>99.5</v>
      </c>
      <c r="Q45" s="257">
        <f t="shared" si="27"/>
        <v>103</v>
      </c>
      <c r="R45" s="257">
        <f t="shared" si="27"/>
        <v>107</v>
      </c>
      <c r="S45" s="259">
        <f t="shared" si="27"/>
        <v>111</v>
      </c>
      <c r="T45" s="257">
        <f t="shared" si="27"/>
        <v>115.5</v>
      </c>
      <c r="U45" s="257">
        <f t="shared" si="27"/>
        <v>121</v>
      </c>
      <c r="V45" s="257">
        <f t="shared" si="27"/>
        <v>127</v>
      </c>
      <c r="W45" s="257">
        <f t="shared" si="27"/>
        <v>132.5</v>
      </c>
      <c r="X45" s="257">
        <f t="shared" si="27"/>
        <v>135.5</v>
      </c>
      <c r="Y45" s="257">
        <f t="shared" si="27"/>
        <v>138</v>
      </c>
      <c r="Z45" s="257">
        <f t="shared" si="27"/>
        <v>140</v>
      </c>
      <c r="AA45" s="257">
        <f t="shared" si="27"/>
        <v>140.5</v>
      </c>
      <c r="AB45" s="257">
        <f t="shared" si="27"/>
        <v>141.5</v>
      </c>
      <c r="AC45" s="257">
        <f t="shared" si="27"/>
        <v>142.5</v>
      </c>
      <c r="AD45" s="260">
        <f t="shared" si="27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28">(J38+J37)/J37-1</f>
        <v>0.10294117647058831</v>
      </c>
      <c r="K47" s="233">
        <f t="shared" si="28"/>
        <v>2.6666666666666616E-2</v>
      </c>
      <c r="L47" s="233">
        <f t="shared" si="28"/>
        <v>7.7922077922077948E-2</v>
      </c>
      <c r="M47" s="233">
        <f t="shared" si="28"/>
        <v>8.43373493975903E-2</v>
      </c>
      <c r="N47" s="233">
        <f t="shared" si="28"/>
        <v>5.555555555555558E-2</v>
      </c>
      <c r="O47" s="233">
        <f t="shared" si="28"/>
        <v>3.1578947368421151E-2</v>
      </c>
      <c r="P47" s="233">
        <f t="shared" si="28"/>
        <v>5.1020408163265252E-2</v>
      </c>
      <c r="Q47" s="233">
        <f t="shared" si="28"/>
        <v>3.9603960396039639E-2</v>
      </c>
      <c r="R47" s="233">
        <f t="shared" si="28"/>
        <v>3.8095238095238182E-2</v>
      </c>
      <c r="S47" s="243">
        <f t="shared" si="28"/>
        <v>3.669724770642202E-2</v>
      </c>
      <c r="T47" s="233">
        <f t="shared" si="28"/>
        <v>4.4247787610619538E-2</v>
      </c>
      <c r="U47" s="233">
        <f t="shared" si="28"/>
        <v>5.9322033898305149E-2</v>
      </c>
      <c r="V47" s="233">
        <f t="shared" si="28"/>
        <v>5.6451612903225756E-2</v>
      </c>
      <c r="W47" s="233">
        <f t="shared" si="28"/>
        <v>4.6153846153846212E-2</v>
      </c>
      <c r="X47" s="233">
        <f t="shared" si="28"/>
        <v>3.7037037037036979E-2</v>
      </c>
      <c r="Y47" s="233">
        <f t="shared" si="28"/>
        <v>5.8823529411764719E-2</v>
      </c>
      <c r="Z47" s="233">
        <f t="shared" si="28"/>
        <v>5.0000000000000044E-2</v>
      </c>
      <c r="AA47" s="233">
        <f t="shared" si="28"/>
        <v>2.857142857142847E-2</v>
      </c>
      <c r="AB47" s="233">
        <f t="shared" si="28"/>
        <v>2.8368794326241176E-2</v>
      </c>
      <c r="AC47" s="233">
        <f t="shared" si="28"/>
        <v>2.1126760563380254E-2</v>
      </c>
      <c r="AD47" s="244">
        <f t="shared" si="28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29">(J42+J45)/J45-1</f>
        <v>0</v>
      </c>
      <c r="K48" s="236">
        <f t="shared" si="29"/>
        <v>0</v>
      </c>
      <c r="L48" s="236">
        <f t="shared" si="29"/>
        <v>0</v>
      </c>
      <c r="M48" s="236">
        <f t="shared" si="29"/>
        <v>0</v>
      </c>
      <c r="N48" s="236">
        <f t="shared" si="29"/>
        <v>0</v>
      </c>
      <c r="O48" s="236">
        <f t="shared" si="29"/>
        <v>0</v>
      </c>
      <c r="P48" s="236">
        <f t="shared" si="29"/>
        <v>-2.010050251256279E-2</v>
      </c>
      <c r="Q48" s="236">
        <f t="shared" si="29"/>
        <v>0</v>
      </c>
      <c r="R48" s="236">
        <f t="shared" si="29"/>
        <v>0</v>
      </c>
      <c r="S48" s="238">
        <f t="shared" si="29"/>
        <v>0</v>
      </c>
      <c r="T48" s="236">
        <f t="shared" si="29"/>
        <v>0</v>
      </c>
      <c r="U48" s="236">
        <f t="shared" si="29"/>
        <v>-8.2644628099173278E-3</v>
      </c>
      <c r="V48" s="236">
        <f t="shared" si="29"/>
        <v>-7.8740157480314821E-3</v>
      </c>
      <c r="W48" s="236">
        <f t="shared" si="29"/>
        <v>-7.547169811320753E-3</v>
      </c>
      <c r="X48" s="236">
        <f t="shared" si="29"/>
        <v>-2.9520295202952074E-2</v>
      </c>
      <c r="Y48" s="236">
        <f t="shared" si="29"/>
        <v>-2.8985507246376829E-2</v>
      </c>
      <c r="Z48" s="236">
        <f t="shared" si="29"/>
        <v>-5.0000000000000044E-2</v>
      </c>
      <c r="AA48" s="236">
        <f t="shared" si="29"/>
        <v>-2.1352313167259829E-2</v>
      </c>
      <c r="AB48" s="236">
        <f t="shared" si="29"/>
        <v>-2.1201413427561877E-2</v>
      </c>
      <c r="AC48" s="236">
        <f t="shared" si="29"/>
        <v>-1.4035087719298289E-2</v>
      </c>
      <c r="AD48" s="237">
        <f t="shared" si="29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:P50" si="30">EOMONTH(J50,0)+1</f>
        <v>45689</v>
      </c>
      <c r="L50" s="189">
        <f t="shared" si="30"/>
        <v>45717</v>
      </c>
      <c r="M50" s="189">
        <f t="shared" si="30"/>
        <v>45748</v>
      </c>
      <c r="N50" s="189">
        <f t="shared" si="30"/>
        <v>45778</v>
      </c>
      <c r="O50" s="189">
        <f t="shared" si="30"/>
        <v>45809</v>
      </c>
      <c r="P50" s="189">
        <f t="shared" si="30"/>
        <v>45839</v>
      </c>
      <c r="Q50" s="189">
        <v>45870</v>
      </c>
      <c r="R50" s="189">
        <f t="shared" ref="R50:AD50" si="31">EOMONTH(Q50,0)+1</f>
        <v>45901</v>
      </c>
      <c r="S50" s="189">
        <f t="shared" si="31"/>
        <v>45931</v>
      </c>
      <c r="T50" s="189">
        <f t="shared" si="31"/>
        <v>45962</v>
      </c>
      <c r="U50" s="189">
        <f t="shared" si="31"/>
        <v>45992</v>
      </c>
      <c r="V50" s="189">
        <f t="shared" si="31"/>
        <v>46023</v>
      </c>
      <c r="W50" s="189">
        <f t="shared" si="31"/>
        <v>46054</v>
      </c>
      <c r="X50" s="189">
        <f t="shared" si="31"/>
        <v>46082</v>
      </c>
      <c r="Y50" s="189">
        <f t="shared" si="31"/>
        <v>46113</v>
      </c>
      <c r="Z50" s="189">
        <f t="shared" si="31"/>
        <v>46143</v>
      </c>
      <c r="AA50" s="189">
        <f t="shared" si="31"/>
        <v>46174</v>
      </c>
      <c r="AB50" s="189">
        <f t="shared" si="31"/>
        <v>46204</v>
      </c>
      <c r="AC50" s="189">
        <f t="shared" si="31"/>
        <v>46235</v>
      </c>
      <c r="AD50" s="189">
        <f t="shared" si="31"/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>+H58-H53-H57</f>
        <v>25</v>
      </c>
      <c r="J52" s="181">
        <f t="shared" ref="J52:Z52" si="32">+J58-J53-J57</f>
        <v>15</v>
      </c>
      <c r="K52" s="181">
        <f t="shared" si="32"/>
        <v>17</v>
      </c>
      <c r="L52" s="181">
        <f t="shared" si="32"/>
        <v>17</v>
      </c>
      <c r="M52" s="181">
        <f t="shared" si="32"/>
        <v>17</v>
      </c>
      <c r="N52" s="181">
        <f t="shared" si="32"/>
        <v>18</v>
      </c>
      <c r="O52" s="181">
        <f t="shared" si="32"/>
        <v>20</v>
      </c>
      <c r="P52" s="181">
        <f t="shared" si="32"/>
        <v>22</v>
      </c>
      <c r="Q52" s="181">
        <f t="shared" si="32"/>
        <v>23</v>
      </c>
      <c r="R52" s="181">
        <f t="shared" si="32"/>
        <v>25</v>
      </c>
      <c r="S52" s="181">
        <f t="shared" si="32"/>
        <v>25</v>
      </c>
      <c r="T52" s="181">
        <f t="shared" si="32"/>
        <v>26</v>
      </c>
      <c r="U52" s="181">
        <f t="shared" si="32"/>
        <v>27</v>
      </c>
      <c r="V52" s="181">
        <f t="shared" si="32"/>
        <v>30</v>
      </c>
      <c r="W52" s="181">
        <f t="shared" si="32"/>
        <v>33</v>
      </c>
      <c r="X52" s="181">
        <f t="shared" si="32"/>
        <v>36</v>
      </c>
      <c r="Y52" s="181">
        <f t="shared" si="32"/>
        <v>36</v>
      </c>
      <c r="Z52" s="181">
        <f t="shared" si="32"/>
        <v>37</v>
      </c>
      <c r="AA52" s="181">
        <f>+AA58-AA53-AA57</f>
        <v>30</v>
      </c>
      <c r="AB52" s="181">
        <f>+AB58-AB53-AB57</f>
        <v>29</v>
      </c>
      <c r="AC52" s="181">
        <f>+AC58-AC53-AC57</f>
        <v>30</v>
      </c>
      <c r="AD52" s="181">
        <f>+AD58-AD53-AD57</f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>SUM(J54:U54)</f>
        <v>0</v>
      </c>
      <c r="F54" s="194">
        <f>SUM(V54:AD54)</f>
        <v>-9</v>
      </c>
      <c r="H54" s="194">
        <f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>SUM(J55:U55)</f>
        <v>0</v>
      </c>
      <c r="F55" s="194">
        <f>SUM(V55:AD55)</f>
        <v>0</v>
      </c>
      <c r="H55" s="194">
        <f>SUM(S55:AD55)</f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>SUM(J56:U56)</f>
        <v>0</v>
      </c>
      <c r="F56" s="194">
        <f>SUM(V56:AD56)</f>
        <v>-1</v>
      </c>
      <c r="H56" s="194">
        <f>SUM(S56:AD56)</f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33">+K52</f>
        <v>17</v>
      </c>
      <c r="K58" s="257">
        <f t="shared" si="33"/>
        <v>17</v>
      </c>
      <c r="L58" s="257">
        <f t="shared" si="33"/>
        <v>17</v>
      </c>
      <c r="M58" s="257">
        <f t="shared" si="33"/>
        <v>18</v>
      </c>
      <c r="N58" s="257">
        <f t="shared" si="33"/>
        <v>20</v>
      </c>
      <c r="O58" s="257">
        <f t="shared" si="33"/>
        <v>22</v>
      </c>
      <c r="P58" s="257">
        <f t="shared" si="33"/>
        <v>23</v>
      </c>
      <c r="Q58" s="257">
        <f t="shared" si="33"/>
        <v>25</v>
      </c>
      <c r="R58" s="257">
        <f t="shared" si="33"/>
        <v>25</v>
      </c>
      <c r="S58" s="259">
        <f t="shared" si="33"/>
        <v>26</v>
      </c>
      <c r="T58" s="257">
        <f t="shared" si="33"/>
        <v>27</v>
      </c>
      <c r="U58" s="257">
        <f t="shared" si="33"/>
        <v>30</v>
      </c>
      <c r="V58" s="257">
        <f t="shared" si="33"/>
        <v>33</v>
      </c>
      <c r="W58" s="257">
        <f t="shared" si="33"/>
        <v>36</v>
      </c>
      <c r="X58" s="257">
        <f t="shared" si="33"/>
        <v>36</v>
      </c>
      <c r="Y58" s="257">
        <f t="shared" si="33"/>
        <v>37</v>
      </c>
      <c r="Z58" s="257">
        <f t="shared" si="33"/>
        <v>30</v>
      </c>
      <c r="AA58" s="257">
        <f t="shared" si="33"/>
        <v>29</v>
      </c>
      <c r="AB58" s="257">
        <f t="shared" si="33"/>
        <v>30</v>
      </c>
      <c r="AC58" s="257">
        <f t="shared" si="33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34">AVERAGE(K52,K58)</f>
        <v>17</v>
      </c>
      <c r="L60" s="257">
        <f t="shared" si="34"/>
        <v>17</v>
      </c>
      <c r="M60" s="257">
        <f t="shared" si="34"/>
        <v>17.5</v>
      </c>
      <c r="N60" s="257">
        <f t="shared" si="34"/>
        <v>19</v>
      </c>
      <c r="O60" s="257">
        <f t="shared" si="34"/>
        <v>21</v>
      </c>
      <c r="P60" s="257">
        <f t="shared" si="34"/>
        <v>22.5</v>
      </c>
      <c r="Q60" s="257">
        <f t="shared" si="34"/>
        <v>24</v>
      </c>
      <c r="R60" s="257">
        <f t="shared" si="34"/>
        <v>25</v>
      </c>
      <c r="S60" s="259">
        <f t="shared" si="34"/>
        <v>25.5</v>
      </c>
      <c r="T60" s="257">
        <f t="shared" si="34"/>
        <v>26.5</v>
      </c>
      <c r="U60" s="257">
        <f t="shared" si="34"/>
        <v>28.5</v>
      </c>
      <c r="V60" s="257">
        <f t="shared" si="34"/>
        <v>31.5</v>
      </c>
      <c r="W60" s="257">
        <f t="shared" si="34"/>
        <v>34.5</v>
      </c>
      <c r="X60" s="257">
        <f t="shared" si="34"/>
        <v>36</v>
      </c>
      <c r="Y60" s="257">
        <f t="shared" si="34"/>
        <v>36.5</v>
      </c>
      <c r="Z60" s="257">
        <f t="shared" si="34"/>
        <v>33.5</v>
      </c>
      <c r="AA60" s="257">
        <f t="shared" si="34"/>
        <v>29.5</v>
      </c>
      <c r="AB60" s="257">
        <f t="shared" si="34"/>
        <v>29.5</v>
      </c>
      <c r="AC60" s="257">
        <f t="shared" si="34"/>
        <v>30</v>
      </c>
      <c r="AD60" s="260">
        <f t="shared" si="34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35">(J53+J52)/J52-1</f>
        <v>0.1333333333333333</v>
      </c>
      <c r="K62" s="233">
        <f t="shared" si="35"/>
        <v>0</v>
      </c>
      <c r="L62" s="233">
        <f t="shared" si="35"/>
        <v>0</v>
      </c>
      <c r="M62" s="233">
        <f t="shared" si="35"/>
        <v>5.8823529411764719E-2</v>
      </c>
      <c r="N62" s="233">
        <f t="shared" si="35"/>
        <v>0.11111111111111116</v>
      </c>
      <c r="O62" s="233">
        <f t="shared" si="35"/>
        <v>0.10000000000000009</v>
      </c>
      <c r="P62" s="233">
        <f t="shared" si="35"/>
        <v>4.5454545454545414E-2</v>
      </c>
      <c r="Q62" s="233">
        <f t="shared" si="35"/>
        <v>8.6956521739130377E-2</v>
      </c>
      <c r="R62" s="233">
        <f t="shared" si="35"/>
        <v>0</v>
      </c>
      <c r="S62" s="243">
        <f t="shared" si="35"/>
        <v>4.0000000000000036E-2</v>
      </c>
      <c r="T62" s="233">
        <f t="shared" si="35"/>
        <v>3.8461538461538547E-2</v>
      </c>
      <c r="U62" s="233">
        <f t="shared" si="35"/>
        <v>0.11111111111111116</v>
      </c>
      <c r="V62" s="233">
        <f t="shared" si="35"/>
        <v>0.10000000000000009</v>
      </c>
      <c r="W62" s="233">
        <f t="shared" si="35"/>
        <v>9.0909090909090828E-2</v>
      </c>
      <c r="X62" s="233">
        <f t="shared" si="35"/>
        <v>2.7777777777777679E-2</v>
      </c>
      <c r="Y62" s="233">
        <f t="shared" si="35"/>
        <v>5.555555555555558E-2</v>
      </c>
      <c r="Z62" s="233">
        <f t="shared" si="35"/>
        <v>0</v>
      </c>
      <c r="AA62" s="233">
        <f t="shared" si="35"/>
        <v>0</v>
      </c>
      <c r="AB62" s="233">
        <f t="shared" si="35"/>
        <v>3.4482758620689724E-2</v>
      </c>
      <c r="AC62" s="233">
        <f>(AC53+AC52)/AC52-1</f>
        <v>0</v>
      </c>
      <c r="AD62" s="244">
        <f>(AD53+AD52)/AD52-1</f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36">(J57+J60)/J60-1</f>
        <v>0</v>
      </c>
      <c r="K63" s="236">
        <f t="shared" si="36"/>
        <v>0</v>
      </c>
      <c r="L63" s="236">
        <f t="shared" si="36"/>
        <v>0</v>
      </c>
      <c r="M63" s="236">
        <f t="shared" si="36"/>
        <v>0</v>
      </c>
      <c r="N63" s="236">
        <f t="shared" si="36"/>
        <v>0</v>
      </c>
      <c r="O63" s="236">
        <f t="shared" si="36"/>
        <v>0</v>
      </c>
      <c r="P63" s="236">
        <f t="shared" si="36"/>
        <v>0</v>
      </c>
      <c r="Q63" s="236">
        <f t="shared" si="36"/>
        <v>0</v>
      </c>
      <c r="R63" s="236">
        <f t="shared" si="36"/>
        <v>0</v>
      </c>
      <c r="S63" s="238">
        <f t="shared" si="36"/>
        <v>0</v>
      </c>
      <c r="T63" s="236">
        <f t="shared" si="36"/>
        <v>0</v>
      </c>
      <c r="U63" s="236">
        <f t="shared" si="36"/>
        <v>0</v>
      </c>
      <c r="V63" s="236">
        <f t="shared" si="36"/>
        <v>0</v>
      </c>
      <c r="W63" s="236">
        <f t="shared" si="36"/>
        <v>0</v>
      </c>
      <c r="X63" s="236">
        <f t="shared" si="36"/>
        <v>-2.777777777777779E-2</v>
      </c>
      <c r="Y63" s="236">
        <f t="shared" si="36"/>
        <v>-2.7397260273972601E-2</v>
      </c>
      <c r="Z63" s="236">
        <f t="shared" si="36"/>
        <v>-0.20895522388059706</v>
      </c>
      <c r="AA63" s="236">
        <f t="shared" si="36"/>
        <v>-3.3898305084745783E-2</v>
      </c>
      <c r="AB63" s="236">
        <f t="shared" si="36"/>
        <v>0</v>
      </c>
      <c r="AC63" s="236">
        <f t="shared" si="36"/>
        <v>0</v>
      </c>
      <c r="AD63" s="237">
        <f t="shared" si="36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:P65" si="37">EOMONTH(J65,0)+1</f>
        <v>45689</v>
      </c>
      <c r="L65" s="189">
        <f t="shared" si="37"/>
        <v>45717</v>
      </c>
      <c r="M65" s="189">
        <f t="shared" si="37"/>
        <v>45748</v>
      </c>
      <c r="N65" s="189">
        <f t="shared" si="37"/>
        <v>45778</v>
      </c>
      <c r="O65" s="189">
        <f t="shared" si="37"/>
        <v>45809</v>
      </c>
      <c r="P65" s="189">
        <f t="shared" si="37"/>
        <v>45839</v>
      </c>
      <c r="Q65" s="189">
        <v>45870</v>
      </c>
      <c r="R65" s="189">
        <f t="shared" ref="R65:AD65" si="38">EOMONTH(Q65,0)+1</f>
        <v>45901</v>
      </c>
      <c r="S65" s="189">
        <f t="shared" si="38"/>
        <v>45931</v>
      </c>
      <c r="T65" s="189">
        <f t="shared" si="38"/>
        <v>45962</v>
      </c>
      <c r="U65" s="189">
        <f t="shared" si="38"/>
        <v>45992</v>
      </c>
      <c r="V65" s="189">
        <f t="shared" si="38"/>
        <v>46023</v>
      </c>
      <c r="W65" s="189">
        <f t="shared" si="38"/>
        <v>46054</v>
      </c>
      <c r="X65" s="189">
        <f t="shared" si="38"/>
        <v>46082</v>
      </c>
      <c r="Y65" s="189">
        <f t="shared" si="38"/>
        <v>46113</v>
      </c>
      <c r="Z65" s="189">
        <f t="shared" si="38"/>
        <v>46143</v>
      </c>
      <c r="AA65" s="189">
        <f t="shared" si="38"/>
        <v>46174</v>
      </c>
      <c r="AB65" s="189">
        <f t="shared" si="38"/>
        <v>46204</v>
      </c>
      <c r="AC65" s="189">
        <f t="shared" si="38"/>
        <v>46235</v>
      </c>
      <c r="AD65" s="189">
        <f t="shared" si="38"/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>+H73-H68-H72</f>
        <v>26</v>
      </c>
      <c r="J67" s="181">
        <f t="shared" ref="J67:Z67" si="39">+J73-J68-J72</f>
        <v>32</v>
      </c>
      <c r="K67" s="181">
        <f t="shared" si="39"/>
        <v>29</v>
      </c>
      <c r="L67" s="181">
        <f t="shared" si="39"/>
        <v>28</v>
      </c>
      <c r="M67" s="181">
        <f t="shared" si="39"/>
        <v>28</v>
      </c>
      <c r="N67" s="181">
        <f t="shared" si="39"/>
        <v>28</v>
      </c>
      <c r="O67" s="181">
        <f t="shared" si="39"/>
        <v>27</v>
      </c>
      <c r="P67" s="181">
        <f t="shared" si="39"/>
        <v>27</v>
      </c>
      <c r="Q67" s="181">
        <f t="shared" si="39"/>
        <v>26</v>
      </c>
      <c r="R67" s="181">
        <f t="shared" si="39"/>
        <v>27</v>
      </c>
      <c r="S67" s="181">
        <f t="shared" si="39"/>
        <v>26</v>
      </c>
      <c r="T67" s="181">
        <f t="shared" si="39"/>
        <v>26</v>
      </c>
      <c r="U67" s="181">
        <f t="shared" si="39"/>
        <v>26</v>
      </c>
      <c r="V67" s="181">
        <f t="shared" si="39"/>
        <v>23</v>
      </c>
      <c r="W67" s="181">
        <f t="shared" si="39"/>
        <v>22</v>
      </c>
      <c r="X67" s="181">
        <f t="shared" si="39"/>
        <v>21</v>
      </c>
      <c r="Y67" s="181">
        <f t="shared" si="39"/>
        <v>19</v>
      </c>
      <c r="Z67" s="181">
        <f t="shared" si="39"/>
        <v>19</v>
      </c>
      <c r="AA67" s="181">
        <f>+AA73-AA68-AA72</f>
        <v>18</v>
      </c>
      <c r="AB67" s="181">
        <f>+AB73-AB68-AB72</f>
        <v>18</v>
      </c>
      <c r="AC67" s="181">
        <f>+AC73-AC68-AC72</f>
        <v>2</v>
      </c>
      <c r="AD67" s="181">
        <f>+AD73-AD68-AD72</f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>SUM(J69:U69)</f>
        <v>-7</v>
      </c>
      <c r="F69" s="194">
        <f>SUM(V69:AD69)</f>
        <v>-5</v>
      </c>
      <c r="H69" s="194">
        <f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>SUM(J70:U70)</f>
        <v>-4</v>
      </c>
      <c r="F70" s="194">
        <f>SUM(V70:AD70)</f>
        <v>-15</v>
      </c>
      <c r="H70" s="194">
        <f>SUM(S70:AD70)</f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>SUM(J71:U71)</f>
        <v>0</v>
      </c>
      <c r="F71" s="194">
        <f>SUM(V71:AD71)</f>
        <v>-1</v>
      </c>
      <c r="H71" s="194">
        <f>SUM(S71:AD71)</f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40">+K67</f>
        <v>29</v>
      </c>
      <c r="K73" s="257">
        <f t="shared" si="40"/>
        <v>28</v>
      </c>
      <c r="L73" s="257">
        <f t="shared" si="40"/>
        <v>28</v>
      </c>
      <c r="M73" s="257">
        <f t="shared" si="40"/>
        <v>28</v>
      </c>
      <c r="N73" s="257">
        <f t="shared" si="40"/>
        <v>27</v>
      </c>
      <c r="O73" s="257">
        <f t="shared" si="40"/>
        <v>27</v>
      </c>
      <c r="P73" s="257">
        <f t="shared" si="40"/>
        <v>26</v>
      </c>
      <c r="Q73" s="257">
        <f t="shared" si="40"/>
        <v>27</v>
      </c>
      <c r="R73" s="257">
        <f t="shared" si="40"/>
        <v>26</v>
      </c>
      <c r="S73" s="259">
        <f t="shared" si="40"/>
        <v>26</v>
      </c>
      <c r="T73" s="257">
        <f t="shared" si="40"/>
        <v>26</v>
      </c>
      <c r="U73" s="257">
        <f t="shared" si="40"/>
        <v>23</v>
      </c>
      <c r="V73" s="257">
        <f t="shared" si="40"/>
        <v>22</v>
      </c>
      <c r="W73" s="257">
        <f t="shared" si="40"/>
        <v>21</v>
      </c>
      <c r="X73" s="257">
        <f t="shared" si="40"/>
        <v>19</v>
      </c>
      <c r="Y73" s="257">
        <f t="shared" si="40"/>
        <v>19</v>
      </c>
      <c r="Z73" s="257">
        <f t="shared" si="40"/>
        <v>18</v>
      </c>
      <c r="AA73" s="257">
        <f t="shared" si="40"/>
        <v>18</v>
      </c>
      <c r="AB73" s="257">
        <f t="shared" si="40"/>
        <v>2</v>
      </c>
      <c r="AC73" s="257">
        <f t="shared" si="40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41">AVERAGE(K67,K73)</f>
        <v>28.5</v>
      </c>
      <c r="L75" s="257">
        <f t="shared" si="41"/>
        <v>28</v>
      </c>
      <c r="M75" s="257">
        <f t="shared" si="41"/>
        <v>28</v>
      </c>
      <c r="N75" s="257">
        <f t="shared" si="41"/>
        <v>27.5</v>
      </c>
      <c r="O75" s="257">
        <f t="shared" si="41"/>
        <v>27</v>
      </c>
      <c r="P75" s="257">
        <f t="shared" si="41"/>
        <v>26.5</v>
      </c>
      <c r="Q75" s="257">
        <f t="shared" si="41"/>
        <v>26.5</v>
      </c>
      <c r="R75" s="257">
        <f t="shared" si="41"/>
        <v>26.5</v>
      </c>
      <c r="S75" s="259">
        <f t="shared" si="41"/>
        <v>26</v>
      </c>
      <c r="T75" s="257">
        <f t="shared" si="41"/>
        <v>26</v>
      </c>
      <c r="U75" s="257">
        <f t="shared" si="41"/>
        <v>24.5</v>
      </c>
      <c r="V75" s="257">
        <f t="shared" si="41"/>
        <v>22.5</v>
      </c>
      <c r="W75" s="257">
        <f t="shared" si="41"/>
        <v>21.5</v>
      </c>
      <c r="X75" s="257">
        <f t="shared" si="41"/>
        <v>20</v>
      </c>
      <c r="Y75" s="257">
        <f t="shared" si="41"/>
        <v>19</v>
      </c>
      <c r="Z75" s="257">
        <f t="shared" si="41"/>
        <v>18.5</v>
      </c>
      <c r="AA75" s="257">
        <f t="shared" si="41"/>
        <v>18</v>
      </c>
      <c r="AB75" s="257">
        <f t="shared" si="41"/>
        <v>10</v>
      </c>
      <c r="AC75" s="257">
        <f t="shared" si="41"/>
        <v>2</v>
      </c>
      <c r="AD75" s="260">
        <f t="shared" si="41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42">(J68+J67)/J67-1</f>
        <v>0</v>
      </c>
      <c r="K77" s="233">
        <f t="shared" si="42"/>
        <v>0</v>
      </c>
      <c r="L77" s="233">
        <f t="shared" si="42"/>
        <v>0</v>
      </c>
      <c r="M77" s="233">
        <f t="shared" si="42"/>
        <v>0</v>
      </c>
      <c r="N77" s="233">
        <f t="shared" si="42"/>
        <v>0</v>
      </c>
      <c r="O77" s="233">
        <f t="shared" si="42"/>
        <v>3.7037037037036979E-2</v>
      </c>
      <c r="P77" s="233">
        <f t="shared" si="42"/>
        <v>0</v>
      </c>
      <c r="Q77" s="233">
        <f t="shared" si="42"/>
        <v>3.8461538461538547E-2</v>
      </c>
      <c r="R77" s="233">
        <f t="shared" si="42"/>
        <v>0</v>
      </c>
      <c r="S77" s="243">
        <f t="shared" si="42"/>
        <v>0</v>
      </c>
      <c r="T77" s="233">
        <f t="shared" si="42"/>
        <v>0</v>
      </c>
      <c r="U77" s="233">
        <f t="shared" si="42"/>
        <v>0</v>
      </c>
      <c r="V77" s="233">
        <f t="shared" si="42"/>
        <v>0</v>
      </c>
      <c r="W77" s="233">
        <f t="shared" si="42"/>
        <v>0</v>
      </c>
      <c r="X77" s="233">
        <f t="shared" si="42"/>
        <v>0</v>
      </c>
      <c r="Y77" s="233">
        <f t="shared" si="42"/>
        <v>0</v>
      </c>
      <c r="Z77" s="233">
        <f t="shared" si="42"/>
        <v>0</v>
      </c>
      <c r="AA77" s="233">
        <f t="shared" si="42"/>
        <v>0</v>
      </c>
      <c r="AB77" s="233">
        <f t="shared" si="42"/>
        <v>0</v>
      </c>
      <c r="AC77" s="233">
        <f>(AC68+AC67)/AC67-1</f>
        <v>0</v>
      </c>
      <c r="AD77" s="244">
        <f>(AD68+AD67)/AD67-1</f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43">(J72+J75)/J75-1</f>
        <v>-9.8360655737704916E-2</v>
      </c>
      <c r="K78" s="236">
        <f t="shared" si="43"/>
        <v>-3.5087719298245612E-2</v>
      </c>
      <c r="L78" s="236">
        <f t="shared" si="43"/>
        <v>0</v>
      </c>
      <c r="M78" s="236">
        <f t="shared" si="43"/>
        <v>0</v>
      </c>
      <c r="N78" s="236">
        <f t="shared" si="43"/>
        <v>-3.6363636363636376E-2</v>
      </c>
      <c r="O78" s="236">
        <f t="shared" si="43"/>
        <v>-3.703703703703709E-2</v>
      </c>
      <c r="P78" s="236">
        <f t="shared" si="43"/>
        <v>-3.7735849056603765E-2</v>
      </c>
      <c r="Q78" s="236">
        <f t="shared" si="43"/>
        <v>0</v>
      </c>
      <c r="R78" s="236">
        <f t="shared" si="43"/>
        <v>-3.7735849056603765E-2</v>
      </c>
      <c r="S78" s="238">
        <f t="shared" si="43"/>
        <v>0</v>
      </c>
      <c r="T78" s="236">
        <f t="shared" si="43"/>
        <v>0</v>
      </c>
      <c r="U78" s="236">
        <f t="shared" si="43"/>
        <v>-0.12244897959183676</v>
      </c>
      <c r="V78" s="236">
        <f t="shared" si="43"/>
        <v>-4.4444444444444398E-2</v>
      </c>
      <c r="W78" s="236">
        <f t="shared" si="43"/>
        <v>-4.6511627906976716E-2</v>
      </c>
      <c r="X78" s="236">
        <f t="shared" si="43"/>
        <v>-9.9999999999999978E-2</v>
      </c>
      <c r="Y78" s="236">
        <f t="shared" si="43"/>
        <v>0</v>
      </c>
      <c r="Z78" s="236">
        <f t="shared" si="43"/>
        <v>-5.4054054054054057E-2</v>
      </c>
      <c r="AA78" s="236">
        <f t="shared" si="43"/>
        <v>0</v>
      </c>
      <c r="AB78" s="236">
        <f t="shared" si="43"/>
        <v>-1.6</v>
      </c>
      <c r="AC78" s="236">
        <f t="shared" si="43"/>
        <v>0</v>
      </c>
      <c r="AD78" s="237">
        <f t="shared" si="43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:P80" si="44">EOMONTH(J80,0)+1</f>
        <v>45689</v>
      </c>
      <c r="L80" s="189">
        <f t="shared" si="44"/>
        <v>45717</v>
      </c>
      <c r="M80" s="189">
        <f t="shared" si="44"/>
        <v>45748</v>
      </c>
      <c r="N80" s="189">
        <f t="shared" si="44"/>
        <v>45778</v>
      </c>
      <c r="O80" s="189">
        <f t="shared" si="44"/>
        <v>45809</v>
      </c>
      <c r="P80" s="189">
        <f t="shared" si="44"/>
        <v>45839</v>
      </c>
      <c r="Q80" s="189">
        <v>45870</v>
      </c>
      <c r="R80" s="189">
        <f t="shared" ref="R80:AD80" si="45">EOMONTH(Q80,0)+1</f>
        <v>45901</v>
      </c>
      <c r="S80" s="189">
        <f t="shared" si="45"/>
        <v>45931</v>
      </c>
      <c r="T80" s="189">
        <f t="shared" si="45"/>
        <v>45962</v>
      </c>
      <c r="U80" s="189">
        <f t="shared" si="45"/>
        <v>45992</v>
      </c>
      <c r="V80" s="189">
        <f t="shared" si="45"/>
        <v>46023</v>
      </c>
      <c r="W80" s="189">
        <f t="shared" si="45"/>
        <v>46054</v>
      </c>
      <c r="X80" s="189">
        <f t="shared" si="45"/>
        <v>46082</v>
      </c>
      <c r="Y80" s="189">
        <f t="shared" si="45"/>
        <v>46113</v>
      </c>
      <c r="Z80" s="189">
        <f t="shared" si="45"/>
        <v>46143</v>
      </c>
      <c r="AA80" s="189">
        <f t="shared" si="45"/>
        <v>46174</v>
      </c>
      <c r="AB80" s="189">
        <f t="shared" si="45"/>
        <v>46204</v>
      </c>
      <c r="AC80" s="189">
        <f t="shared" si="45"/>
        <v>46235</v>
      </c>
      <c r="AD80" s="189">
        <f t="shared" si="45"/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>+H88-H83-H87</f>
        <v>17</v>
      </c>
      <c r="J82" s="181">
        <f t="shared" ref="J82:Z82" si="46">+J88-J83-J87</f>
        <v>30</v>
      </c>
      <c r="K82" s="181">
        <f t="shared" si="46"/>
        <v>26</v>
      </c>
      <c r="L82" s="181">
        <f t="shared" si="46"/>
        <v>26</v>
      </c>
      <c r="M82" s="181">
        <f t="shared" si="46"/>
        <v>26</v>
      </c>
      <c r="N82" s="181">
        <f t="shared" si="46"/>
        <v>23</v>
      </c>
      <c r="O82" s="181">
        <f t="shared" si="46"/>
        <v>23</v>
      </c>
      <c r="P82" s="181">
        <f t="shared" si="46"/>
        <v>18</v>
      </c>
      <c r="Q82" s="181">
        <f t="shared" si="46"/>
        <v>19</v>
      </c>
      <c r="R82" s="181">
        <f t="shared" si="46"/>
        <v>18</v>
      </c>
      <c r="S82" s="181">
        <f t="shared" si="46"/>
        <v>17</v>
      </c>
      <c r="T82" s="181">
        <f t="shared" si="46"/>
        <v>17</v>
      </c>
      <c r="U82" s="181">
        <f t="shared" si="46"/>
        <v>10</v>
      </c>
      <c r="V82" s="181">
        <f t="shared" si="46"/>
        <v>3</v>
      </c>
      <c r="W82" s="181">
        <f t="shared" si="46"/>
        <v>1</v>
      </c>
      <c r="X82" s="181">
        <f t="shared" si="46"/>
        <v>1</v>
      </c>
      <c r="Y82" s="181">
        <f t="shared" si="46"/>
        <v>1</v>
      </c>
      <c r="Z82" s="181">
        <f t="shared" si="46"/>
        <v>2</v>
      </c>
      <c r="AA82" s="181">
        <f>+AA88-AA83-AA87</f>
        <v>1</v>
      </c>
      <c r="AB82" s="181">
        <f>+AB88-AB83-AB87</f>
        <v>1</v>
      </c>
      <c r="AC82" s="181">
        <f>+AC88-AC83-AC87</f>
        <v>0</v>
      </c>
      <c r="AD82" s="181">
        <f>+AD88-AD83-AD87</f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>SUM(J84:U84)</f>
        <v>-24</v>
      </c>
      <c r="F84" s="194">
        <f>SUM(V84:AD84)</f>
        <v>-2</v>
      </c>
      <c r="H84" s="194">
        <f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>SUM(J85:U85)</f>
        <v>-19</v>
      </c>
      <c r="F85" s="194">
        <f>SUM(V85:AD85)</f>
        <v>-2</v>
      </c>
      <c r="H85" s="194">
        <f>SUM(S85:AD85)</f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>SUM(J86:U86)</f>
        <v>0</v>
      </c>
      <c r="F86" s="194">
        <f>SUM(V86:AD86)</f>
        <v>0</v>
      </c>
      <c r="H86" s="194">
        <f>SUM(S86:AD86)</f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47">+K82</f>
        <v>26</v>
      </c>
      <c r="K88" s="257">
        <f t="shared" si="47"/>
        <v>26</v>
      </c>
      <c r="L88" s="257">
        <f t="shared" si="47"/>
        <v>26</v>
      </c>
      <c r="M88" s="257">
        <f t="shared" si="47"/>
        <v>23</v>
      </c>
      <c r="N88" s="257">
        <f t="shared" si="47"/>
        <v>23</v>
      </c>
      <c r="O88" s="257">
        <f t="shared" si="47"/>
        <v>18</v>
      </c>
      <c r="P88" s="257">
        <f t="shared" si="47"/>
        <v>19</v>
      </c>
      <c r="Q88" s="257">
        <f t="shared" si="47"/>
        <v>18</v>
      </c>
      <c r="R88" s="257">
        <f t="shared" si="47"/>
        <v>17</v>
      </c>
      <c r="S88" s="259">
        <f t="shared" si="47"/>
        <v>17</v>
      </c>
      <c r="T88" s="257">
        <f t="shared" si="47"/>
        <v>10</v>
      </c>
      <c r="U88" s="257">
        <f t="shared" si="47"/>
        <v>3</v>
      </c>
      <c r="V88" s="257">
        <f t="shared" si="47"/>
        <v>1</v>
      </c>
      <c r="W88" s="257">
        <f t="shared" si="47"/>
        <v>1</v>
      </c>
      <c r="X88" s="257">
        <f t="shared" si="47"/>
        <v>1</v>
      </c>
      <c r="Y88" s="257">
        <f t="shared" si="47"/>
        <v>2</v>
      </c>
      <c r="Z88" s="257">
        <f t="shared" si="47"/>
        <v>1</v>
      </c>
      <c r="AA88" s="257">
        <f t="shared" si="47"/>
        <v>1</v>
      </c>
      <c r="AB88" s="257">
        <f t="shared" si="47"/>
        <v>0</v>
      </c>
      <c r="AC88" s="257">
        <f t="shared" si="47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48">AVERAGE(K82,K88)</f>
        <v>26</v>
      </c>
      <c r="L90" s="257">
        <f t="shared" si="48"/>
        <v>26</v>
      </c>
      <c r="M90" s="257">
        <f t="shared" si="48"/>
        <v>24.5</v>
      </c>
      <c r="N90" s="257">
        <f t="shared" si="48"/>
        <v>23</v>
      </c>
      <c r="O90" s="257">
        <f t="shared" si="48"/>
        <v>20.5</v>
      </c>
      <c r="P90" s="257">
        <f t="shared" si="48"/>
        <v>18.5</v>
      </c>
      <c r="Q90" s="257">
        <f t="shared" si="48"/>
        <v>18.5</v>
      </c>
      <c r="R90" s="257">
        <f t="shared" si="48"/>
        <v>17.5</v>
      </c>
      <c r="S90" s="259">
        <f t="shared" si="48"/>
        <v>17</v>
      </c>
      <c r="T90" s="257">
        <f t="shared" si="48"/>
        <v>13.5</v>
      </c>
      <c r="U90" s="257">
        <f t="shared" si="48"/>
        <v>6.5</v>
      </c>
      <c r="V90" s="257">
        <f t="shared" si="48"/>
        <v>2</v>
      </c>
      <c r="W90" s="257">
        <f t="shared" si="48"/>
        <v>1</v>
      </c>
      <c r="X90" s="257">
        <f t="shared" si="48"/>
        <v>1</v>
      </c>
      <c r="Y90" s="257">
        <f t="shared" si="48"/>
        <v>1.5</v>
      </c>
      <c r="Z90" s="257">
        <f t="shared" si="48"/>
        <v>1.5</v>
      </c>
      <c r="AA90" s="257">
        <f t="shared" si="48"/>
        <v>1</v>
      </c>
      <c r="AB90" s="257">
        <f t="shared" si="48"/>
        <v>0.5</v>
      </c>
      <c r="AC90" s="257">
        <f t="shared" si="48"/>
        <v>0</v>
      </c>
      <c r="AD90" s="260">
        <f t="shared" si="48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49">(J83+J82)/J82-1</f>
        <v>0</v>
      </c>
      <c r="K92" s="233">
        <f t="shared" si="49"/>
        <v>0.11538461538461542</v>
      </c>
      <c r="L92" s="233">
        <f t="shared" si="49"/>
        <v>7.6923076923076872E-2</v>
      </c>
      <c r="M92" s="233">
        <f t="shared" si="49"/>
        <v>3.8461538461538547E-2</v>
      </c>
      <c r="N92" s="233">
        <f t="shared" si="49"/>
        <v>8.6956521739130377E-2</v>
      </c>
      <c r="O92" s="233">
        <f t="shared" si="49"/>
        <v>4.3478260869565188E-2</v>
      </c>
      <c r="P92" s="233">
        <f t="shared" si="49"/>
        <v>5.555555555555558E-2</v>
      </c>
      <c r="Q92" s="233">
        <f t="shared" si="49"/>
        <v>5.2631578947368363E-2</v>
      </c>
      <c r="R92" s="233">
        <f t="shared" si="49"/>
        <v>0.11111111111111116</v>
      </c>
      <c r="S92" s="243">
        <f t="shared" si="49"/>
        <v>5.8823529411764719E-2</v>
      </c>
      <c r="T92" s="233">
        <f t="shared" si="49"/>
        <v>5.8823529411764719E-2</v>
      </c>
      <c r="U92" s="233">
        <f t="shared" si="49"/>
        <v>0.10000000000000009</v>
      </c>
      <c r="V92" s="233">
        <f t="shared" si="49"/>
        <v>0</v>
      </c>
      <c r="W92" s="233">
        <f t="shared" si="49"/>
        <v>0</v>
      </c>
      <c r="X92" s="233">
        <f t="shared" si="49"/>
        <v>0</v>
      </c>
      <c r="Y92" s="233">
        <f t="shared" si="49"/>
        <v>1</v>
      </c>
      <c r="Z92" s="233">
        <f t="shared" si="49"/>
        <v>0</v>
      </c>
      <c r="AA92" s="233">
        <f t="shared" si="49"/>
        <v>0</v>
      </c>
      <c r="AB92" s="233">
        <f t="shared" si="49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50">(J87+J90)/J90-1</f>
        <v>-0.1428571428571429</v>
      </c>
      <c r="K93" s="236">
        <f t="shared" si="50"/>
        <v>-0.11538461538461542</v>
      </c>
      <c r="L93" s="236">
        <f t="shared" si="50"/>
        <v>-7.6923076923076872E-2</v>
      </c>
      <c r="M93" s="236">
        <f t="shared" si="50"/>
        <v>-0.16326530612244894</v>
      </c>
      <c r="N93" s="236">
        <f t="shared" si="50"/>
        <v>-8.6956521739130488E-2</v>
      </c>
      <c r="O93" s="236">
        <f t="shared" si="50"/>
        <v>-0.29268292682926833</v>
      </c>
      <c r="P93" s="236">
        <f t="shared" si="50"/>
        <v>0</v>
      </c>
      <c r="Q93" s="236">
        <f t="shared" si="50"/>
        <v>-0.10810810810810811</v>
      </c>
      <c r="R93" s="236">
        <f t="shared" si="50"/>
        <v>-0.17142857142857137</v>
      </c>
      <c r="S93" s="238">
        <f t="shared" si="50"/>
        <v>-5.8823529411764719E-2</v>
      </c>
      <c r="T93" s="236">
        <f t="shared" si="50"/>
        <v>-0.59259259259259256</v>
      </c>
      <c r="U93" s="236">
        <f t="shared" si="50"/>
        <v>-1.2307692307692308</v>
      </c>
      <c r="V93" s="236">
        <f t="shared" si="50"/>
        <v>-1</v>
      </c>
      <c r="W93" s="236">
        <f t="shared" si="50"/>
        <v>0</v>
      </c>
      <c r="X93" s="236">
        <f t="shared" si="50"/>
        <v>0</v>
      </c>
      <c r="Y93" s="236">
        <f t="shared" si="50"/>
        <v>0</v>
      </c>
      <c r="Z93" s="236">
        <f t="shared" si="50"/>
        <v>-0.66666666666666674</v>
      </c>
      <c r="AA93" s="236">
        <f t="shared" si="50"/>
        <v>0</v>
      </c>
      <c r="AB93" s="236">
        <f t="shared" si="50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:P95" si="51">EOMONTH(J95,0)+1</f>
        <v>45689</v>
      </c>
      <c r="L95" s="189">
        <f t="shared" si="51"/>
        <v>45717</v>
      </c>
      <c r="M95" s="189">
        <f t="shared" si="51"/>
        <v>45748</v>
      </c>
      <c r="N95" s="189">
        <f t="shared" si="51"/>
        <v>45778</v>
      </c>
      <c r="O95" s="189">
        <f t="shared" si="51"/>
        <v>45809</v>
      </c>
      <c r="P95" s="189">
        <f t="shared" si="51"/>
        <v>45839</v>
      </c>
      <c r="Q95" s="189">
        <v>45870</v>
      </c>
      <c r="R95" s="189">
        <f t="shared" ref="R95:AD95" si="52">EOMONTH(Q95,0)+1</f>
        <v>45901</v>
      </c>
      <c r="S95" s="189">
        <f t="shared" si="52"/>
        <v>45931</v>
      </c>
      <c r="T95" s="189">
        <f t="shared" si="52"/>
        <v>45962</v>
      </c>
      <c r="U95" s="189">
        <f t="shared" si="52"/>
        <v>45992</v>
      </c>
      <c r="V95" s="189">
        <f t="shared" si="52"/>
        <v>46023</v>
      </c>
      <c r="W95" s="189">
        <f t="shared" si="52"/>
        <v>46054</v>
      </c>
      <c r="X95" s="189">
        <f t="shared" si="52"/>
        <v>46082</v>
      </c>
      <c r="Y95" s="189">
        <f t="shared" si="52"/>
        <v>46113</v>
      </c>
      <c r="Z95" s="189">
        <f t="shared" si="52"/>
        <v>46143</v>
      </c>
      <c r="AA95" s="189">
        <f t="shared" si="52"/>
        <v>46174</v>
      </c>
      <c r="AB95" s="189">
        <f t="shared" si="52"/>
        <v>46204</v>
      </c>
      <c r="AC95" s="189">
        <f t="shared" si="52"/>
        <v>46235</v>
      </c>
      <c r="AD95" s="189">
        <f t="shared" si="52"/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>+H103-H98-H102</f>
        <v>1</v>
      </c>
      <c r="J97" s="181">
        <f t="shared" ref="J97:Z97" si="53">+J103-J98-J102</f>
        <v>0</v>
      </c>
      <c r="K97" s="181">
        <f t="shared" si="53"/>
        <v>0</v>
      </c>
      <c r="L97" s="181">
        <f t="shared" si="53"/>
        <v>0</v>
      </c>
      <c r="M97" s="181">
        <f t="shared" si="53"/>
        <v>0</v>
      </c>
      <c r="N97" s="181">
        <f t="shared" si="53"/>
        <v>0</v>
      </c>
      <c r="O97" s="181">
        <f t="shared" si="53"/>
        <v>0</v>
      </c>
      <c r="P97" s="181">
        <f t="shared" si="53"/>
        <v>0</v>
      </c>
      <c r="Q97" s="181">
        <f t="shared" si="53"/>
        <v>0</v>
      </c>
      <c r="R97" s="181">
        <f t="shared" si="53"/>
        <v>0</v>
      </c>
      <c r="S97" s="181">
        <f t="shared" si="53"/>
        <v>1</v>
      </c>
      <c r="T97" s="181">
        <f t="shared" si="53"/>
        <v>9</v>
      </c>
      <c r="U97" s="181">
        <f t="shared" si="53"/>
        <v>8</v>
      </c>
      <c r="V97" s="181">
        <f t="shared" si="53"/>
        <v>8</v>
      </c>
      <c r="W97" s="181">
        <f t="shared" si="53"/>
        <v>9</v>
      </c>
      <c r="X97" s="181">
        <f t="shared" si="53"/>
        <v>11</v>
      </c>
      <c r="Y97" s="181">
        <f t="shared" si="53"/>
        <v>11</v>
      </c>
      <c r="Z97" s="181">
        <f t="shared" si="53"/>
        <v>11</v>
      </c>
      <c r="AA97" s="181">
        <f>+AA103-AA98-AA102</f>
        <v>11</v>
      </c>
      <c r="AB97" s="181">
        <f>+AB103-AB98-AB102</f>
        <v>11</v>
      </c>
      <c r="AC97" s="181">
        <f>+AC103-AC98-AC102</f>
        <v>11</v>
      </c>
      <c r="AD97" s="181">
        <f>+AD103-AD98-AD102</f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>SUM(J99:U99)</f>
        <v>0</v>
      </c>
      <c r="F99" s="194">
        <f>SUM(V99:AD99)</f>
        <v>0</v>
      </c>
      <c r="H99" s="194">
        <f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>SUM(J100:U100)</f>
        <v>0</v>
      </c>
      <c r="F100" s="194">
        <f>SUM(V100:AD100)</f>
        <v>0</v>
      </c>
      <c r="H100" s="194">
        <f>SUM(S100:AD100)</f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>SUM(J101:U101)</f>
        <v>-2</v>
      </c>
      <c r="F101" s="194">
        <f>SUM(V101:AD101)</f>
        <v>0</v>
      </c>
      <c r="H101" s="194">
        <f>SUM(S101:AD101)</f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54">+K97</f>
        <v>0</v>
      </c>
      <c r="K103" s="257">
        <f t="shared" si="54"/>
        <v>0</v>
      </c>
      <c r="L103" s="257">
        <f t="shared" si="54"/>
        <v>0</v>
      </c>
      <c r="M103" s="257">
        <f t="shared" si="54"/>
        <v>0</v>
      </c>
      <c r="N103" s="257">
        <f t="shared" si="54"/>
        <v>0</v>
      </c>
      <c r="O103" s="257">
        <f t="shared" si="54"/>
        <v>0</v>
      </c>
      <c r="P103" s="257">
        <f t="shared" si="54"/>
        <v>0</v>
      </c>
      <c r="Q103" s="257">
        <f t="shared" si="54"/>
        <v>0</v>
      </c>
      <c r="R103" s="257">
        <f t="shared" si="54"/>
        <v>1</v>
      </c>
      <c r="S103" s="257">
        <f t="shared" si="54"/>
        <v>9</v>
      </c>
      <c r="T103" s="257">
        <f t="shared" si="54"/>
        <v>8</v>
      </c>
      <c r="U103" s="257">
        <f t="shared" si="54"/>
        <v>8</v>
      </c>
      <c r="V103" s="257">
        <f t="shared" si="54"/>
        <v>9</v>
      </c>
      <c r="W103" s="257">
        <f t="shared" si="54"/>
        <v>11</v>
      </c>
      <c r="X103" s="257">
        <f t="shared" si="54"/>
        <v>11</v>
      </c>
      <c r="Y103" s="257">
        <f t="shared" si="54"/>
        <v>11</v>
      </c>
      <c r="Z103" s="257">
        <f t="shared" si="54"/>
        <v>11</v>
      </c>
      <c r="AA103" s="257">
        <f t="shared" si="54"/>
        <v>11</v>
      </c>
      <c r="AB103" s="257">
        <f t="shared" si="54"/>
        <v>11</v>
      </c>
      <c r="AC103" s="257">
        <f t="shared" si="54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55">AVERAGE(K97,K103)</f>
        <v>0</v>
      </c>
      <c r="L105" s="257">
        <f t="shared" si="55"/>
        <v>0</v>
      </c>
      <c r="M105" s="257">
        <f t="shared" si="55"/>
        <v>0</v>
      </c>
      <c r="N105" s="257">
        <f t="shared" si="55"/>
        <v>0</v>
      </c>
      <c r="O105" s="257">
        <f t="shared" si="55"/>
        <v>0</v>
      </c>
      <c r="P105" s="257">
        <f t="shared" si="55"/>
        <v>0</v>
      </c>
      <c r="Q105" s="257">
        <f t="shared" si="55"/>
        <v>0</v>
      </c>
      <c r="R105" s="257">
        <f t="shared" si="55"/>
        <v>0.5</v>
      </c>
      <c r="S105" s="259">
        <f t="shared" si="55"/>
        <v>5</v>
      </c>
      <c r="T105" s="257">
        <f t="shared" si="55"/>
        <v>8.5</v>
      </c>
      <c r="U105" s="257">
        <f t="shared" si="55"/>
        <v>8</v>
      </c>
      <c r="V105" s="257">
        <f t="shared" si="55"/>
        <v>8.5</v>
      </c>
      <c r="W105" s="257">
        <f t="shared" si="55"/>
        <v>10</v>
      </c>
      <c r="X105" s="257">
        <f t="shared" si="55"/>
        <v>11</v>
      </c>
      <c r="Y105" s="257">
        <f t="shared" si="55"/>
        <v>11</v>
      </c>
      <c r="Z105" s="257">
        <f t="shared" si="55"/>
        <v>11</v>
      </c>
      <c r="AA105" s="257">
        <f t="shared" si="55"/>
        <v>11</v>
      </c>
      <c r="AB105" s="257">
        <f t="shared" si="55"/>
        <v>11</v>
      </c>
      <c r="AC105" s="257">
        <f t="shared" si="55"/>
        <v>11</v>
      </c>
      <c r="AD105" s="260">
        <f t="shared" si="55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56">IFERROR((J98+J97)/J97-1,0)</f>
        <v>0</v>
      </c>
      <c r="K107" s="233">
        <f t="shared" si="56"/>
        <v>0</v>
      </c>
      <c r="L107" s="233">
        <f t="shared" si="56"/>
        <v>0</v>
      </c>
      <c r="M107" s="233">
        <f t="shared" si="56"/>
        <v>0</v>
      </c>
      <c r="N107" s="233">
        <f t="shared" si="56"/>
        <v>0</v>
      </c>
      <c r="O107" s="233">
        <f t="shared" si="56"/>
        <v>0</v>
      </c>
      <c r="P107" s="233">
        <f t="shared" si="56"/>
        <v>0</v>
      </c>
      <c r="Q107" s="233">
        <f t="shared" si="56"/>
        <v>0</v>
      </c>
      <c r="R107" s="233">
        <f t="shared" si="56"/>
        <v>0</v>
      </c>
      <c r="S107" s="233">
        <f>(S98+S97)/S97-1</f>
        <v>8</v>
      </c>
      <c r="T107" s="233">
        <f>(T98+T97)/T97-1</f>
        <v>0</v>
      </c>
      <c r="U107" s="233">
        <f t="shared" ref="U107:AD107" si="57">IFERROR((U98+U97)/U97-1,0)</f>
        <v>0</v>
      </c>
      <c r="V107" s="233">
        <f t="shared" si="57"/>
        <v>0.125</v>
      </c>
      <c r="W107" s="233">
        <f t="shared" si="57"/>
        <v>0.22222222222222232</v>
      </c>
      <c r="X107" s="233">
        <f t="shared" si="57"/>
        <v>0</v>
      </c>
      <c r="Y107" s="233">
        <f t="shared" si="57"/>
        <v>0</v>
      </c>
      <c r="Z107" s="233">
        <f t="shared" si="57"/>
        <v>0</v>
      </c>
      <c r="AA107" s="233">
        <f t="shared" si="57"/>
        <v>0</v>
      </c>
      <c r="AB107" s="233">
        <f t="shared" si="57"/>
        <v>0</v>
      </c>
      <c r="AC107" s="233">
        <f t="shared" si="57"/>
        <v>0</v>
      </c>
      <c r="AD107" s="244">
        <f t="shared" si="57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58">(J102+J105)/J105-1</f>
        <v>#DIV/0!</v>
      </c>
      <c r="K108" s="236" t="e">
        <f t="shared" si="58"/>
        <v>#DIV/0!</v>
      </c>
      <c r="L108" s="236" t="e">
        <f t="shared" si="58"/>
        <v>#DIV/0!</v>
      </c>
      <c r="M108" s="236" t="e">
        <f t="shared" si="58"/>
        <v>#DIV/0!</v>
      </c>
      <c r="N108" s="236" t="e">
        <f t="shared" si="58"/>
        <v>#DIV/0!</v>
      </c>
      <c r="O108" s="236" t="e">
        <f t="shared" si="58"/>
        <v>#DIV/0!</v>
      </c>
      <c r="P108" s="236" t="e">
        <f t="shared" si="58"/>
        <v>#DIV/0!</v>
      </c>
      <c r="Q108" s="236" t="e">
        <f t="shared" si="58"/>
        <v>#DIV/0!</v>
      </c>
      <c r="R108" s="236">
        <f t="shared" si="58"/>
        <v>-2</v>
      </c>
      <c r="S108" s="236">
        <f t="shared" si="58"/>
        <v>0</v>
      </c>
      <c r="T108" s="236">
        <f t="shared" si="58"/>
        <v>-0.11764705882352944</v>
      </c>
      <c r="U108" s="236">
        <f t="shared" si="58"/>
        <v>0</v>
      </c>
      <c r="V108" s="236">
        <f t="shared" si="58"/>
        <v>0</v>
      </c>
      <c r="W108" s="236">
        <f t="shared" si="58"/>
        <v>0</v>
      </c>
      <c r="X108" s="236">
        <f t="shared" si="58"/>
        <v>0</v>
      </c>
      <c r="Y108" s="236">
        <f t="shared" si="58"/>
        <v>0</v>
      </c>
      <c r="Z108" s="236">
        <f t="shared" si="58"/>
        <v>0</v>
      </c>
      <c r="AA108" s="236">
        <f t="shared" si="58"/>
        <v>0</v>
      </c>
      <c r="AB108" s="236">
        <f t="shared" si="58"/>
        <v>0</v>
      </c>
      <c r="AC108" s="236">
        <f t="shared" si="58"/>
        <v>0</v>
      </c>
      <c r="AD108" s="237">
        <f t="shared" si="58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8" priority="1">
      <formula>$AG$3=1</formula>
    </cfRule>
  </conditionalFormatting>
  <conditionalFormatting sqref="B6:H6 J6:AH6">
    <cfRule type="expression" dxfId="57" priority="19">
      <formula>$Y$3=1</formula>
    </cfRule>
  </conditionalFormatting>
  <conditionalFormatting sqref="B21:H21 J21:AH21">
    <cfRule type="expression" dxfId="56" priority="7">
      <formula>$Y$3=1</formula>
    </cfRule>
  </conditionalFormatting>
  <conditionalFormatting sqref="B36:H36">
    <cfRule type="expression" dxfId="55" priority="6">
      <formula>$Y$3=1</formula>
    </cfRule>
  </conditionalFormatting>
  <conditionalFormatting sqref="B51:H51">
    <cfRule type="expression" dxfId="54" priority="5">
      <formula>$Y$3=1</formula>
    </cfRule>
  </conditionalFormatting>
  <conditionalFormatting sqref="B66:H66">
    <cfRule type="expression" dxfId="53" priority="4">
      <formula>$Y$3=1</formula>
    </cfRule>
  </conditionalFormatting>
  <conditionalFormatting sqref="B81:H81">
    <cfRule type="expression" dxfId="52" priority="3">
      <formula>$Y$3=1</formula>
    </cfRule>
  </conditionalFormatting>
  <conditionalFormatting sqref="B96:H96">
    <cfRule type="expression" dxfId="51" priority="2">
      <formula>$Y$3=1</formula>
    </cfRule>
  </conditionalFormatting>
  <conditionalFormatting sqref="J36:AH36">
    <cfRule type="expression" dxfId="50" priority="17">
      <formula>$Y$3=1</formula>
    </cfRule>
  </conditionalFormatting>
  <conditionalFormatting sqref="J51:AH51">
    <cfRule type="expression" dxfId="49" priority="13">
      <formula>$Y$3=1</formula>
    </cfRule>
  </conditionalFormatting>
  <conditionalFormatting sqref="J66:AH66">
    <cfRule type="expression" dxfId="48" priority="16">
      <formula>$Y$3=1</formula>
    </cfRule>
  </conditionalFormatting>
  <conditionalFormatting sqref="J81:AH81">
    <cfRule type="expression" dxfId="47" priority="15">
      <formula>$Y$3=1</formula>
    </cfRule>
  </conditionalFormatting>
  <conditionalFormatting sqref="J96:AH96">
    <cfRule type="expression" dxfId="46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:I117" si="2">EOMONTH(C117,0)+1</f>
        <v>45689</v>
      </c>
      <c r="E117" s="189">
        <f t="shared" si="2"/>
        <v>45717</v>
      </c>
      <c r="F117" s="189">
        <f t="shared" si="2"/>
        <v>45748</v>
      </c>
      <c r="G117" s="189">
        <f t="shared" si="2"/>
        <v>45778</v>
      </c>
      <c r="H117" s="189">
        <f t="shared" si="2"/>
        <v>45809</v>
      </c>
      <c r="I117" s="189">
        <f t="shared" si="2"/>
        <v>45839</v>
      </c>
      <c r="J117" s="189">
        <v>45870</v>
      </c>
      <c r="K117" s="189">
        <f t="shared" ref="K117:W117" si="3">EOMONTH(J117,0)+1</f>
        <v>45901</v>
      </c>
      <c r="L117" s="189">
        <f t="shared" si="3"/>
        <v>45931</v>
      </c>
      <c r="M117" s="189">
        <f t="shared" si="3"/>
        <v>45962</v>
      </c>
      <c r="N117" s="189">
        <f t="shared" si="3"/>
        <v>45992</v>
      </c>
      <c r="O117" s="189">
        <f t="shared" si="3"/>
        <v>46023</v>
      </c>
      <c r="P117" s="189">
        <f t="shared" si="3"/>
        <v>46054</v>
      </c>
      <c r="Q117" s="189">
        <f t="shared" si="3"/>
        <v>46082</v>
      </c>
      <c r="R117" s="189">
        <f t="shared" si="3"/>
        <v>46113</v>
      </c>
      <c r="S117" s="189">
        <f t="shared" si="3"/>
        <v>46143</v>
      </c>
      <c r="T117" s="189">
        <f t="shared" si="3"/>
        <v>46174</v>
      </c>
      <c r="U117" s="189">
        <f t="shared" si="3"/>
        <v>46204</v>
      </c>
      <c r="V117" s="189">
        <f t="shared" si="3"/>
        <v>46235</v>
      </c>
      <c r="W117" s="189">
        <f t="shared" si="3"/>
        <v>46266</v>
      </c>
    </row>
    <row r="118" spans="2:23">
      <c r="B118" s="263" t="s">
        <v>1534</v>
      </c>
      <c r="C118" s="83">
        <f t="shared" ref="C118:W118" si="4">+C112</f>
        <v>9</v>
      </c>
      <c r="D118" s="83">
        <f t="shared" si="4"/>
        <v>5</v>
      </c>
      <c r="E118" s="83">
        <f t="shared" si="4"/>
        <v>8</v>
      </c>
      <c r="F118" s="83">
        <f t="shared" si="4"/>
        <v>9</v>
      </c>
      <c r="G118" s="83">
        <f t="shared" si="4"/>
        <v>9</v>
      </c>
      <c r="H118" s="83">
        <f t="shared" si="4"/>
        <v>6</v>
      </c>
      <c r="I118" s="83">
        <f t="shared" si="4"/>
        <v>7</v>
      </c>
      <c r="J118" s="83">
        <f t="shared" si="4"/>
        <v>7</v>
      </c>
      <c r="K118" s="83">
        <f t="shared" si="4"/>
        <v>6</v>
      </c>
      <c r="L118" s="83">
        <f t="shared" si="4"/>
        <v>6</v>
      </c>
      <c r="M118" s="83">
        <f t="shared" si="4"/>
        <v>7</v>
      </c>
      <c r="N118" s="83">
        <f t="shared" si="4"/>
        <v>11</v>
      </c>
      <c r="O118" s="83">
        <f t="shared" si="4"/>
        <v>10</v>
      </c>
      <c r="P118" s="83">
        <f t="shared" si="4"/>
        <v>9</v>
      </c>
      <c r="Q118" s="83">
        <f t="shared" si="4"/>
        <v>6</v>
      </c>
      <c r="R118" s="83">
        <f t="shared" si="4"/>
        <v>11</v>
      </c>
      <c r="S118" s="83">
        <f t="shared" si="4"/>
        <v>7</v>
      </c>
      <c r="T118" s="83">
        <f t="shared" si="4"/>
        <v>4</v>
      </c>
      <c r="U118" s="83">
        <f t="shared" si="4"/>
        <v>5</v>
      </c>
      <c r="V118" s="83">
        <f t="shared" si="4"/>
        <v>3</v>
      </c>
      <c r="W118" s="83">
        <f t="shared" si="4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:I121" si="5">EOMONTH(C121,0)+1</f>
        <v>45689</v>
      </c>
      <c r="E121" s="189">
        <f t="shared" si="5"/>
        <v>45717</v>
      </c>
      <c r="F121" s="189">
        <f t="shared" si="5"/>
        <v>45748</v>
      </c>
      <c r="G121" s="189">
        <f t="shared" si="5"/>
        <v>45778</v>
      </c>
      <c r="H121" s="189">
        <f t="shared" si="5"/>
        <v>45809</v>
      </c>
      <c r="I121" s="189">
        <f t="shared" si="5"/>
        <v>45839</v>
      </c>
      <c r="J121" s="189">
        <v>45870</v>
      </c>
      <c r="K121" s="189">
        <f t="shared" ref="K121:W121" si="6">EOMONTH(J121,0)+1</f>
        <v>45901</v>
      </c>
      <c r="L121" s="189">
        <f t="shared" si="6"/>
        <v>45931</v>
      </c>
      <c r="M121" s="189">
        <f t="shared" si="6"/>
        <v>45962</v>
      </c>
      <c r="N121" s="189">
        <f t="shared" si="6"/>
        <v>45992</v>
      </c>
      <c r="O121" s="189">
        <f t="shared" si="6"/>
        <v>46023</v>
      </c>
      <c r="P121" s="189">
        <f t="shared" si="6"/>
        <v>46054</v>
      </c>
      <c r="Q121" s="189">
        <f t="shared" si="6"/>
        <v>46082</v>
      </c>
      <c r="R121" s="189">
        <f t="shared" si="6"/>
        <v>46113</v>
      </c>
      <c r="S121" s="189">
        <f t="shared" si="6"/>
        <v>46143</v>
      </c>
      <c r="T121" s="189">
        <f t="shared" si="6"/>
        <v>46174</v>
      </c>
      <c r="U121" s="189">
        <f t="shared" si="6"/>
        <v>46204</v>
      </c>
      <c r="V121" s="189">
        <f t="shared" si="6"/>
        <v>46235</v>
      </c>
      <c r="W121" s="189">
        <f t="shared" si="6"/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:I125" si="7">EOMONTH(C125,0)+1</f>
        <v>45689</v>
      </c>
      <c r="E125" s="189">
        <f t="shared" si="7"/>
        <v>45717</v>
      </c>
      <c r="F125" s="189">
        <f t="shared" si="7"/>
        <v>45748</v>
      </c>
      <c r="G125" s="189">
        <f t="shared" si="7"/>
        <v>45778</v>
      </c>
      <c r="H125" s="189">
        <f t="shared" si="7"/>
        <v>45809</v>
      </c>
      <c r="I125" s="189">
        <f t="shared" si="7"/>
        <v>45839</v>
      </c>
      <c r="J125" s="189">
        <v>45870</v>
      </c>
      <c r="K125" s="189">
        <f t="shared" ref="K125:W125" si="8">EOMONTH(J125,0)+1</f>
        <v>45901</v>
      </c>
      <c r="L125" s="189">
        <f t="shared" si="8"/>
        <v>45931</v>
      </c>
      <c r="M125" s="189">
        <f t="shared" si="8"/>
        <v>45962</v>
      </c>
      <c r="N125" s="189">
        <f t="shared" si="8"/>
        <v>45992</v>
      </c>
      <c r="O125" s="189">
        <f t="shared" si="8"/>
        <v>46023</v>
      </c>
      <c r="P125" s="189">
        <f t="shared" si="8"/>
        <v>46054</v>
      </c>
      <c r="Q125" s="189">
        <f t="shared" si="8"/>
        <v>46082</v>
      </c>
      <c r="R125" s="189">
        <f t="shared" si="8"/>
        <v>46113</v>
      </c>
      <c r="S125" s="189">
        <f t="shared" si="8"/>
        <v>46143</v>
      </c>
      <c r="T125" s="189">
        <f t="shared" si="8"/>
        <v>46174</v>
      </c>
      <c r="U125" s="189">
        <f t="shared" si="8"/>
        <v>46204</v>
      </c>
      <c r="V125" s="189">
        <f t="shared" si="8"/>
        <v>46235</v>
      </c>
      <c r="W125" s="189">
        <f t="shared" si="8"/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5" priority="1">
      <formula>$AG$3=1</formula>
    </cfRule>
  </conditionalFormatting>
  <conditionalFormatting sqref="B6:H6 J6:AH6">
    <cfRule type="expression" dxfId="44" priority="19">
      <formula>$Y$3=1</formula>
    </cfRule>
  </conditionalFormatting>
  <conditionalFormatting sqref="B22:H22 J22:AH22">
    <cfRule type="expression" dxfId="43" priority="7">
      <formula>$Y$3=1</formula>
    </cfRule>
  </conditionalFormatting>
  <conditionalFormatting sqref="B38:H38">
    <cfRule type="expression" dxfId="42" priority="6">
      <formula>$Y$3=1</formula>
    </cfRule>
  </conditionalFormatting>
  <conditionalFormatting sqref="B54:H54">
    <cfRule type="expression" dxfId="41" priority="5">
      <formula>$Y$3=1</formula>
    </cfRule>
  </conditionalFormatting>
  <conditionalFormatting sqref="B70:H70">
    <cfRule type="expression" dxfId="40" priority="4">
      <formula>$Y$3=1</formula>
    </cfRule>
  </conditionalFormatting>
  <conditionalFormatting sqref="B86:H86">
    <cfRule type="expression" dxfId="39" priority="3">
      <formula>$Y$3=1</formula>
    </cfRule>
  </conditionalFormatting>
  <conditionalFormatting sqref="B102:H102">
    <cfRule type="expression" dxfId="38" priority="2">
      <formula>$Y$3=1</formula>
    </cfRule>
  </conditionalFormatting>
  <conditionalFormatting sqref="J38:AH38">
    <cfRule type="expression" dxfId="37" priority="17">
      <formula>$Y$3=1</formula>
    </cfRule>
  </conditionalFormatting>
  <conditionalFormatting sqref="J54:AH54">
    <cfRule type="expression" dxfId="36" priority="13">
      <formula>$Y$3=1</formula>
    </cfRule>
  </conditionalFormatting>
  <conditionalFormatting sqref="J70:AH70">
    <cfRule type="expression" dxfId="35" priority="16">
      <formula>$Y$3=1</formula>
    </cfRule>
  </conditionalFormatting>
  <conditionalFormatting sqref="J86:AH86">
    <cfRule type="expression" dxfId="34" priority="15">
      <formula>$Y$3=1</formula>
    </cfRule>
  </conditionalFormatting>
  <conditionalFormatting sqref="J102:AH102">
    <cfRule type="expression" dxfId="33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2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>S26/$D26</f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>S27/$D27</f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>S28/$D28</f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>+F28+F22+F15+F9</f>
        <v>694.83141999999998</v>
      </c>
      <c r="G30" s="62">
        <f>+G28+G22+G15+G9</f>
        <v>1241.9341399999998</v>
      </c>
      <c r="H30" s="71"/>
      <c r="I30" s="63">
        <f>+I28+I22+I15+I9</f>
        <v>980.98750999999993</v>
      </c>
      <c r="J30" s="61">
        <f>+J28+J22+J15+J9</f>
        <v>1723.8282400000001</v>
      </c>
      <c r="K30" s="62">
        <f>+K28+K22+K15+K9</f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>+P28+P22+P15+P9</f>
        <v>2096.1995900000002</v>
      </c>
      <c r="Q30" s="62">
        <f>+Q28+Q22+Q15+Q9</f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>Q35</f>
        <v>32.178359999999998</v>
      </c>
      <c r="Q35" s="83">
        <f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>+K36</f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>SUM(D33:D36)</f>
        <v>0</v>
      </c>
      <c r="E37" s="71"/>
      <c r="F37" s="63">
        <f>SUM(F33:F36)</f>
        <v>233.61905000000002</v>
      </c>
      <c r="G37" s="62">
        <f>SUM(G33:G36)</f>
        <v>156.81041000000002</v>
      </c>
      <c r="H37" s="71"/>
      <c r="I37" s="63">
        <f>SUM(I33:I36)</f>
        <v>194.94574</v>
      </c>
      <c r="J37" s="61">
        <f>SUM(J33:J36)</f>
        <v>147.47435999999999</v>
      </c>
      <c r="K37" s="62">
        <f>SUM(K33:K36)</f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>SUM(K44:K67)</f>
        <v>0</v>
      </c>
      <c r="L68" s="221"/>
      <c r="M68" s="220">
        <f>SUM(M44:M67)</f>
        <v>0</v>
      </c>
      <c r="N68" s="220">
        <f>SUM(N44:N67)</f>
        <v>0</v>
      </c>
      <c r="O68" s="221"/>
      <c r="P68" s="220">
        <f>SUM(P44:P67)</f>
        <v>0</v>
      </c>
      <c r="Q68" s="220">
        <f>SUM(Q44:Q67)</f>
        <v>0</v>
      </c>
      <c r="R68" s="221"/>
      <c r="S68" s="220">
        <f>SUM(S44:S67)</f>
        <v>0</v>
      </c>
      <c r="T68" s="220">
        <f>SUM(T44:T67)</f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>(C9+C12)/C12-1</f>
        <v>-0.4247787610619469</v>
      </c>
      <c r="D15" s="237">
        <f>(D9+D12)/D12-1</f>
        <v>-0.3439490445859873</v>
      </c>
      <c r="E15" s="245"/>
      <c r="F15" s="239">
        <f>(F9+F12)/F12-1</f>
        <v>-0.46666666666666667</v>
      </c>
      <c r="H15" s="238">
        <f t="shared" ref="H15:AB15" si="8">(H9+H12)/H12-1</f>
        <v>-2.2727272727272707E-2</v>
      </c>
      <c r="I15" s="236">
        <f t="shared" si="8"/>
        <v>-0.11235955056179781</v>
      </c>
      <c r="J15" s="236">
        <f t="shared" si="8"/>
        <v>-6.6666666666666652E-2</v>
      </c>
      <c r="K15" s="236">
        <f t="shared" si="8"/>
        <v>0</v>
      </c>
      <c r="L15" s="236">
        <f t="shared" si="8"/>
        <v>-4.081632653061229E-2</v>
      </c>
      <c r="M15" s="236">
        <f t="shared" si="8"/>
        <v>-5.8823529411764719E-2</v>
      </c>
      <c r="N15" s="236">
        <f t="shared" si="8"/>
        <v>0</v>
      </c>
      <c r="O15" s="236">
        <f t="shared" si="8"/>
        <v>-3.3898305084745783E-2</v>
      </c>
      <c r="P15" s="236">
        <f t="shared" si="8"/>
        <v>0</v>
      </c>
      <c r="Q15" s="238">
        <f t="shared" si="8"/>
        <v>0</v>
      </c>
      <c r="R15" s="236">
        <f t="shared" si="8"/>
        <v>-7.4626865671641784E-2</v>
      </c>
      <c r="S15" s="236">
        <f t="shared" si="8"/>
        <v>-4.3795620437956151E-2</v>
      </c>
      <c r="T15" s="236">
        <f t="shared" si="8"/>
        <v>-1.4084507042253502E-2</v>
      </c>
      <c r="U15" s="236">
        <f t="shared" si="8"/>
        <v>-1.3422818791946289E-2</v>
      </c>
      <c r="V15" s="236">
        <f t="shared" si="8"/>
        <v>0</v>
      </c>
      <c r="W15" s="236">
        <f t="shared" si="8"/>
        <v>-1.2121212121212088E-2</v>
      </c>
      <c r="X15" s="236">
        <f t="shared" si="8"/>
        <v>-8.4337349397590411E-2</v>
      </c>
      <c r="Y15" s="236">
        <f t="shared" si="8"/>
        <v>-3.59281437125748E-2</v>
      </c>
      <c r="Z15" s="236">
        <f t="shared" si="8"/>
        <v>-7.0588235294117618E-2</v>
      </c>
      <c r="AA15" s="236">
        <f t="shared" si="8"/>
        <v>-4.6511627906976716E-2</v>
      </c>
      <c r="AB15" s="237">
        <f t="shared" si="8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9">EOMONTH(H17,0)+1</f>
        <v>45689</v>
      </c>
      <c r="J17" s="189">
        <f t="shared" si="9"/>
        <v>45717</v>
      </c>
      <c r="K17" s="189">
        <f t="shared" si="9"/>
        <v>45748</v>
      </c>
      <c r="L17" s="189">
        <f t="shared" si="9"/>
        <v>45778</v>
      </c>
      <c r="M17" s="189">
        <f t="shared" si="9"/>
        <v>45809</v>
      </c>
      <c r="N17" s="189">
        <f t="shared" si="9"/>
        <v>45839</v>
      </c>
      <c r="O17" s="189">
        <v>45870</v>
      </c>
      <c r="P17" s="189">
        <f t="shared" ref="P17:AB17" si="10">EOMONTH(O17,0)+1</f>
        <v>45901</v>
      </c>
      <c r="Q17" s="189">
        <f t="shared" si="10"/>
        <v>45931</v>
      </c>
      <c r="R17" s="189">
        <f t="shared" si="10"/>
        <v>45962</v>
      </c>
      <c r="S17" s="189">
        <f t="shared" si="10"/>
        <v>45992</v>
      </c>
      <c r="T17" s="189">
        <f t="shared" si="10"/>
        <v>46023</v>
      </c>
      <c r="U17" s="189">
        <f t="shared" si="10"/>
        <v>46054</v>
      </c>
      <c r="V17" s="189">
        <f t="shared" si="10"/>
        <v>46082</v>
      </c>
      <c r="W17" s="189">
        <f t="shared" si="10"/>
        <v>46113</v>
      </c>
      <c r="X17" s="189">
        <f t="shared" si="10"/>
        <v>46143</v>
      </c>
      <c r="Y17" s="189">
        <f t="shared" si="10"/>
        <v>46174</v>
      </c>
      <c r="Z17" s="189">
        <f t="shared" si="10"/>
        <v>46204</v>
      </c>
      <c r="AA17" s="189">
        <f t="shared" si="10"/>
        <v>46235</v>
      </c>
      <c r="AB17" s="189">
        <f t="shared" si="10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1">+H24-H22-H23</f>
        <v>13</v>
      </c>
      <c r="I21" s="181">
        <f t="shared" si="11"/>
        <v>13</v>
      </c>
      <c r="J21" s="181">
        <f t="shared" si="11"/>
        <v>14</v>
      </c>
      <c r="K21" s="181">
        <f t="shared" si="11"/>
        <v>15</v>
      </c>
      <c r="L21" s="181">
        <f t="shared" si="11"/>
        <v>17</v>
      </c>
      <c r="M21" s="181">
        <f t="shared" si="11"/>
        <v>16</v>
      </c>
      <c r="N21" s="181">
        <f t="shared" si="11"/>
        <v>20</v>
      </c>
      <c r="O21" s="181">
        <f t="shared" si="11"/>
        <v>24</v>
      </c>
      <c r="P21" s="181">
        <f t="shared" si="11"/>
        <v>26</v>
      </c>
      <c r="Q21" s="181">
        <f t="shared" si="11"/>
        <v>27</v>
      </c>
      <c r="R21" s="181">
        <f t="shared" si="11"/>
        <v>29</v>
      </c>
      <c r="S21" s="181">
        <f t="shared" si="11"/>
        <v>30</v>
      </c>
      <c r="T21" s="181">
        <f t="shared" si="11"/>
        <v>31</v>
      </c>
      <c r="U21" s="181">
        <f t="shared" si="11"/>
        <v>32</v>
      </c>
      <c r="V21" s="181">
        <f t="shared" si="11"/>
        <v>32</v>
      </c>
      <c r="W21" s="181">
        <f t="shared" si="11"/>
        <v>32</v>
      </c>
      <c r="X21" s="181">
        <f t="shared" si="11"/>
        <v>34</v>
      </c>
      <c r="Y21" s="181">
        <f t="shared" si="11"/>
        <v>34</v>
      </c>
      <c r="Z21" s="181">
        <f t="shared" si="11"/>
        <v>38</v>
      </c>
      <c r="AA21" s="181">
        <f t="shared" si="11"/>
        <v>39</v>
      </c>
      <c r="AB21" s="181">
        <f t="shared" si="11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2">+I21</f>
        <v>13</v>
      </c>
      <c r="I24" s="257">
        <f t="shared" si="12"/>
        <v>14</v>
      </c>
      <c r="J24" s="257">
        <f t="shared" si="12"/>
        <v>15</v>
      </c>
      <c r="K24" s="257">
        <f t="shared" si="12"/>
        <v>17</v>
      </c>
      <c r="L24" s="257">
        <f t="shared" si="12"/>
        <v>16</v>
      </c>
      <c r="M24" s="257">
        <f t="shared" si="12"/>
        <v>20</v>
      </c>
      <c r="N24" s="257">
        <f t="shared" si="12"/>
        <v>24</v>
      </c>
      <c r="O24" s="257">
        <f t="shared" si="12"/>
        <v>26</v>
      </c>
      <c r="P24" s="257">
        <f t="shared" si="12"/>
        <v>27</v>
      </c>
      <c r="Q24" s="259">
        <f t="shared" si="12"/>
        <v>29</v>
      </c>
      <c r="R24" s="257">
        <f t="shared" si="12"/>
        <v>30</v>
      </c>
      <c r="S24" s="257">
        <f t="shared" si="12"/>
        <v>31</v>
      </c>
      <c r="T24" s="257">
        <f t="shared" si="12"/>
        <v>32</v>
      </c>
      <c r="U24" s="257">
        <f t="shared" si="12"/>
        <v>32</v>
      </c>
      <c r="V24" s="257">
        <f t="shared" si="12"/>
        <v>32</v>
      </c>
      <c r="W24" s="257">
        <f t="shared" si="12"/>
        <v>34</v>
      </c>
      <c r="X24" s="257">
        <f t="shared" si="12"/>
        <v>34</v>
      </c>
      <c r="Y24" s="257">
        <f t="shared" si="12"/>
        <v>38</v>
      </c>
      <c r="Z24" s="257">
        <f t="shared" si="12"/>
        <v>39</v>
      </c>
      <c r="AA24" s="257">
        <f t="shared" si="12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3">AVERAGE(H21,H24)</f>
        <v>13</v>
      </c>
      <c r="I26" s="315">
        <f t="shared" si="13"/>
        <v>13.5</v>
      </c>
      <c r="J26" s="315">
        <f t="shared" si="13"/>
        <v>14.5</v>
      </c>
      <c r="K26" s="315">
        <f t="shared" si="13"/>
        <v>16</v>
      </c>
      <c r="L26" s="315">
        <f t="shared" si="13"/>
        <v>16.5</v>
      </c>
      <c r="M26" s="315">
        <f t="shared" si="13"/>
        <v>18</v>
      </c>
      <c r="N26" s="315">
        <f t="shared" si="13"/>
        <v>22</v>
      </c>
      <c r="O26" s="315">
        <f t="shared" si="13"/>
        <v>25</v>
      </c>
      <c r="P26" s="315">
        <f t="shared" si="13"/>
        <v>26.5</v>
      </c>
      <c r="Q26" s="318">
        <f t="shared" si="13"/>
        <v>28</v>
      </c>
      <c r="R26" s="315">
        <f t="shared" si="13"/>
        <v>29.5</v>
      </c>
      <c r="S26" s="315">
        <f t="shared" si="13"/>
        <v>30.5</v>
      </c>
      <c r="T26" s="315">
        <f t="shared" si="13"/>
        <v>31.5</v>
      </c>
      <c r="U26" s="315">
        <f t="shared" si="13"/>
        <v>32</v>
      </c>
      <c r="V26" s="315">
        <f t="shared" si="13"/>
        <v>32</v>
      </c>
      <c r="W26" s="315">
        <f t="shared" si="13"/>
        <v>33</v>
      </c>
      <c r="X26" s="315">
        <f t="shared" si="13"/>
        <v>34</v>
      </c>
      <c r="Y26" s="315">
        <f t="shared" si="13"/>
        <v>36</v>
      </c>
      <c r="Z26" s="315">
        <f t="shared" si="13"/>
        <v>38.5</v>
      </c>
      <c r="AA26" s="315">
        <f t="shared" si="13"/>
        <v>39</v>
      </c>
      <c r="AB26" s="316">
        <f t="shared" si="13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4">H19/H26</f>
        <v>11.23076923076923</v>
      </c>
      <c r="I27" s="310">
        <f t="shared" si="14"/>
        <v>10.925925925925926</v>
      </c>
      <c r="J27" s="310">
        <f t="shared" si="14"/>
        <v>10.413793103448276</v>
      </c>
      <c r="K27" s="310">
        <f t="shared" si="14"/>
        <v>9.78125</v>
      </c>
      <c r="L27" s="310">
        <f t="shared" si="14"/>
        <v>9.8181818181818183</v>
      </c>
      <c r="M27" s="310">
        <f t="shared" si="14"/>
        <v>9.1666666666666661</v>
      </c>
      <c r="N27" s="310">
        <f t="shared" si="14"/>
        <v>7.5909090909090908</v>
      </c>
      <c r="O27" s="310">
        <f t="shared" si="14"/>
        <v>6.88</v>
      </c>
      <c r="P27" s="310">
        <f t="shared" si="14"/>
        <v>6.6415094339622645</v>
      </c>
      <c r="Q27" s="313">
        <f t="shared" si="14"/>
        <v>6.4107142857142856</v>
      </c>
      <c r="R27" s="310">
        <f t="shared" si="14"/>
        <v>6.1525423728813555</v>
      </c>
      <c r="S27" s="310">
        <f t="shared" si="14"/>
        <v>5.918032786885246</v>
      </c>
      <c r="T27" s="310">
        <f t="shared" si="14"/>
        <v>5.8095238095238093</v>
      </c>
      <c r="U27" s="310">
        <f t="shared" si="14"/>
        <v>5.921875</v>
      </c>
      <c r="V27" s="310">
        <f t="shared" si="14"/>
        <v>6.015625</v>
      </c>
      <c r="W27" s="310">
        <f t="shared" si="14"/>
        <v>5.9090909090909092</v>
      </c>
      <c r="X27" s="310">
        <f t="shared" si="14"/>
        <v>5.6911764705882355</v>
      </c>
      <c r="Y27" s="310">
        <f t="shared" si="14"/>
        <v>5.25</v>
      </c>
      <c r="Z27" s="310">
        <f t="shared" si="14"/>
        <v>4.7142857142857144</v>
      </c>
      <c r="AA27" s="310">
        <f t="shared" si="14"/>
        <v>4.4743589743589745</v>
      </c>
      <c r="AB27" s="311">
        <f t="shared" si="14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5">(H22+H21)/H21-1</f>
        <v>0</v>
      </c>
      <c r="I29" s="233">
        <f t="shared" si="15"/>
        <v>0.23076923076923084</v>
      </c>
      <c r="J29" s="233">
        <f t="shared" si="15"/>
        <v>0.14285714285714279</v>
      </c>
      <c r="K29" s="233">
        <f t="shared" si="15"/>
        <v>0.1333333333333333</v>
      </c>
      <c r="L29" s="233">
        <f t="shared" si="15"/>
        <v>5.8823529411764719E-2</v>
      </c>
      <c r="M29" s="233">
        <f t="shared" si="15"/>
        <v>0.375</v>
      </c>
      <c r="N29" s="233">
        <f t="shared" si="15"/>
        <v>0.19999999999999996</v>
      </c>
      <c r="O29" s="233">
        <f t="shared" si="15"/>
        <v>0.16666666666666674</v>
      </c>
      <c r="P29" s="233">
        <f t="shared" si="15"/>
        <v>3.8461538461538547E-2</v>
      </c>
      <c r="Q29" s="243">
        <f t="shared" si="15"/>
        <v>7.4074074074074181E-2</v>
      </c>
      <c r="R29" s="233">
        <f t="shared" si="15"/>
        <v>0.10344827586206895</v>
      </c>
      <c r="S29" s="233">
        <f t="shared" si="15"/>
        <v>3.3333333333333437E-2</v>
      </c>
      <c r="T29" s="233">
        <f t="shared" si="15"/>
        <v>3.2258064516129004E-2</v>
      </c>
      <c r="U29" s="233">
        <f t="shared" si="15"/>
        <v>0</v>
      </c>
      <c r="V29" s="233">
        <f t="shared" si="15"/>
        <v>0</v>
      </c>
      <c r="W29" s="233">
        <f t="shared" si="15"/>
        <v>6.25E-2</v>
      </c>
      <c r="X29" s="233">
        <f t="shared" si="15"/>
        <v>5.8823529411764719E-2</v>
      </c>
      <c r="Y29" s="233">
        <f t="shared" si="15"/>
        <v>0.17647058823529416</v>
      </c>
      <c r="Z29" s="233">
        <f t="shared" si="15"/>
        <v>7.8947368421052655E-2</v>
      </c>
      <c r="AA29" s="233">
        <f t="shared" si="15"/>
        <v>7.6923076923076872E-2</v>
      </c>
      <c r="AB29" s="244">
        <f t="shared" si="15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6">(H23+H26)/H26-1</f>
        <v>0</v>
      </c>
      <c r="I30" s="236">
        <f t="shared" si="16"/>
        <v>-0.14814814814814814</v>
      </c>
      <c r="J30" s="236">
        <f t="shared" si="16"/>
        <v>-6.8965517241379337E-2</v>
      </c>
      <c r="K30" s="236">
        <f t="shared" si="16"/>
        <v>0</v>
      </c>
      <c r="L30" s="236">
        <f t="shared" si="16"/>
        <v>-0.12121212121212122</v>
      </c>
      <c r="M30" s="236">
        <f t="shared" si="16"/>
        <v>-0.11111111111111116</v>
      </c>
      <c r="N30" s="236">
        <f t="shared" si="16"/>
        <v>0</v>
      </c>
      <c r="O30" s="236">
        <f t="shared" si="16"/>
        <v>-7.999999999999996E-2</v>
      </c>
      <c r="P30" s="236">
        <f t="shared" si="16"/>
        <v>0</v>
      </c>
      <c r="Q30" s="238">
        <f t="shared" si="16"/>
        <v>0</v>
      </c>
      <c r="R30" s="236">
        <f t="shared" si="16"/>
        <v>-6.7796610169491567E-2</v>
      </c>
      <c r="S30" s="236">
        <f t="shared" si="16"/>
        <v>0</v>
      </c>
      <c r="T30" s="236">
        <f t="shared" si="16"/>
        <v>0</v>
      </c>
      <c r="U30" s="236">
        <f t="shared" si="16"/>
        <v>0</v>
      </c>
      <c r="V30" s="236">
        <f t="shared" si="16"/>
        <v>0</v>
      </c>
      <c r="W30" s="236">
        <f t="shared" si="16"/>
        <v>0</v>
      </c>
      <c r="X30" s="236">
        <f t="shared" si="16"/>
        <v>-5.8823529411764719E-2</v>
      </c>
      <c r="Y30" s="236">
        <f t="shared" si="16"/>
        <v>-5.555555555555558E-2</v>
      </c>
      <c r="Z30" s="236">
        <f t="shared" si="16"/>
        <v>-5.1948051948051965E-2</v>
      </c>
      <c r="AA30" s="236">
        <f t="shared" si="16"/>
        <v>-7.6923076923076872E-2</v>
      </c>
      <c r="AB30" s="237">
        <f t="shared" si="16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:N32" si="17">EOMONTH(H32,0)+1</f>
        <v>45689</v>
      </c>
      <c r="J32" s="189">
        <f t="shared" si="17"/>
        <v>45717</v>
      </c>
      <c r="K32" s="189">
        <f t="shared" si="17"/>
        <v>45748</v>
      </c>
      <c r="L32" s="189">
        <f t="shared" si="17"/>
        <v>45778</v>
      </c>
      <c r="M32" s="189">
        <f t="shared" si="17"/>
        <v>45809</v>
      </c>
      <c r="N32" s="189">
        <f t="shared" si="17"/>
        <v>45839</v>
      </c>
      <c r="O32" s="189">
        <v>45870</v>
      </c>
      <c r="P32" s="189">
        <f t="shared" ref="P32:AB32" si="18">EOMONTH(O32,0)+1</f>
        <v>45901</v>
      </c>
      <c r="Q32" s="189">
        <f t="shared" si="18"/>
        <v>45931</v>
      </c>
      <c r="R32" s="189">
        <f t="shared" si="18"/>
        <v>45962</v>
      </c>
      <c r="S32" s="189">
        <f t="shared" si="18"/>
        <v>45992</v>
      </c>
      <c r="T32" s="189">
        <f t="shared" si="18"/>
        <v>46023</v>
      </c>
      <c r="U32" s="189">
        <f t="shared" si="18"/>
        <v>46054</v>
      </c>
      <c r="V32" s="189">
        <f t="shared" si="18"/>
        <v>46082</v>
      </c>
      <c r="W32" s="189">
        <f t="shared" si="18"/>
        <v>46113</v>
      </c>
      <c r="X32" s="189">
        <f t="shared" si="18"/>
        <v>46143</v>
      </c>
      <c r="Y32" s="189">
        <f t="shared" si="18"/>
        <v>46174</v>
      </c>
      <c r="Z32" s="189">
        <f t="shared" si="18"/>
        <v>46204</v>
      </c>
      <c r="AA32" s="189">
        <f t="shared" si="18"/>
        <v>46235</v>
      </c>
      <c r="AB32" s="189">
        <f t="shared" si="18"/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19">+I$19</f>
        <v>147.5</v>
      </c>
      <c r="J34" s="65">
        <f t="shared" si="19"/>
        <v>151</v>
      </c>
      <c r="K34" s="65">
        <f t="shared" si="19"/>
        <v>156.5</v>
      </c>
      <c r="L34" s="65">
        <f t="shared" si="19"/>
        <v>162</v>
      </c>
      <c r="M34" s="65">
        <f t="shared" si="19"/>
        <v>165</v>
      </c>
      <c r="N34" s="65">
        <f t="shared" si="19"/>
        <v>167</v>
      </c>
      <c r="O34" s="65">
        <f t="shared" si="19"/>
        <v>172</v>
      </c>
      <c r="P34" s="65">
        <f t="shared" si="19"/>
        <v>176</v>
      </c>
      <c r="Q34" s="65">
        <f t="shared" si="19"/>
        <v>179.5</v>
      </c>
      <c r="R34" s="65">
        <f t="shared" si="19"/>
        <v>181.5</v>
      </c>
      <c r="S34" s="65">
        <f t="shared" si="19"/>
        <v>180.5</v>
      </c>
      <c r="T34" s="65">
        <f t="shared" si="19"/>
        <v>183</v>
      </c>
      <c r="U34" s="65">
        <f t="shared" si="19"/>
        <v>189.5</v>
      </c>
      <c r="V34" s="65">
        <f t="shared" si="19"/>
        <v>192.5</v>
      </c>
      <c r="W34" s="65">
        <f t="shared" si="19"/>
        <v>195</v>
      </c>
      <c r="X34" s="65">
        <f t="shared" si="19"/>
        <v>193.5</v>
      </c>
      <c r="Y34" s="65">
        <f t="shared" si="19"/>
        <v>189</v>
      </c>
      <c r="Z34" s="65">
        <f t="shared" si="19"/>
        <v>181.5</v>
      </c>
      <c r="AA34" s="65">
        <f t="shared" si="19"/>
        <v>174.5</v>
      </c>
      <c r="AB34" s="65">
        <f t="shared" si="19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:AB36" si="20">+H39-H37-H38</f>
        <v>13</v>
      </c>
      <c r="I36" s="181">
        <f t="shared" si="20"/>
        <v>14</v>
      </c>
      <c r="J36" s="181">
        <f t="shared" si="20"/>
        <v>12</v>
      </c>
      <c r="K36" s="181">
        <f t="shared" si="20"/>
        <v>13</v>
      </c>
      <c r="L36" s="181">
        <f t="shared" si="20"/>
        <v>13</v>
      </c>
      <c r="M36" s="181">
        <f t="shared" si="20"/>
        <v>13</v>
      </c>
      <c r="N36" s="181">
        <f t="shared" si="20"/>
        <v>12</v>
      </c>
      <c r="O36" s="181">
        <f t="shared" si="20"/>
        <v>12</v>
      </c>
      <c r="P36" s="181">
        <f t="shared" si="20"/>
        <v>12</v>
      </c>
      <c r="Q36" s="181">
        <f t="shared" si="20"/>
        <v>12</v>
      </c>
      <c r="R36" s="181">
        <f t="shared" si="20"/>
        <v>13</v>
      </c>
      <c r="S36" s="181">
        <f t="shared" si="20"/>
        <v>13</v>
      </c>
      <c r="T36" s="181">
        <f t="shared" si="20"/>
        <v>13</v>
      </c>
      <c r="U36" s="181">
        <f t="shared" si="20"/>
        <v>13</v>
      </c>
      <c r="V36" s="181">
        <f t="shared" si="20"/>
        <v>14</v>
      </c>
      <c r="W36" s="181">
        <f t="shared" si="20"/>
        <v>16</v>
      </c>
      <c r="X36" s="181">
        <f t="shared" si="20"/>
        <v>17</v>
      </c>
      <c r="Y36" s="181">
        <f t="shared" si="20"/>
        <v>17</v>
      </c>
      <c r="Z36" s="181">
        <f t="shared" si="20"/>
        <v>16</v>
      </c>
      <c r="AA36" s="181">
        <f t="shared" si="20"/>
        <v>17</v>
      </c>
      <c r="AB36" s="181">
        <f t="shared" si="20"/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21">+I36</f>
        <v>14</v>
      </c>
      <c r="I39" s="257">
        <f t="shared" si="21"/>
        <v>12</v>
      </c>
      <c r="J39" s="257">
        <f t="shared" si="21"/>
        <v>13</v>
      </c>
      <c r="K39" s="257">
        <f t="shared" si="21"/>
        <v>13</v>
      </c>
      <c r="L39" s="257">
        <f t="shared" si="21"/>
        <v>13</v>
      </c>
      <c r="M39" s="257">
        <f t="shared" si="21"/>
        <v>12</v>
      </c>
      <c r="N39" s="257">
        <f t="shared" si="21"/>
        <v>12</v>
      </c>
      <c r="O39" s="257">
        <f t="shared" si="21"/>
        <v>12</v>
      </c>
      <c r="P39" s="257">
        <f t="shared" si="21"/>
        <v>12</v>
      </c>
      <c r="Q39" s="259">
        <f t="shared" si="21"/>
        <v>13</v>
      </c>
      <c r="R39" s="257">
        <f t="shared" si="21"/>
        <v>13</v>
      </c>
      <c r="S39" s="257">
        <f t="shared" si="21"/>
        <v>13</v>
      </c>
      <c r="T39" s="257">
        <f t="shared" si="21"/>
        <v>13</v>
      </c>
      <c r="U39" s="257">
        <f t="shared" si="21"/>
        <v>14</v>
      </c>
      <c r="V39" s="257">
        <f t="shared" si="21"/>
        <v>16</v>
      </c>
      <c r="W39" s="257">
        <f t="shared" si="21"/>
        <v>17</v>
      </c>
      <c r="X39" s="257">
        <f t="shared" si="21"/>
        <v>17</v>
      </c>
      <c r="Y39" s="257">
        <f t="shared" si="21"/>
        <v>16</v>
      </c>
      <c r="Z39" s="257">
        <f t="shared" si="21"/>
        <v>17</v>
      </c>
      <c r="AA39" s="257">
        <f t="shared" si="21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:AB41" si="22">AVERAGE(H36,H39)</f>
        <v>13.5</v>
      </c>
      <c r="I41" s="315">
        <f t="shared" si="22"/>
        <v>13</v>
      </c>
      <c r="J41" s="315">
        <f t="shared" si="22"/>
        <v>12.5</v>
      </c>
      <c r="K41" s="315">
        <f t="shared" si="22"/>
        <v>13</v>
      </c>
      <c r="L41" s="315">
        <f t="shared" si="22"/>
        <v>13</v>
      </c>
      <c r="M41" s="315">
        <f t="shared" si="22"/>
        <v>12.5</v>
      </c>
      <c r="N41" s="315">
        <f t="shared" si="22"/>
        <v>12</v>
      </c>
      <c r="O41" s="315">
        <f t="shared" si="22"/>
        <v>12</v>
      </c>
      <c r="P41" s="315">
        <f t="shared" si="22"/>
        <v>12</v>
      </c>
      <c r="Q41" s="318">
        <f t="shared" si="22"/>
        <v>12.5</v>
      </c>
      <c r="R41" s="315">
        <f t="shared" si="22"/>
        <v>13</v>
      </c>
      <c r="S41" s="315">
        <f t="shared" si="22"/>
        <v>13</v>
      </c>
      <c r="T41" s="315">
        <f t="shared" si="22"/>
        <v>13</v>
      </c>
      <c r="U41" s="315">
        <f t="shared" si="22"/>
        <v>13.5</v>
      </c>
      <c r="V41" s="315">
        <f t="shared" si="22"/>
        <v>15</v>
      </c>
      <c r="W41" s="315">
        <f t="shared" si="22"/>
        <v>16.5</v>
      </c>
      <c r="X41" s="315">
        <f t="shared" si="22"/>
        <v>17</v>
      </c>
      <c r="Y41" s="315">
        <f t="shared" si="22"/>
        <v>16.5</v>
      </c>
      <c r="Z41" s="315">
        <f t="shared" si="22"/>
        <v>16.5</v>
      </c>
      <c r="AA41" s="315">
        <f t="shared" si="22"/>
        <v>17.5</v>
      </c>
      <c r="AB41" s="316">
        <f t="shared" si="22"/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:AB42" si="23">H34/H41</f>
        <v>10.814814814814815</v>
      </c>
      <c r="I42" s="310">
        <f t="shared" si="23"/>
        <v>11.346153846153847</v>
      </c>
      <c r="J42" s="310">
        <f t="shared" si="23"/>
        <v>12.08</v>
      </c>
      <c r="K42" s="310">
        <f t="shared" si="23"/>
        <v>12.038461538461538</v>
      </c>
      <c r="L42" s="310">
        <f t="shared" si="23"/>
        <v>12.461538461538462</v>
      </c>
      <c r="M42" s="310">
        <f t="shared" si="23"/>
        <v>13.2</v>
      </c>
      <c r="N42" s="310">
        <f t="shared" si="23"/>
        <v>13.916666666666666</v>
      </c>
      <c r="O42" s="310">
        <f t="shared" si="23"/>
        <v>14.333333333333334</v>
      </c>
      <c r="P42" s="310">
        <f t="shared" si="23"/>
        <v>14.666666666666666</v>
      </c>
      <c r="Q42" s="313">
        <f t="shared" si="23"/>
        <v>14.36</v>
      </c>
      <c r="R42" s="310">
        <f t="shared" si="23"/>
        <v>13.961538461538462</v>
      </c>
      <c r="S42" s="310">
        <f t="shared" si="23"/>
        <v>13.884615384615385</v>
      </c>
      <c r="T42" s="310">
        <f t="shared" si="23"/>
        <v>14.076923076923077</v>
      </c>
      <c r="U42" s="310">
        <f t="shared" si="23"/>
        <v>14.037037037037036</v>
      </c>
      <c r="V42" s="310">
        <f t="shared" si="23"/>
        <v>12.833333333333334</v>
      </c>
      <c r="W42" s="310">
        <f t="shared" si="23"/>
        <v>11.818181818181818</v>
      </c>
      <c r="X42" s="310">
        <f t="shared" si="23"/>
        <v>11.382352941176471</v>
      </c>
      <c r="Y42" s="310">
        <f t="shared" si="23"/>
        <v>11.454545454545455</v>
      </c>
      <c r="Z42" s="310">
        <f t="shared" si="23"/>
        <v>11</v>
      </c>
      <c r="AA42" s="310">
        <f t="shared" si="23"/>
        <v>9.9714285714285715</v>
      </c>
      <c r="AB42" s="311">
        <f t="shared" si="23"/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24">(H37+H36)/H36-1</f>
        <v>7.6923076923076872E-2</v>
      </c>
      <c r="I44" s="233">
        <f t="shared" si="24"/>
        <v>0</v>
      </c>
      <c r="J44" s="233">
        <f t="shared" si="24"/>
        <v>0.16666666666666674</v>
      </c>
      <c r="K44" s="233">
        <f t="shared" si="24"/>
        <v>0</v>
      </c>
      <c r="L44" s="233">
        <f t="shared" si="24"/>
        <v>0</v>
      </c>
      <c r="M44" s="233">
        <f t="shared" si="24"/>
        <v>0</v>
      </c>
      <c r="N44" s="233">
        <f t="shared" si="24"/>
        <v>0</v>
      </c>
      <c r="O44" s="233">
        <f t="shared" si="24"/>
        <v>0</v>
      </c>
      <c r="P44" s="233">
        <f t="shared" si="24"/>
        <v>0</v>
      </c>
      <c r="Q44" s="243">
        <f t="shared" si="24"/>
        <v>8.3333333333333259E-2</v>
      </c>
      <c r="R44" s="233">
        <f t="shared" si="24"/>
        <v>7.6923076923076872E-2</v>
      </c>
      <c r="S44" s="233">
        <f t="shared" si="24"/>
        <v>0</v>
      </c>
      <c r="T44" s="233">
        <f t="shared" si="24"/>
        <v>0</v>
      </c>
      <c r="U44" s="233">
        <f t="shared" si="24"/>
        <v>0.15384615384615374</v>
      </c>
      <c r="V44" s="233">
        <f t="shared" si="24"/>
        <v>0.14285714285714279</v>
      </c>
      <c r="W44" s="233">
        <f t="shared" si="24"/>
        <v>6.25E-2</v>
      </c>
      <c r="X44" s="233">
        <f t="shared" si="24"/>
        <v>5.8823529411764719E-2</v>
      </c>
      <c r="Y44" s="233">
        <f t="shared" si="24"/>
        <v>0</v>
      </c>
      <c r="Z44" s="233">
        <f t="shared" si="24"/>
        <v>6.25E-2</v>
      </c>
      <c r="AA44" s="233">
        <f t="shared" si="24"/>
        <v>5.8823529411764719E-2</v>
      </c>
      <c r="AB44" s="244">
        <f t="shared" si="24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25">(H38+H41)/H41-1</f>
        <v>0</v>
      </c>
      <c r="I45" s="236">
        <f t="shared" si="25"/>
        <v>-0.15384615384615385</v>
      </c>
      <c r="J45" s="236">
        <f t="shared" si="25"/>
        <v>-7.999999999999996E-2</v>
      </c>
      <c r="K45" s="236">
        <f t="shared" si="25"/>
        <v>0</v>
      </c>
      <c r="L45" s="236">
        <f t="shared" si="25"/>
        <v>0</v>
      </c>
      <c r="M45" s="236">
        <f t="shared" si="25"/>
        <v>-7.999999999999996E-2</v>
      </c>
      <c r="N45" s="236">
        <f t="shared" si="25"/>
        <v>0</v>
      </c>
      <c r="O45" s="236">
        <f t="shared" si="25"/>
        <v>0</v>
      </c>
      <c r="P45" s="236">
        <f t="shared" si="25"/>
        <v>0</v>
      </c>
      <c r="Q45" s="238">
        <f t="shared" si="25"/>
        <v>0</v>
      </c>
      <c r="R45" s="236">
        <f t="shared" si="25"/>
        <v>-7.6923076923076872E-2</v>
      </c>
      <c r="S45" s="236">
        <f t="shared" si="25"/>
        <v>0</v>
      </c>
      <c r="T45" s="236">
        <f t="shared" si="25"/>
        <v>0</v>
      </c>
      <c r="U45" s="236">
        <f t="shared" si="25"/>
        <v>-7.407407407407407E-2</v>
      </c>
      <c r="V45" s="236">
        <f t="shared" si="25"/>
        <v>0</v>
      </c>
      <c r="W45" s="236">
        <f t="shared" si="25"/>
        <v>0</v>
      </c>
      <c r="X45" s="236">
        <f t="shared" si="25"/>
        <v>-5.8823529411764719E-2</v>
      </c>
      <c r="Y45" s="236">
        <f t="shared" si="25"/>
        <v>-6.0606060606060552E-2</v>
      </c>
      <c r="Z45" s="236">
        <f t="shared" si="25"/>
        <v>0</v>
      </c>
      <c r="AA45" s="236">
        <f t="shared" si="25"/>
        <v>0</v>
      </c>
      <c r="AB45" s="237">
        <f t="shared" si="25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:N47" si="26">EOMONTH(H47,0)+1</f>
        <v>45689</v>
      </c>
      <c r="J47" s="189">
        <f t="shared" si="26"/>
        <v>45717</v>
      </c>
      <c r="K47" s="189">
        <f t="shared" si="26"/>
        <v>45748</v>
      </c>
      <c r="L47" s="189">
        <f t="shared" si="26"/>
        <v>45778</v>
      </c>
      <c r="M47" s="189">
        <f t="shared" si="26"/>
        <v>45809</v>
      </c>
      <c r="N47" s="189">
        <f t="shared" si="26"/>
        <v>45839</v>
      </c>
      <c r="O47" s="189">
        <v>45870</v>
      </c>
      <c r="P47" s="189">
        <f t="shared" ref="P47:AB47" si="27">EOMONTH(O47,0)+1</f>
        <v>45901</v>
      </c>
      <c r="Q47" s="189">
        <f t="shared" si="27"/>
        <v>45931</v>
      </c>
      <c r="R47" s="189">
        <f t="shared" si="27"/>
        <v>45962</v>
      </c>
      <c r="S47" s="189">
        <f t="shared" si="27"/>
        <v>45992</v>
      </c>
      <c r="T47" s="189">
        <f t="shared" si="27"/>
        <v>46023</v>
      </c>
      <c r="U47" s="189">
        <f t="shared" si="27"/>
        <v>46054</v>
      </c>
      <c r="V47" s="189">
        <f t="shared" si="27"/>
        <v>46082</v>
      </c>
      <c r="W47" s="189">
        <f t="shared" si="27"/>
        <v>46113</v>
      </c>
      <c r="X47" s="189">
        <f t="shared" si="27"/>
        <v>46143</v>
      </c>
      <c r="Y47" s="189">
        <f t="shared" si="27"/>
        <v>46174</v>
      </c>
      <c r="Z47" s="189">
        <f t="shared" si="27"/>
        <v>46204</v>
      </c>
      <c r="AA47" s="189">
        <f t="shared" si="27"/>
        <v>46235</v>
      </c>
      <c r="AB47" s="189">
        <f t="shared" si="27"/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28">+I$19</f>
        <v>147.5</v>
      </c>
      <c r="J49" s="65">
        <f t="shared" si="28"/>
        <v>151</v>
      </c>
      <c r="K49" s="65">
        <f t="shared" si="28"/>
        <v>156.5</v>
      </c>
      <c r="L49" s="65">
        <f t="shared" si="28"/>
        <v>162</v>
      </c>
      <c r="M49" s="65">
        <f t="shared" si="28"/>
        <v>165</v>
      </c>
      <c r="N49" s="65">
        <f t="shared" si="28"/>
        <v>167</v>
      </c>
      <c r="O49" s="65">
        <f t="shared" si="28"/>
        <v>172</v>
      </c>
      <c r="P49" s="65">
        <f t="shared" si="28"/>
        <v>176</v>
      </c>
      <c r="Q49" s="65">
        <f t="shared" si="28"/>
        <v>179.5</v>
      </c>
      <c r="R49" s="65">
        <f t="shared" si="28"/>
        <v>181.5</v>
      </c>
      <c r="S49" s="65">
        <f t="shared" si="28"/>
        <v>180.5</v>
      </c>
      <c r="T49" s="65">
        <f t="shared" si="28"/>
        <v>183</v>
      </c>
      <c r="U49" s="65">
        <f t="shared" si="28"/>
        <v>189.5</v>
      </c>
      <c r="V49" s="65">
        <f t="shared" si="28"/>
        <v>192.5</v>
      </c>
      <c r="W49" s="65">
        <f t="shared" si="28"/>
        <v>195</v>
      </c>
      <c r="X49" s="65">
        <f t="shared" si="28"/>
        <v>193.5</v>
      </c>
      <c r="Y49" s="65">
        <f t="shared" si="28"/>
        <v>189</v>
      </c>
      <c r="Z49" s="65">
        <f t="shared" si="28"/>
        <v>181.5</v>
      </c>
      <c r="AA49" s="65">
        <f t="shared" si="28"/>
        <v>174.5</v>
      </c>
      <c r="AB49" s="65">
        <f t="shared" si="28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:AB51" si="29">+H54-H52-H53</f>
        <v>1</v>
      </c>
      <c r="I51" s="181">
        <f t="shared" si="29"/>
        <v>1</v>
      </c>
      <c r="J51" s="181">
        <f t="shared" si="29"/>
        <v>2</v>
      </c>
      <c r="K51" s="181">
        <f t="shared" si="29"/>
        <v>2</v>
      </c>
      <c r="L51" s="181">
        <f t="shared" si="29"/>
        <v>2</v>
      </c>
      <c r="M51" s="181">
        <f t="shared" si="29"/>
        <v>2</v>
      </c>
      <c r="N51" s="181">
        <f t="shared" si="29"/>
        <v>2</v>
      </c>
      <c r="O51" s="181">
        <f t="shared" si="29"/>
        <v>2</v>
      </c>
      <c r="P51" s="181">
        <f t="shared" si="29"/>
        <v>2</v>
      </c>
      <c r="Q51" s="181">
        <f t="shared" si="29"/>
        <v>3</v>
      </c>
      <c r="R51" s="181">
        <f t="shared" si="29"/>
        <v>3</v>
      </c>
      <c r="S51" s="181">
        <f t="shared" si="29"/>
        <v>3</v>
      </c>
      <c r="T51" s="181">
        <f t="shared" si="29"/>
        <v>2</v>
      </c>
      <c r="U51" s="181">
        <f t="shared" si="29"/>
        <v>2</v>
      </c>
      <c r="V51" s="181">
        <f t="shared" si="29"/>
        <v>4</v>
      </c>
      <c r="W51" s="181">
        <f t="shared" si="29"/>
        <v>4</v>
      </c>
      <c r="X51" s="181">
        <f t="shared" si="29"/>
        <v>4</v>
      </c>
      <c r="Y51" s="181">
        <f t="shared" si="29"/>
        <v>4</v>
      </c>
      <c r="Z51" s="181">
        <f t="shared" si="29"/>
        <v>4</v>
      </c>
      <c r="AA51" s="181">
        <f t="shared" si="29"/>
        <v>4</v>
      </c>
      <c r="AB51" s="181">
        <f t="shared" si="29"/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30">+I51</f>
        <v>1</v>
      </c>
      <c r="I54" s="257">
        <f t="shared" si="30"/>
        <v>2</v>
      </c>
      <c r="J54" s="257">
        <f t="shared" si="30"/>
        <v>2</v>
      </c>
      <c r="K54" s="257">
        <f t="shared" si="30"/>
        <v>2</v>
      </c>
      <c r="L54" s="257">
        <f t="shared" si="30"/>
        <v>2</v>
      </c>
      <c r="M54" s="257">
        <f t="shared" si="30"/>
        <v>2</v>
      </c>
      <c r="N54" s="257">
        <f t="shared" si="30"/>
        <v>2</v>
      </c>
      <c r="O54" s="257">
        <f t="shared" si="30"/>
        <v>2</v>
      </c>
      <c r="P54" s="257">
        <f t="shared" si="30"/>
        <v>3</v>
      </c>
      <c r="Q54" s="259">
        <f t="shared" si="30"/>
        <v>3</v>
      </c>
      <c r="R54" s="257">
        <f t="shared" si="30"/>
        <v>3</v>
      </c>
      <c r="S54" s="257">
        <f t="shared" si="30"/>
        <v>2</v>
      </c>
      <c r="T54" s="257">
        <f t="shared" si="30"/>
        <v>2</v>
      </c>
      <c r="U54" s="257">
        <f t="shared" si="30"/>
        <v>4</v>
      </c>
      <c r="V54" s="257">
        <f t="shared" si="30"/>
        <v>4</v>
      </c>
      <c r="W54" s="257">
        <f t="shared" si="30"/>
        <v>4</v>
      </c>
      <c r="X54" s="257">
        <f t="shared" si="30"/>
        <v>4</v>
      </c>
      <c r="Y54" s="257">
        <f t="shared" si="30"/>
        <v>4</v>
      </c>
      <c r="Z54" s="257">
        <f t="shared" si="30"/>
        <v>4</v>
      </c>
      <c r="AA54" s="257">
        <f t="shared" si="30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:AB56" si="31">AVERAGE(H51,H54)</f>
        <v>1</v>
      </c>
      <c r="I56" s="315">
        <f t="shared" si="31"/>
        <v>1.5</v>
      </c>
      <c r="J56" s="315">
        <f t="shared" si="31"/>
        <v>2</v>
      </c>
      <c r="K56" s="315">
        <f t="shared" si="31"/>
        <v>2</v>
      </c>
      <c r="L56" s="315">
        <f t="shared" si="31"/>
        <v>2</v>
      </c>
      <c r="M56" s="315">
        <f t="shared" si="31"/>
        <v>2</v>
      </c>
      <c r="N56" s="315">
        <f t="shared" si="31"/>
        <v>2</v>
      </c>
      <c r="O56" s="315">
        <f t="shared" si="31"/>
        <v>2</v>
      </c>
      <c r="P56" s="315">
        <f t="shared" si="31"/>
        <v>2.5</v>
      </c>
      <c r="Q56" s="318">
        <f t="shared" si="31"/>
        <v>3</v>
      </c>
      <c r="R56" s="315">
        <f t="shared" si="31"/>
        <v>3</v>
      </c>
      <c r="S56" s="315">
        <f t="shared" si="31"/>
        <v>2.5</v>
      </c>
      <c r="T56" s="315">
        <f t="shared" si="31"/>
        <v>2</v>
      </c>
      <c r="U56" s="315">
        <f t="shared" si="31"/>
        <v>3</v>
      </c>
      <c r="V56" s="315">
        <f t="shared" si="31"/>
        <v>4</v>
      </c>
      <c r="W56" s="315">
        <f t="shared" si="31"/>
        <v>4</v>
      </c>
      <c r="X56" s="315">
        <f t="shared" si="31"/>
        <v>4</v>
      </c>
      <c r="Y56" s="315">
        <f t="shared" si="31"/>
        <v>4</v>
      </c>
      <c r="Z56" s="315">
        <f t="shared" si="31"/>
        <v>4</v>
      </c>
      <c r="AA56" s="315">
        <f t="shared" si="31"/>
        <v>4</v>
      </c>
      <c r="AB56" s="316">
        <f t="shared" si="31"/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:AB57" si="32">H49/H56</f>
        <v>146</v>
      </c>
      <c r="I57" s="310">
        <f t="shared" si="32"/>
        <v>98.333333333333329</v>
      </c>
      <c r="J57" s="310">
        <f t="shared" si="32"/>
        <v>75.5</v>
      </c>
      <c r="K57" s="310">
        <f t="shared" si="32"/>
        <v>78.25</v>
      </c>
      <c r="L57" s="310">
        <f t="shared" si="32"/>
        <v>81</v>
      </c>
      <c r="M57" s="310">
        <f t="shared" si="32"/>
        <v>82.5</v>
      </c>
      <c r="N57" s="310">
        <f t="shared" si="32"/>
        <v>83.5</v>
      </c>
      <c r="O57" s="310">
        <f t="shared" si="32"/>
        <v>86</v>
      </c>
      <c r="P57" s="310">
        <f t="shared" si="32"/>
        <v>70.400000000000006</v>
      </c>
      <c r="Q57" s="313">
        <f t="shared" si="32"/>
        <v>59.833333333333336</v>
      </c>
      <c r="R57" s="310">
        <f t="shared" si="32"/>
        <v>60.5</v>
      </c>
      <c r="S57" s="310">
        <f t="shared" si="32"/>
        <v>72.2</v>
      </c>
      <c r="T57" s="310">
        <f t="shared" si="32"/>
        <v>91.5</v>
      </c>
      <c r="U57" s="310">
        <f t="shared" si="32"/>
        <v>63.166666666666664</v>
      </c>
      <c r="V57" s="310">
        <f t="shared" si="32"/>
        <v>48.125</v>
      </c>
      <c r="W57" s="310">
        <f t="shared" si="32"/>
        <v>48.75</v>
      </c>
      <c r="X57" s="310">
        <f t="shared" si="32"/>
        <v>48.375</v>
      </c>
      <c r="Y57" s="310">
        <f t="shared" si="32"/>
        <v>47.25</v>
      </c>
      <c r="Z57" s="310">
        <f t="shared" si="32"/>
        <v>45.375</v>
      </c>
      <c r="AA57" s="310">
        <f t="shared" si="32"/>
        <v>43.625</v>
      </c>
      <c r="AB57" s="311">
        <f t="shared" si="32"/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33">(H52+H51)/H51-1</f>
        <v>0</v>
      </c>
      <c r="I59" s="233">
        <f t="shared" si="33"/>
        <v>1</v>
      </c>
      <c r="J59" s="233">
        <f t="shared" si="33"/>
        <v>0.5</v>
      </c>
      <c r="K59" s="233">
        <f t="shared" si="33"/>
        <v>0</v>
      </c>
      <c r="L59" s="233">
        <f t="shared" si="33"/>
        <v>0</v>
      </c>
      <c r="M59" s="233">
        <f t="shared" si="33"/>
        <v>0</v>
      </c>
      <c r="N59" s="233">
        <f t="shared" si="33"/>
        <v>0</v>
      </c>
      <c r="O59" s="233">
        <f t="shared" si="33"/>
        <v>0</v>
      </c>
      <c r="P59" s="233">
        <f t="shared" si="33"/>
        <v>0.5</v>
      </c>
      <c r="Q59" s="243">
        <f t="shared" si="33"/>
        <v>0</v>
      </c>
      <c r="R59" s="233">
        <f t="shared" si="33"/>
        <v>0</v>
      </c>
      <c r="S59" s="233">
        <f t="shared" si="33"/>
        <v>0</v>
      </c>
      <c r="T59" s="233">
        <f t="shared" si="33"/>
        <v>0</v>
      </c>
      <c r="U59" s="233">
        <f t="shared" si="33"/>
        <v>1</v>
      </c>
      <c r="V59" s="233">
        <f t="shared" si="33"/>
        <v>0</v>
      </c>
      <c r="W59" s="233">
        <f t="shared" si="33"/>
        <v>0</v>
      </c>
      <c r="X59" s="233">
        <f t="shared" si="33"/>
        <v>0</v>
      </c>
      <c r="Y59" s="233">
        <f t="shared" si="33"/>
        <v>0</v>
      </c>
      <c r="Z59" s="233">
        <f t="shared" si="33"/>
        <v>0</v>
      </c>
      <c r="AA59" s="233">
        <f t="shared" si="33"/>
        <v>0.25</v>
      </c>
      <c r="AB59" s="244">
        <f t="shared" si="33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34">(H53+H56)/H56-1</f>
        <v>0</v>
      </c>
      <c r="I60" s="236">
        <f t="shared" si="34"/>
        <v>0</v>
      </c>
      <c r="J60" s="236">
        <f t="shared" si="34"/>
        <v>-0.5</v>
      </c>
      <c r="K60" s="236">
        <f t="shared" si="34"/>
        <v>0</v>
      </c>
      <c r="L60" s="236">
        <f t="shared" si="34"/>
        <v>0</v>
      </c>
      <c r="M60" s="236">
        <f t="shared" si="34"/>
        <v>0</v>
      </c>
      <c r="N60" s="236">
        <f t="shared" si="34"/>
        <v>0</v>
      </c>
      <c r="O60" s="236">
        <f t="shared" si="34"/>
        <v>0</v>
      </c>
      <c r="P60" s="236">
        <f t="shared" si="34"/>
        <v>0</v>
      </c>
      <c r="Q60" s="238">
        <f t="shared" si="34"/>
        <v>0</v>
      </c>
      <c r="R60" s="236">
        <f t="shared" si="34"/>
        <v>0</v>
      </c>
      <c r="S60" s="236">
        <f t="shared" si="34"/>
        <v>-0.4</v>
      </c>
      <c r="T60" s="236">
        <f t="shared" si="34"/>
        <v>0</v>
      </c>
      <c r="U60" s="236">
        <f t="shared" si="34"/>
        <v>0</v>
      </c>
      <c r="V60" s="236">
        <f t="shared" si="34"/>
        <v>0</v>
      </c>
      <c r="W60" s="236">
        <f t="shared" si="34"/>
        <v>0</v>
      </c>
      <c r="X60" s="236">
        <f t="shared" si="34"/>
        <v>0</v>
      </c>
      <c r="Y60" s="236">
        <f t="shared" si="34"/>
        <v>0</v>
      </c>
      <c r="Z60" s="236">
        <f t="shared" si="34"/>
        <v>0</v>
      </c>
      <c r="AA60" s="236">
        <f t="shared" si="34"/>
        <v>-0.25</v>
      </c>
      <c r="AB60" s="237">
        <f t="shared" si="34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:N62" si="35">EOMONTH(H62,0)+1</f>
        <v>45689</v>
      </c>
      <c r="J62" s="189">
        <f t="shared" si="35"/>
        <v>45717</v>
      </c>
      <c r="K62" s="189">
        <f t="shared" si="35"/>
        <v>45748</v>
      </c>
      <c r="L62" s="189">
        <f t="shared" si="35"/>
        <v>45778</v>
      </c>
      <c r="M62" s="189">
        <f t="shared" si="35"/>
        <v>45809</v>
      </c>
      <c r="N62" s="189">
        <f t="shared" si="35"/>
        <v>45839</v>
      </c>
      <c r="O62" s="189">
        <v>45870</v>
      </c>
      <c r="P62" s="189">
        <f t="shared" ref="P62:AB62" si="36">EOMONTH(O62,0)+1</f>
        <v>45901</v>
      </c>
      <c r="Q62" s="189">
        <f t="shared" si="36"/>
        <v>45931</v>
      </c>
      <c r="R62" s="189">
        <f t="shared" si="36"/>
        <v>45962</v>
      </c>
      <c r="S62" s="189">
        <f t="shared" si="36"/>
        <v>45992</v>
      </c>
      <c r="T62" s="189">
        <f t="shared" si="36"/>
        <v>46023</v>
      </c>
      <c r="U62" s="189">
        <f t="shared" si="36"/>
        <v>46054</v>
      </c>
      <c r="V62" s="189">
        <f t="shared" si="36"/>
        <v>46082</v>
      </c>
      <c r="W62" s="189">
        <f t="shared" si="36"/>
        <v>46113</v>
      </c>
      <c r="X62" s="189">
        <f t="shared" si="36"/>
        <v>46143</v>
      </c>
      <c r="Y62" s="189">
        <f t="shared" si="36"/>
        <v>46174</v>
      </c>
      <c r="Z62" s="189">
        <f t="shared" si="36"/>
        <v>46204</v>
      </c>
      <c r="AA62" s="189">
        <f t="shared" si="36"/>
        <v>46235</v>
      </c>
      <c r="AB62" s="189">
        <f t="shared" si="36"/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37">+I$19</f>
        <v>147.5</v>
      </c>
      <c r="J64" s="65">
        <f t="shared" si="37"/>
        <v>151</v>
      </c>
      <c r="K64" s="65">
        <f t="shared" si="37"/>
        <v>156.5</v>
      </c>
      <c r="L64" s="65">
        <f t="shared" si="37"/>
        <v>162</v>
      </c>
      <c r="M64" s="65">
        <f t="shared" si="37"/>
        <v>165</v>
      </c>
      <c r="N64" s="65">
        <f t="shared" si="37"/>
        <v>167</v>
      </c>
      <c r="O64" s="65">
        <f t="shared" si="37"/>
        <v>172</v>
      </c>
      <c r="P64" s="65">
        <f t="shared" si="37"/>
        <v>176</v>
      </c>
      <c r="Q64" s="65">
        <f t="shared" si="37"/>
        <v>179.5</v>
      </c>
      <c r="R64" s="65">
        <f t="shared" si="37"/>
        <v>181.5</v>
      </c>
      <c r="S64" s="65">
        <f t="shared" si="37"/>
        <v>180.5</v>
      </c>
      <c r="T64" s="65">
        <f t="shared" si="37"/>
        <v>183</v>
      </c>
      <c r="U64" s="65">
        <f t="shared" si="37"/>
        <v>189.5</v>
      </c>
      <c r="V64" s="65">
        <f t="shared" si="37"/>
        <v>192.5</v>
      </c>
      <c r="W64" s="65">
        <f t="shared" si="37"/>
        <v>195</v>
      </c>
      <c r="X64" s="65">
        <f t="shared" si="37"/>
        <v>193.5</v>
      </c>
      <c r="Y64" s="65">
        <f t="shared" si="37"/>
        <v>189</v>
      </c>
      <c r="Z64" s="65">
        <f t="shared" si="37"/>
        <v>181.5</v>
      </c>
      <c r="AA64" s="65">
        <f t="shared" si="37"/>
        <v>174.5</v>
      </c>
      <c r="AB64" s="65">
        <f t="shared" si="37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:AB66" si="38">+H69-H67-H68</f>
        <v>1</v>
      </c>
      <c r="I66" s="181">
        <f t="shared" si="38"/>
        <v>2</v>
      </c>
      <c r="J66" s="181">
        <f t="shared" si="38"/>
        <v>2</v>
      </c>
      <c r="K66" s="181">
        <f t="shared" si="38"/>
        <v>2</v>
      </c>
      <c r="L66" s="181">
        <f t="shared" si="38"/>
        <v>3</v>
      </c>
      <c r="M66" s="181">
        <f t="shared" si="38"/>
        <v>3</v>
      </c>
      <c r="N66" s="181">
        <f t="shared" si="38"/>
        <v>3</v>
      </c>
      <c r="O66" s="181">
        <f t="shared" si="38"/>
        <v>3</v>
      </c>
      <c r="P66" s="181">
        <f t="shared" si="38"/>
        <v>4</v>
      </c>
      <c r="Q66" s="181">
        <f t="shared" si="38"/>
        <v>4</v>
      </c>
      <c r="R66" s="181">
        <f t="shared" si="38"/>
        <v>5</v>
      </c>
      <c r="S66" s="181">
        <f t="shared" si="38"/>
        <v>4</v>
      </c>
      <c r="T66" s="181">
        <f t="shared" si="38"/>
        <v>5</v>
      </c>
      <c r="U66" s="181">
        <f t="shared" si="38"/>
        <v>5</v>
      </c>
      <c r="V66" s="181">
        <f t="shared" si="38"/>
        <v>6</v>
      </c>
      <c r="W66" s="181">
        <f t="shared" si="38"/>
        <v>7</v>
      </c>
      <c r="X66" s="181">
        <f t="shared" si="38"/>
        <v>6</v>
      </c>
      <c r="Y66" s="181">
        <f t="shared" si="38"/>
        <v>6</v>
      </c>
      <c r="Z66" s="181">
        <f t="shared" si="38"/>
        <v>6</v>
      </c>
      <c r="AA66" s="181">
        <f t="shared" si="38"/>
        <v>4</v>
      </c>
      <c r="AB66" s="181">
        <f t="shared" si="38"/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39">+I66</f>
        <v>2</v>
      </c>
      <c r="I69" s="257">
        <f t="shared" si="39"/>
        <v>2</v>
      </c>
      <c r="J69" s="257">
        <f t="shared" si="39"/>
        <v>2</v>
      </c>
      <c r="K69" s="257">
        <f t="shared" si="39"/>
        <v>3</v>
      </c>
      <c r="L69" s="257">
        <f t="shared" si="39"/>
        <v>3</v>
      </c>
      <c r="M69" s="257">
        <f t="shared" si="39"/>
        <v>3</v>
      </c>
      <c r="N69" s="257">
        <f t="shared" si="39"/>
        <v>3</v>
      </c>
      <c r="O69" s="257">
        <f t="shared" si="39"/>
        <v>4</v>
      </c>
      <c r="P69" s="257">
        <f t="shared" si="39"/>
        <v>4</v>
      </c>
      <c r="Q69" s="259">
        <f t="shared" si="39"/>
        <v>5</v>
      </c>
      <c r="R69" s="257">
        <f t="shared" si="39"/>
        <v>4</v>
      </c>
      <c r="S69" s="257">
        <f t="shared" si="39"/>
        <v>5</v>
      </c>
      <c r="T69" s="257">
        <f t="shared" si="39"/>
        <v>5</v>
      </c>
      <c r="U69" s="257">
        <f t="shared" si="39"/>
        <v>6</v>
      </c>
      <c r="V69" s="257">
        <f t="shared" si="39"/>
        <v>7</v>
      </c>
      <c r="W69" s="257">
        <f t="shared" si="39"/>
        <v>6</v>
      </c>
      <c r="X69" s="257">
        <f t="shared" si="39"/>
        <v>6</v>
      </c>
      <c r="Y69" s="257">
        <f t="shared" si="39"/>
        <v>6</v>
      </c>
      <c r="Z69" s="257">
        <f t="shared" si="39"/>
        <v>4</v>
      </c>
      <c r="AA69" s="257">
        <f t="shared" si="39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:AB71" si="40">AVERAGE(H66,H69)</f>
        <v>1.5</v>
      </c>
      <c r="I71" s="315">
        <f t="shared" si="40"/>
        <v>2</v>
      </c>
      <c r="J71" s="315">
        <f t="shared" si="40"/>
        <v>2</v>
      </c>
      <c r="K71" s="315">
        <f t="shared" si="40"/>
        <v>2.5</v>
      </c>
      <c r="L71" s="315">
        <f t="shared" si="40"/>
        <v>3</v>
      </c>
      <c r="M71" s="315">
        <f t="shared" si="40"/>
        <v>3</v>
      </c>
      <c r="N71" s="315">
        <f t="shared" si="40"/>
        <v>3</v>
      </c>
      <c r="O71" s="315">
        <f t="shared" si="40"/>
        <v>3.5</v>
      </c>
      <c r="P71" s="315">
        <f t="shared" si="40"/>
        <v>4</v>
      </c>
      <c r="Q71" s="318">
        <f t="shared" si="40"/>
        <v>4.5</v>
      </c>
      <c r="R71" s="315">
        <f t="shared" si="40"/>
        <v>4.5</v>
      </c>
      <c r="S71" s="315">
        <f t="shared" si="40"/>
        <v>4.5</v>
      </c>
      <c r="T71" s="315">
        <f t="shared" si="40"/>
        <v>5</v>
      </c>
      <c r="U71" s="315">
        <f t="shared" si="40"/>
        <v>5.5</v>
      </c>
      <c r="V71" s="315">
        <f t="shared" si="40"/>
        <v>6.5</v>
      </c>
      <c r="W71" s="315">
        <f t="shared" si="40"/>
        <v>6.5</v>
      </c>
      <c r="X71" s="315">
        <f t="shared" si="40"/>
        <v>6</v>
      </c>
      <c r="Y71" s="315">
        <f t="shared" si="40"/>
        <v>6</v>
      </c>
      <c r="Z71" s="315">
        <f t="shared" si="40"/>
        <v>5</v>
      </c>
      <c r="AA71" s="315">
        <f t="shared" si="40"/>
        <v>4</v>
      </c>
      <c r="AB71" s="316">
        <f t="shared" si="40"/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:AB72" si="41">H64/H71</f>
        <v>97.333333333333329</v>
      </c>
      <c r="I72" s="310">
        <f t="shared" si="41"/>
        <v>73.75</v>
      </c>
      <c r="J72" s="310">
        <f t="shared" si="41"/>
        <v>75.5</v>
      </c>
      <c r="K72" s="310">
        <f t="shared" si="41"/>
        <v>62.6</v>
      </c>
      <c r="L72" s="310">
        <f t="shared" si="41"/>
        <v>54</v>
      </c>
      <c r="M72" s="310">
        <f t="shared" si="41"/>
        <v>55</v>
      </c>
      <c r="N72" s="310">
        <f t="shared" si="41"/>
        <v>55.666666666666664</v>
      </c>
      <c r="O72" s="310">
        <f t="shared" si="41"/>
        <v>49.142857142857146</v>
      </c>
      <c r="P72" s="310">
        <f t="shared" si="41"/>
        <v>44</v>
      </c>
      <c r="Q72" s="313">
        <f t="shared" si="41"/>
        <v>39.888888888888886</v>
      </c>
      <c r="R72" s="310">
        <f t="shared" si="41"/>
        <v>40.333333333333336</v>
      </c>
      <c r="S72" s="310">
        <f t="shared" si="41"/>
        <v>40.111111111111114</v>
      </c>
      <c r="T72" s="310">
        <f t="shared" si="41"/>
        <v>36.6</v>
      </c>
      <c r="U72" s="310">
        <f t="shared" si="41"/>
        <v>34.454545454545453</v>
      </c>
      <c r="V72" s="310">
        <f t="shared" si="41"/>
        <v>29.615384615384617</v>
      </c>
      <c r="W72" s="310">
        <f t="shared" si="41"/>
        <v>30</v>
      </c>
      <c r="X72" s="310">
        <f t="shared" si="41"/>
        <v>32.25</v>
      </c>
      <c r="Y72" s="310">
        <f t="shared" si="41"/>
        <v>31.5</v>
      </c>
      <c r="Z72" s="310">
        <f t="shared" si="41"/>
        <v>36.299999999999997</v>
      </c>
      <c r="AA72" s="310">
        <f t="shared" si="41"/>
        <v>43.625</v>
      </c>
      <c r="AB72" s="311">
        <f t="shared" si="41"/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42">(H67+H66)/H66-1</f>
        <v>1</v>
      </c>
      <c r="I74" s="233">
        <f t="shared" si="42"/>
        <v>0</v>
      </c>
      <c r="J74" s="233">
        <f t="shared" si="42"/>
        <v>0</v>
      </c>
      <c r="K74" s="233">
        <f t="shared" si="42"/>
        <v>0.5</v>
      </c>
      <c r="L74" s="233">
        <f t="shared" si="42"/>
        <v>0</v>
      </c>
      <c r="M74" s="233">
        <f t="shared" si="42"/>
        <v>0</v>
      </c>
      <c r="N74" s="233">
        <f t="shared" si="42"/>
        <v>0</v>
      </c>
      <c r="O74" s="233">
        <f t="shared" si="42"/>
        <v>0.33333333333333326</v>
      </c>
      <c r="P74" s="233">
        <f t="shared" si="42"/>
        <v>0</v>
      </c>
      <c r="Q74" s="243">
        <f t="shared" si="42"/>
        <v>0.25</v>
      </c>
      <c r="R74" s="233">
        <f t="shared" si="42"/>
        <v>0</v>
      </c>
      <c r="S74" s="233">
        <f t="shared" si="42"/>
        <v>0.25</v>
      </c>
      <c r="T74" s="233">
        <f t="shared" si="42"/>
        <v>0</v>
      </c>
      <c r="U74" s="233">
        <f t="shared" si="42"/>
        <v>0.19999999999999996</v>
      </c>
      <c r="V74" s="233">
        <f t="shared" si="42"/>
        <v>0.16666666666666674</v>
      </c>
      <c r="W74" s="233">
        <f t="shared" si="42"/>
        <v>0</v>
      </c>
      <c r="X74" s="233">
        <f t="shared" si="42"/>
        <v>0.33333333333333326</v>
      </c>
      <c r="Y74" s="233">
        <f t="shared" si="42"/>
        <v>0</v>
      </c>
      <c r="Z74" s="233">
        <f t="shared" si="42"/>
        <v>0</v>
      </c>
      <c r="AA74" s="233">
        <f t="shared" si="42"/>
        <v>0</v>
      </c>
      <c r="AB74" s="244">
        <f t="shared" si="42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43">(H68+H71)/H71-1</f>
        <v>0</v>
      </c>
      <c r="I75" s="236">
        <f t="shared" si="43"/>
        <v>0</v>
      </c>
      <c r="J75" s="236">
        <f t="shared" si="43"/>
        <v>0</v>
      </c>
      <c r="K75" s="236">
        <f t="shared" si="43"/>
        <v>0</v>
      </c>
      <c r="L75" s="236">
        <f t="shared" si="43"/>
        <v>0</v>
      </c>
      <c r="M75" s="236">
        <f t="shared" si="43"/>
        <v>0</v>
      </c>
      <c r="N75" s="236">
        <f t="shared" si="43"/>
        <v>0</v>
      </c>
      <c r="O75" s="236">
        <f t="shared" si="43"/>
        <v>0</v>
      </c>
      <c r="P75" s="236">
        <f t="shared" si="43"/>
        <v>0</v>
      </c>
      <c r="Q75" s="238">
        <f t="shared" si="43"/>
        <v>0</v>
      </c>
      <c r="R75" s="236">
        <f t="shared" si="43"/>
        <v>-0.22222222222222221</v>
      </c>
      <c r="S75" s="236">
        <f t="shared" si="43"/>
        <v>0</v>
      </c>
      <c r="T75" s="236">
        <f t="shared" si="43"/>
        <v>0</v>
      </c>
      <c r="U75" s="236">
        <f t="shared" si="43"/>
        <v>0</v>
      </c>
      <c r="V75" s="236">
        <f t="shared" si="43"/>
        <v>0</v>
      </c>
      <c r="W75" s="236">
        <f t="shared" si="43"/>
        <v>-0.15384615384615385</v>
      </c>
      <c r="X75" s="236">
        <f t="shared" si="43"/>
        <v>-0.33333333333333337</v>
      </c>
      <c r="Y75" s="236">
        <f t="shared" si="43"/>
        <v>0</v>
      </c>
      <c r="Z75" s="236">
        <f t="shared" si="43"/>
        <v>-0.4</v>
      </c>
      <c r="AA75" s="236">
        <f t="shared" si="43"/>
        <v>0</v>
      </c>
      <c r="AB75" s="237">
        <f t="shared" si="43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:N77" si="44">EOMONTH(H77,0)+1</f>
        <v>45689</v>
      </c>
      <c r="J77" s="189">
        <f t="shared" si="44"/>
        <v>45717</v>
      </c>
      <c r="K77" s="189">
        <f t="shared" si="44"/>
        <v>45748</v>
      </c>
      <c r="L77" s="189">
        <f t="shared" si="44"/>
        <v>45778</v>
      </c>
      <c r="M77" s="189">
        <f t="shared" si="44"/>
        <v>45809</v>
      </c>
      <c r="N77" s="189">
        <f t="shared" si="44"/>
        <v>45839</v>
      </c>
      <c r="O77" s="189">
        <v>45870</v>
      </c>
      <c r="P77" s="189">
        <f t="shared" ref="P77:AB77" si="45">EOMONTH(O77,0)+1</f>
        <v>45901</v>
      </c>
      <c r="Q77" s="189">
        <f t="shared" si="45"/>
        <v>45931</v>
      </c>
      <c r="R77" s="189">
        <f t="shared" si="45"/>
        <v>45962</v>
      </c>
      <c r="S77" s="189">
        <f t="shared" si="45"/>
        <v>45992</v>
      </c>
      <c r="T77" s="189">
        <f t="shared" si="45"/>
        <v>46023</v>
      </c>
      <c r="U77" s="189">
        <f t="shared" si="45"/>
        <v>46054</v>
      </c>
      <c r="V77" s="189">
        <f t="shared" si="45"/>
        <v>46082</v>
      </c>
      <c r="W77" s="189">
        <f t="shared" si="45"/>
        <v>46113</v>
      </c>
      <c r="X77" s="189">
        <f t="shared" si="45"/>
        <v>46143</v>
      </c>
      <c r="Y77" s="189">
        <f t="shared" si="45"/>
        <v>46174</v>
      </c>
      <c r="Z77" s="189">
        <f t="shared" si="45"/>
        <v>46204</v>
      </c>
      <c r="AA77" s="189">
        <f t="shared" si="45"/>
        <v>46235</v>
      </c>
      <c r="AB77" s="189">
        <f t="shared" si="45"/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46">+I$19</f>
        <v>147.5</v>
      </c>
      <c r="J79" s="65">
        <f t="shared" si="46"/>
        <v>151</v>
      </c>
      <c r="K79" s="65">
        <f t="shared" si="46"/>
        <v>156.5</v>
      </c>
      <c r="L79" s="65">
        <f t="shared" si="46"/>
        <v>162</v>
      </c>
      <c r="M79" s="65">
        <f t="shared" si="46"/>
        <v>165</v>
      </c>
      <c r="N79" s="65">
        <f t="shared" si="46"/>
        <v>167</v>
      </c>
      <c r="O79" s="65">
        <f t="shared" si="46"/>
        <v>172</v>
      </c>
      <c r="P79" s="65">
        <f t="shared" si="46"/>
        <v>176</v>
      </c>
      <c r="Q79" s="65">
        <f t="shared" si="46"/>
        <v>179.5</v>
      </c>
      <c r="R79" s="65">
        <f t="shared" si="46"/>
        <v>181.5</v>
      </c>
      <c r="S79" s="65">
        <f t="shared" si="46"/>
        <v>180.5</v>
      </c>
      <c r="T79" s="65">
        <f t="shared" si="46"/>
        <v>183</v>
      </c>
      <c r="U79" s="65">
        <f t="shared" si="46"/>
        <v>189.5</v>
      </c>
      <c r="V79" s="65">
        <f t="shared" si="46"/>
        <v>192.5</v>
      </c>
      <c r="W79" s="65">
        <f t="shared" si="46"/>
        <v>195</v>
      </c>
      <c r="X79" s="65">
        <f t="shared" si="46"/>
        <v>193.5</v>
      </c>
      <c r="Y79" s="65">
        <f t="shared" si="46"/>
        <v>189</v>
      </c>
      <c r="Z79" s="65">
        <f t="shared" si="46"/>
        <v>181.5</v>
      </c>
      <c r="AA79" s="65">
        <f t="shared" si="46"/>
        <v>174.5</v>
      </c>
      <c r="AB79" s="65">
        <f t="shared" si="46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:AB81" si="47">+H84-H82-H83</f>
        <v>4</v>
      </c>
      <c r="I81" s="181">
        <f t="shared" si="47"/>
        <v>3</v>
      </c>
      <c r="J81" s="181">
        <f t="shared" si="47"/>
        <v>3</v>
      </c>
      <c r="K81" s="181">
        <f t="shared" si="47"/>
        <v>3</v>
      </c>
      <c r="L81" s="181">
        <f t="shared" si="47"/>
        <v>3</v>
      </c>
      <c r="M81" s="181">
        <f t="shared" si="47"/>
        <v>3</v>
      </c>
      <c r="N81" s="181">
        <f t="shared" si="47"/>
        <v>3</v>
      </c>
      <c r="O81" s="181">
        <f t="shared" si="47"/>
        <v>3</v>
      </c>
      <c r="P81" s="181">
        <f t="shared" si="47"/>
        <v>3</v>
      </c>
      <c r="Q81" s="181">
        <f t="shared" si="47"/>
        <v>3</v>
      </c>
      <c r="R81" s="181">
        <f t="shared" si="47"/>
        <v>3</v>
      </c>
      <c r="S81" s="181">
        <f t="shared" si="47"/>
        <v>3</v>
      </c>
      <c r="T81" s="181">
        <f t="shared" si="47"/>
        <v>4</v>
      </c>
      <c r="U81" s="181">
        <f t="shared" si="47"/>
        <v>4</v>
      </c>
      <c r="V81" s="181">
        <f t="shared" si="47"/>
        <v>4</v>
      </c>
      <c r="W81" s="181">
        <f t="shared" si="47"/>
        <v>4</v>
      </c>
      <c r="X81" s="181">
        <f t="shared" si="47"/>
        <v>4</v>
      </c>
      <c r="Y81" s="181">
        <f t="shared" si="47"/>
        <v>3</v>
      </c>
      <c r="Z81" s="181">
        <f t="shared" si="47"/>
        <v>3</v>
      </c>
      <c r="AA81" s="181">
        <f t="shared" si="47"/>
        <v>4</v>
      </c>
      <c r="AB81" s="181">
        <f t="shared" si="47"/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48">+I81</f>
        <v>3</v>
      </c>
      <c r="I84" s="257">
        <f t="shared" si="48"/>
        <v>3</v>
      </c>
      <c r="J84" s="257">
        <f t="shared" si="48"/>
        <v>3</v>
      </c>
      <c r="K84" s="257">
        <f t="shared" si="48"/>
        <v>3</v>
      </c>
      <c r="L84" s="257">
        <f t="shared" si="48"/>
        <v>3</v>
      </c>
      <c r="M84" s="257">
        <f t="shared" si="48"/>
        <v>3</v>
      </c>
      <c r="N84" s="257">
        <f t="shared" si="48"/>
        <v>3</v>
      </c>
      <c r="O84" s="257">
        <f t="shared" si="48"/>
        <v>3</v>
      </c>
      <c r="P84" s="257">
        <f t="shared" si="48"/>
        <v>3</v>
      </c>
      <c r="Q84" s="410">
        <f t="shared" si="48"/>
        <v>3</v>
      </c>
      <c r="R84" s="232">
        <f t="shared" si="48"/>
        <v>3</v>
      </c>
      <c r="S84" s="232">
        <f t="shared" si="48"/>
        <v>4</v>
      </c>
      <c r="T84" s="232">
        <f t="shared" si="48"/>
        <v>4</v>
      </c>
      <c r="U84" s="232">
        <f t="shared" si="48"/>
        <v>4</v>
      </c>
      <c r="V84" s="232">
        <f t="shared" si="48"/>
        <v>4</v>
      </c>
      <c r="W84" s="232">
        <f t="shared" si="48"/>
        <v>4</v>
      </c>
      <c r="X84" s="232">
        <f t="shared" si="48"/>
        <v>3</v>
      </c>
      <c r="Y84" s="232">
        <f t="shared" si="48"/>
        <v>3</v>
      </c>
      <c r="Z84" s="232">
        <f t="shared" si="48"/>
        <v>4</v>
      </c>
      <c r="AA84" s="232">
        <f t="shared" si="48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:AB86" si="49">AVERAGE(H81,H84)</f>
        <v>3.5</v>
      </c>
      <c r="I86" s="315">
        <f t="shared" si="49"/>
        <v>3</v>
      </c>
      <c r="J86" s="315">
        <f t="shared" si="49"/>
        <v>3</v>
      </c>
      <c r="K86" s="315">
        <f t="shared" si="49"/>
        <v>3</v>
      </c>
      <c r="L86" s="315">
        <f t="shared" si="49"/>
        <v>3</v>
      </c>
      <c r="M86" s="315">
        <f t="shared" si="49"/>
        <v>3</v>
      </c>
      <c r="N86" s="315">
        <f t="shared" si="49"/>
        <v>3</v>
      </c>
      <c r="O86" s="315">
        <f t="shared" si="49"/>
        <v>3</v>
      </c>
      <c r="P86" s="315">
        <f t="shared" si="49"/>
        <v>3</v>
      </c>
      <c r="Q86" s="318">
        <f t="shared" si="49"/>
        <v>3</v>
      </c>
      <c r="R86" s="315">
        <f t="shared" si="49"/>
        <v>3</v>
      </c>
      <c r="S86" s="315">
        <f t="shared" si="49"/>
        <v>3.5</v>
      </c>
      <c r="T86" s="315">
        <f t="shared" si="49"/>
        <v>4</v>
      </c>
      <c r="U86" s="315">
        <f t="shared" si="49"/>
        <v>4</v>
      </c>
      <c r="V86" s="315">
        <f t="shared" si="49"/>
        <v>4</v>
      </c>
      <c r="W86" s="315">
        <f t="shared" si="49"/>
        <v>4</v>
      </c>
      <c r="X86" s="315">
        <f t="shared" si="49"/>
        <v>3.5</v>
      </c>
      <c r="Y86" s="315">
        <f t="shared" si="49"/>
        <v>3</v>
      </c>
      <c r="Z86" s="315">
        <f t="shared" si="49"/>
        <v>3.5</v>
      </c>
      <c r="AA86" s="315">
        <f t="shared" si="49"/>
        <v>4</v>
      </c>
      <c r="AB86" s="316">
        <f t="shared" si="49"/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:AB87" si="50">H79/H86</f>
        <v>41.714285714285715</v>
      </c>
      <c r="I87" s="310">
        <f t="shared" si="50"/>
        <v>49.166666666666664</v>
      </c>
      <c r="J87" s="310">
        <f t="shared" si="50"/>
        <v>50.333333333333336</v>
      </c>
      <c r="K87" s="310">
        <f t="shared" si="50"/>
        <v>52.166666666666664</v>
      </c>
      <c r="L87" s="310">
        <f t="shared" si="50"/>
        <v>54</v>
      </c>
      <c r="M87" s="310">
        <f t="shared" si="50"/>
        <v>55</v>
      </c>
      <c r="N87" s="310">
        <f t="shared" si="50"/>
        <v>55.666666666666664</v>
      </c>
      <c r="O87" s="310">
        <f t="shared" si="50"/>
        <v>57.333333333333336</v>
      </c>
      <c r="P87" s="310">
        <f t="shared" si="50"/>
        <v>58.666666666666664</v>
      </c>
      <c r="Q87" s="313">
        <f t="shared" si="50"/>
        <v>59.833333333333336</v>
      </c>
      <c r="R87" s="310">
        <f t="shared" si="50"/>
        <v>60.5</v>
      </c>
      <c r="S87" s="310">
        <f t="shared" si="50"/>
        <v>51.571428571428569</v>
      </c>
      <c r="T87" s="310">
        <f t="shared" si="50"/>
        <v>45.75</v>
      </c>
      <c r="U87" s="310">
        <f t="shared" si="50"/>
        <v>47.375</v>
      </c>
      <c r="V87" s="310">
        <f t="shared" si="50"/>
        <v>48.125</v>
      </c>
      <c r="W87" s="310">
        <f t="shared" si="50"/>
        <v>48.75</v>
      </c>
      <c r="X87" s="310">
        <f t="shared" si="50"/>
        <v>55.285714285714285</v>
      </c>
      <c r="Y87" s="310">
        <f t="shared" si="50"/>
        <v>63</v>
      </c>
      <c r="Z87" s="310">
        <f t="shared" si="50"/>
        <v>51.857142857142854</v>
      </c>
      <c r="AA87" s="310">
        <f t="shared" si="50"/>
        <v>43.625</v>
      </c>
      <c r="AB87" s="311">
        <f t="shared" si="50"/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51">(H82+H81)/H81-1</f>
        <v>0</v>
      </c>
      <c r="I89" s="233">
        <f t="shared" si="51"/>
        <v>0</v>
      </c>
      <c r="J89" s="233">
        <f t="shared" si="51"/>
        <v>0</v>
      </c>
      <c r="K89" s="233">
        <f t="shared" si="51"/>
        <v>0</v>
      </c>
      <c r="L89" s="233">
        <f t="shared" si="51"/>
        <v>0</v>
      </c>
      <c r="M89" s="233">
        <f t="shared" si="51"/>
        <v>0</v>
      </c>
      <c r="N89" s="233">
        <f t="shared" si="51"/>
        <v>0</v>
      </c>
      <c r="O89" s="233">
        <f t="shared" si="51"/>
        <v>0</v>
      </c>
      <c r="P89" s="233">
        <f t="shared" si="51"/>
        <v>0</v>
      </c>
      <c r="Q89" s="243">
        <f t="shared" si="51"/>
        <v>0</v>
      </c>
      <c r="R89" s="233">
        <f t="shared" si="51"/>
        <v>0</v>
      </c>
      <c r="S89" s="233">
        <f t="shared" si="51"/>
        <v>0.66666666666666674</v>
      </c>
      <c r="T89" s="233">
        <f t="shared" si="51"/>
        <v>0</v>
      </c>
      <c r="U89" s="233">
        <f t="shared" si="51"/>
        <v>0</v>
      </c>
      <c r="V89" s="233">
        <f t="shared" si="51"/>
        <v>0</v>
      </c>
      <c r="W89" s="233">
        <f t="shared" si="51"/>
        <v>0</v>
      </c>
      <c r="X89" s="233">
        <f t="shared" si="51"/>
        <v>0</v>
      </c>
      <c r="Y89" s="233">
        <f t="shared" si="51"/>
        <v>0</v>
      </c>
      <c r="Z89" s="233">
        <f t="shared" si="51"/>
        <v>0.66666666666666674</v>
      </c>
      <c r="AA89" s="233">
        <f t="shared" si="51"/>
        <v>0</v>
      </c>
      <c r="AB89" s="244">
        <f t="shared" si="51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52">(H83+H86)/H86-1</f>
        <v>-0.2857142857142857</v>
      </c>
      <c r="I90" s="236">
        <f t="shared" si="52"/>
        <v>0</v>
      </c>
      <c r="J90" s="236">
        <f t="shared" si="52"/>
        <v>0</v>
      </c>
      <c r="K90" s="236">
        <f t="shared" si="52"/>
        <v>0</v>
      </c>
      <c r="L90" s="236">
        <f t="shared" si="52"/>
        <v>0</v>
      </c>
      <c r="M90" s="236">
        <f t="shared" si="52"/>
        <v>0</v>
      </c>
      <c r="N90" s="236">
        <f t="shared" si="52"/>
        <v>0</v>
      </c>
      <c r="O90" s="236">
        <f t="shared" si="52"/>
        <v>0</v>
      </c>
      <c r="P90" s="236">
        <f t="shared" si="52"/>
        <v>0</v>
      </c>
      <c r="Q90" s="238">
        <f t="shared" si="52"/>
        <v>0</v>
      </c>
      <c r="R90" s="236">
        <f t="shared" si="52"/>
        <v>0</v>
      </c>
      <c r="S90" s="236">
        <f t="shared" si="52"/>
        <v>-0.2857142857142857</v>
      </c>
      <c r="T90" s="236">
        <f t="shared" si="52"/>
        <v>0</v>
      </c>
      <c r="U90" s="236">
        <f t="shared" si="52"/>
        <v>0</v>
      </c>
      <c r="V90" s="236">
        <f t="shared" si="52"/>
        <v>0</v>
      </c>
      <c r="W90" s="236">
        <f t="shared" si="52"/>
        <v>0</v>
      </c>
      <c r="X90" s="236">
        <f t="shared" si="52"/>
        <v>-0.2857142857142857</v>
      </c>
      <c r="Y90" s="236">
        <f t="shared" si="52"/>
        <v>0</v>
      </c>
      <c r="Z90" s="236">
        <f t="shared" si="52"/>
        <v>-0.2857142857142857</v>
      </c>
      <c r="AA90" s="236">
        <f t="shared" si="52"/>
        <v>0</v>
      </c>
      <c r="AB90" s="237">
        <f t="shared" si="52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:N92" si="53">EOMONTH(H92,0)+1</f>
        <v>45689</v>
      </c>
      <c r="J92" s="189">
        <f t="shared" si="53"/>
        <v>45717</v>
      </c>
      <c r="K92" s="189">
        <f t="shared" si="53"/>
        <v>45748</v>
      </c>
      <c r="L92" s="189">
        <f t="shared" si="53"/>
        <v>45778</v>
      </c>
      <c r="M92" s="189">
        <f t="shared" si="53"/>
        <v>45809</v>
      </c>
      <c r="N92" s="189">
        <f t="shared" si="53"/>
        <v>45839</v>
      </c>
      <c r="O92" s="189">
        <v>45870</v>
      </c>
      <c r="P92" s="189">
        <f t="shared" ref="P92:AB92" si="54">EOMONTH(O92,0)+1</f>
        <v>45901</v>
      </c>
      <c r="Q92" s="189">
        <f t="shared" si="54"/>
        <v>45931</v>
      </c>
      <c r="R92" s="189">
        <f t="shared" si="54"/>
        <v>45962</v>
      </c>
      <c r="S92" s="189">
        <f t="shared" si="54"/>
        <v>45992</v>
      </c>
      <c r="T92" s="189">
        <f t="shared" si="54"/>
        <v>46023</v>
      </c>
      <c r="U92" s="189">
        <f t="shared" si="54"/>
        <v>46054</v>
      </c>
      <c r="V92" s="189">
        <f t="shared" si="54"/>
        <v>46082</v>
      </c>
      <c r="W92" s="189">
        <f t="shared" si="54"/>
        <v>46113</v>
      </c>
      <c r="X92" s="189">
        <f t="shared" si="54"/>
        <v>46143</v>
      </c>
      <c r="Y92" s="189">
        <f t="shared" si="54"/>
        <v>46174</v>
      </c>
      <c r="Z92" s="189">
        <f t="shared" si="54"/>
        <v>46204</v>
      </c>
      <c r="AA92" s="189">
        <f t="shared" si="54"/>
        <v>46235</v>
      </c>
      <c r="AB92" s="189">
        <f t="shared" si="54"/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55">+I$19</f>
        <v>147.5</v>
      </c>
      <c r="J94" s="65">
        <f t="shared" si="55"/>
        <v>151</v>
      </c>
      <c r="K94" s="65">
        <f t="shared" si="55"/>
        <v>156.5</v>
      </c>
      <c r="L94" s="65">
        <f t="shared" si="55"/>
        <v>162</v>
      </c>
      <c r="M94" s="65">
        <f t="shared" si="55"/>
        <v>165</v>
      </c>
      <c r="N94" s="65">
        <f t="shared" si="55"/>
        <v>167</v>
      </c>
      <c r="O94" s="65">
        <f t="shared" si="55"/>
        <v>172</v>
      </c>
      <c r="P94" s="65">
        <f t="shared" si="55"/>
        <v>176</v>
      </c>
      <c r="Q94" s="65">
        <f t="shared" si="55"/>
        <v>179.5</v>
      </c>
      <c r="R94" s="65">
        <f t="shared" si="55"/>
        <v>181.5</v>
      </c>
      <c r="S94" s="65">
        <f t="shared" si="55"/>
        <v>180.5</v>
      </c>
      <c r="T94" s="65">
        <f t="shared" si="55"/>
        <v>183</v>
      </c>
      <c r="U94" s="65">
        <f t="shared" si="55"/>
        <v>189.5</v>
      </c>
      <c r="V94" s="65">
        <f t="shared" si="55"/>
        <v>192.5</v>
      </c>
      <c r="W94" s="65">
        <f t="shared" si="55"/>
        <v>195</v>
      </c>
      <c r="X94" s="65">
        <f t="shared" si="55"/>
        <v>193.5</v>
      </c>
      <c r="Y94" s="65">
        <f t="shared" si="55"/>
        <v>189</v>
      </c>
      <c r="Z94" s="65">
        <f t="shared" si="55"/>
        <v>181.5</v>
      </c>
      <c r="AA94" s="65">
        <f t="shared" si="55"/>
        <v>174.5</v>
      </c>
      <c r="AB94" s="65">
        <f t="shared" si="55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:AB96" si="56">+H99-H97-H98</f>
        <v>5</v>
      </c>
      <c r="I96" s="181">
        <f t="shared" si="56"/>
        <v>5</v>
      </c>
      <c r="J96" s="181">
        <f t="shared" si="56"/>
        <v>5</v>
      </c>
      <c r="K96" s="181">
        <f t="shared" si="56"/>
        <v>5</v>
      </c>
      <c r="L96" s="181">
        <f t="shared" si="56"/>
        <v>5</v>
      </c>
      <c r="M96" s="181">
        <f t="shared" si="56"/>
        <v>6</v>
      </c>
      <c r="N96" s="181">
        <f t="shared" si="56"/>
        <v>6</v>
      </c>
      <c r="O96" s="181">
        <f t="shared" si="56"/>
        <v>6</v>
      </c>
      <c r="P96" s="181">
        <f t="shared" si="56"/>
        <v>6</v>
      </c>
      <c r="Q96" s="181">
        <f t="shared" si="56"/>
        <v>6</v>
      </c>
      <c r="R96" s="181">
        <f t="shared" si="56"/>
        <v>6</v>
      </c>
      <c r="S96" s="181">
        <f t="shared" si="56"/>
        <v>6</v>
      </c>
      <c r="T96" s="181">
        <f t="shared" si="56"/>
        <v>7</v>
      </c>
      <c r="U96" s="181">
        <f t="shared" si="56"/>
        <v>8</v>
      </c>
      <c r="V96" s="181">
        <f t="shared" si="56"/>
        <v>8</v>
      </c>
      <c r="W96" s="181">
        <f t="shared" si="56"/>
        <v>8</v>
      </c>
      <c r="X96" s="181">
        <f t="shared" si="56"/>
        <v>8</v>
      </c>
      <c r="Y96" s="181">
        <f t="shared" si="56"/>
        <v>7</v>
      </c>
      <c r="Z96" s="181">
        <f t="shared" si="56"/>
        <v>7</v>
      </c>
      <c r="AA96" s="181">
        <f t="shared" si="56"/>
        <v>7</v>
      </c>
      <c r="AB96" s="181">
        <f t="shared" si="56"/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57">+I96</f>
        <v>5</v>
      </c>
      <c r="I99" s="257">
        <f t="shared" si="57"/>
        <v>5</v>
      </c>
      <c r="J99" s="257">
        <f t="shared" si="57"/>
        <v>5</v>
      </c>
      <c r="K99" s="257">
        <f t="shared" si="57"/>
        <v>5</v>
      </c>
      <c r="L99" s="257">
        <f t="shared" si="57"/>
        <v>6</v>
      </c>
      <c r="M99" s="257">
        <f t="shared" si="57"/>
        <v>6</v>
      </c>
      <c r="N99" s="257">
        <f t="shared" si="57"/>
        <v>6</v>
      </c>
      <c r="O99" s="257">
        <f t="shared" si="57"/>
        <v>6</v>
      </c>
      <c r="P99" s="257">
        <f t="shared" si="57"/>
        <v>6</v>
      </c>
      <c r="Q99" s="259">
        <f t="shared" si="57"/>
        <v>6</v>
      </c>
      <c r="R99" s="257">
        <f t="shared" si="57"/>
        <v>6</v>
      </c>
      <c r="S99" s="257">
        <f t="shared" si="57"/>
        <v>7</v>
      </c>
      <c r="T99" s="257">
        <f t="shared" si="57"/>
        <v>8</v>
      </c>
      <c r="U99" s="257">
        <f t="shared" si="57"/>
        <v>8</v>
      </c>
      <c r="V99" s="257">
        <f t="shared" si="57"/>
        <v>8</v>
      </c>
      <c r="W99" s="257">
        <f t="shared" si="57"/>
        <v>8</v>
      </c>
      <c r="X99" s="257">
        <f t="shared" si="57"/>
        <v>7</v>
      </c>
      <c r="Y99" s="257">
        <f t="shared" si="57"/>
        <v>7</v>
      </c>
      <c r="Z99" s="257">
        <f t="shared" si="57"/>
        <v>7</v>
      </c>
      <c r="AA99" s="257">
        <f t="shared" si="57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:AB101" si="58">AVERAGE(H96,H99)</f>
        <v>5</v>
      </c>
      <c r="I101" s="315">
        <f t="shared" si="58"/>
        <v>5</v>
      </c>
      <c r="J101" s="315">
        <f t="shared" si="58"/>
        <v>5</v>
      </c>
      <c r="K101" s="315">
        <f t="shared" si="58"/>
        <v>5</v>
      </c>
      <c r="L101" s="315">
        <f t="shared" si="58"/>
        <v>5.5</v>
      </c>
      <c r="M101" s="315">
        <f t="shared" si="58"/>
        <v>6</v>
      </c>
      <c r="N101" s="315">
        <f t="shared" si="58"/>
        <v>6</v>
      </c>
      <c r="O101" s="315">
        <f t="shared" si="58"/>
        <v>6</v>
      </c>
      <c r="P101" s="315">
        <f t="shared" si="58"/>
        <v>6</v>
      </c>
      <c r="Q101" s="318">
        <f t="shared" si="58"/>
        <v>6</v>
      </c>
      <c r="R101" s="315">
        <f t="shared" si="58"/>
        <v>6</v>
      </c>
      <c r="S101" s="315">
        <f t="shared" si="58"/>
        <v>6.5</v>
      </c>
      <c r="T101" s="315">
        <f t="shared" si="58"/>
        <v>7.5</v>
      </c>
      <c r="U101" s="315">
        <f t="shared" si="58"/>
        <v>8</v>
      </c>
      <c r="V101" s="315">
        <f t="shared" si="58"/>
        <v>8</v>
      </c>
      <c r="W101" s="315">
        <f t="shared" si="58"/>
        <v>8</v>
      </c>
      <c r="X101" s="315">
        <f t="shared" si="58"/>
        <v>7.5</v>
      </c>
      <c r="Y101" s="315">
        <f t="shared" si="58"/>
        <v>7</v>
      </c>
      <c r="Z101" s="315">
        <f t="shared" si="58"/>
        <v>7</v>
      </c>
      <c r="AA101" s="315">
        <f t="shared" si="58"/>
        <v>7.5</v>
      </c>
      <c r="AB101" s="316">
        <f t="shared" si="58"/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:AB102" si="59">H94/H101</f>
        <v>29.2</v>
      </c>
      <c r="I102" s="310">
        <f t="shared" si="59"/>
        <v>29.5</v>
      </c>
      <c r="J102" s="310">
        <f t="shared" si="59"/>
        <v>30.2</v>
      </c>
      <c r="K102" s="310">
        <f t="shared" si="59"/>
        <v>31.3</v>
      </c>
      <c r="L102" s="310">
        <f t="shared" si="59"/>
        <v>29.454545454545453</v>
      </c>
      <c r="M102" s="310">
        <f t="shared" si="59"/>
        <v>27.5</v>
      </c>
      <c r="N102" s="310">
        <f t="shared" si="59"/>
        <v>27.833333333333332</v>
      </c>
      <c r="O102" s="310">
        <f t="shared" si="59"/>
        <v>28.666666666666668</v>
      </c>
      <c r="P102" s="310">
        <f t="shared" si="59"/>
        <v>29.333333333333332</v>
      </c>
      <c r="Q102" s="313">
        <f t="shared" si="59"/>
        <v>29.916666666666668</v>
      </c>
      <c r="R102" s="310">
        <f t="shared" si="59"/>
        <v>30.25</v>
      </c>
      <c r="S102" s="310">
        <f t="shared" si="59"/>
        <v>27.76923076923077</v>
      </c>
      <c r="T102" s="310">
        <f t="shared" si="59"/>
        <v>24.4</v>
      </c>
      <c r="U102" s="310">
        <f t="shared" si="59"/>
        <v>23.6875</v>
      </c>
      <c r="V102" s="310">
        <f t="shared" si="59"/>
        <v>24.0625</v>
      </c>
      <c r="W102" s="310">
        <f t="shared" si="59"/>
        <v>24.375</v>
      </c>
      <c r="X102" s="310">
        <f t="shared" si="59"/>
        <v>25.8</v>
      </c>
      <c r="Y102" s="310">
        <f t="shared" si="59"/>
        <v>27</v>
      </c>
      <c r="Z102" s="310">
        <f t="shared" si="59"/>
        <v>25.928571428571427</v>
      </c>
      <c r="AA102" s="310">
        <f t="shared" si="59"/>
        <v>23.266666666666666</v>
      </c>
      <c r="AB102" s="311">
        <f t="shared" si="59"/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60">(H97+H96)/H96-1</f>
        <v>0</v>
      </c>
      <c r="I104" s="233">
        <f t="shared" si="60"/>
        <v>0</v>
      </c>
      <c r="J104" s="233">
        <f t="shared" si="60"/>
        <v>0</v>
      </c>
      <c r="K104" s="233">
        <f t="shared" si="60"/>
        <v>0</v>
      </c>
      <c r="L104" s="233">
        <f t="shared" si="60"/>
        <v>0.19999999999999996</v>
      </c>
      <c r="M104" s="233">
        <f t="shared" si="60"/>
        <v>0</v>
      </c>
      <c r="N104" s="233">
        <f t="shared" si="60"/>
        <v>0</v>
      </c>
      <c r="O104" s="233">
        <f t="shared" si="60"/>
        <v>0</v>
      </c>
      <c r="P104" s="233">
        <f t="shared" si="60"/>
        <v>0</v>
      </c>
      <c r="Q104" s="243">
        <f t="shared" si="60"/>
        <v>0</v>
      </c>
      <c r="R104" s="233">
        <f t="shared" si="60"/>
        <v>0</v>
      </c>
      <c r="S104" s="233">
        <f t="shared" si="60"/>
        <v>0.16666666666666674</v>
      </c>
      <c r="T104" s="233">
        <f t="shared" si="60"/>
        <v>0.14285714285714279</v>
      </c>
      <c r="U104" s="233">
        <f t="shared" si="60"/>
        <v>0</v>
      </c>
      <c r="V104" s="233">
        <f t="shared" si="60"/>
        <v>0</v>
      </c>
      <c r="W104" s="233">
        <f t="shared" si="60"/>
        <v>0</v>
      </c>
      <c r="X104" s="233">
        <f t="shared" si="60"/>
        <v>0</v>
      </c>
      <c r="Y104" s="233">
        <f t="shared" si="60"/>
        <v>0</v>
      </c>
      <c r="Z104" s="233">
        <f t="shared" si="60"/>
        <v>0</v>
      </c>
      <c r="AA104" s="233">
        <f t="shared" si="60"/>
        <v>0.14285714285714279</v>
      </c>
      <c r="AB104" s="244">
        <f t="shared" si="60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61">(H98+H101)/H101-1</f>
        <v>0</v>
      </c>
      <c r="I105" s="236">
        <f t="shared" si="61"/>
        <v>0</v>
      </c>
      <c r="J105" s="236">
        <f t="shared" si="61"/>
        <v>0</v>
      </c>
      <c r="K105" s="236">
        <f t="shared" si="61"/>
        <v>0</v>
      </c>
      <c r="L105" s="236">
        <f t="shared" si="61"/>
        <v>0</v>
      </c>
      <c r="M105" s="236">
        <f t="shared" si="61"/>
        <v>0</v>
      </c>
      <c r="N105" s="236">
        <f t="shared" si="61"/>
        <v>0</v>
      </c>
      <c r="O105" s="236">
        <f t="shared" si="61"/>
        <v>0</v>
      </c>
      <c r="P105" s="236">
        <f t="shared" si="61"/>
        <v>0</v>
      </c>
      <c r="Q105" s="238">
        <f t="shared" si="61"/>
        <v>0</v>
      </c>
      <c r="R105" s="236">
        <f t="shared" si="61"/>
        <v>0</v>
      </c>
      <c r="S105" s="236">
        <f t="shared" si="61"/>
        <v>0</v>
      </c>
      <c r="T105" s="236">
        <f t="shared" si="61"/>
        <v>0</v>
      </c>
      <c r="U105" s="236">
        <f t="shared" si="61"/>
        <v>0</v>
      </c>
      <c r="V105" s="236">
        <f t="shared" si="61"/>
        <v>0</v>
      </c>
      <c r="W105" s="236">
        <f t="shared" si="61"/>
        <v>0</v>
      </c>
      <c r="X105" s="236">
        <f t="shared" si="61"/>
        <v>-0.1333333333333333</v>
      </c>
      <c r="Y105" s="236">
        <f t="shared" si="61"/>
        <v>0</v>
      </c>
      <c r="Z105" s="236">
        <f t="shared" si="61"/>
        <v>0</v>
      </c>
      <c r="AA105" s="236">
        <f t="shared" si="61"/>
        <v>0</v>
      </c>
      <c r="AB105" s="237">
        <f t="shared" si="61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:N107" si="62">EOMONTH(H107,0)+1</f>
        <v>45689</v>
      </c>
      <c r="J107" s="189">
        <f t="shared" si="62"/>
        <v>45717</v>
      </c>
      <c r="K107" s="189">
        <f t="shared" si="62"/>
        <v>45748</v>
      </c>
      <c r="L107" s="189">
        <f t="shared" si="62"/>
        <v>45778</v>
      </c>
      <c r="M107" s="189">
        <f t="shared" si="62"/>
        <v>45809</v>
      </c>
      <c r="N107" s="189">
        <f t="shared" si="62"/>
        <v>45839</v>
      </c>
      <c r="O107" s="189">
        <v>45870</v>
      </c>
      <c r="P107" s="189">
        <f t="shared" ref="P107:AB107" si="63">EOMONTH(O107,0)+1</f>
        <v>45901</v>
      </c>
      <c r="Q107" s="189">
        <f t="shared" si="63"/>
        <v>45931</v>
      </c>
      <c r="R107" s="189">
        <f t="shared" si="63"/>
        <v>45962</v>
      </c>
      <c r="S107" s="189">
        <f t="shared" si="63"/>
        <v>45992</v>
      </c>
      <c r="T107" s="189">
        <f t="shared" si="63"/>
        <v>46023</v>
      </c>
      <c r="U107" s="189">
        <f t="shared" si="63"/>
        <v>46054</v>
      </c>
      <c r="V107" s="189">
        <f t="shared" si="63"/>
        <v>46082</v>
      </c>
      <c r="W107" s="189">
        <f t="shared" si="63"/>
        <v>46113</v>
      </c>
      <c r="X107" s="189">
        <f t="shared" si="63"/>
        <v>46143</v>
      </c>
      <c r="Y107" s="189">
        <f t="shared" si="63"/>
        <v>46174</v>
      </c>
      <c r="Z107" s="189">
        <f t="shared" si="63"/>
        <v>46204</v>
      </c>
      <c r="AA107" s="189">
        <f t="shared" si="63"/>
        <v>46235</v>
      </c>
      <c r="AB107" s="189">
        <f t="shared" si="63"/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64">+I$19</f>
        <v>147.5</v>
      </c>
      <c r="J109" s="65">
        <f t="shared" si="64"/>
        <v>151</v>
      </c>
      <c r="K109" s="65">
        <f t="shared" si="64"/>
        <v>156.5</v>
      </c>
      <c r="L109" s="65">
        <f t="shared" si="64"/>
        <v>162</v>
      </c>
      <c r="M109" s="65">
        <f t="shared" si="64"/>
        <v>165</v>
      </c>
      <c r="N109" s="65">
        <f t="shared" si="64"/>
        <v>167</v>
      </c>
      <c r="O109" s="65">
        <f t="shared" si="64"/>
        <v>172</v>
      </c>
      <c r="P109" s="65">
        <f t="shared" si="64"/>
        <v>176</v>
      </c>
      <c r="Q109" s="65">
        <f t="shared" si="64"/>
        <v>179.5</v>
      </c>
      <c r="R109" s="65">
        <f t="shared" si="64"/>
        <v>181.5</v>
      </c>
      <c r="S109" s="65">
        <f t="shared" si="64"/>
        <v>180.5</v>
      </c>
      <c r="T109" s="65">
        <f t="shared" si="64"/>
        <v>183</v>
      </c>
      <c r="U109" s="65">
        <f t="shared" si="64"/>
        <v>189.5</v>
      </c>
      <c r="V109" s="65">
        <f t="shared" si="64"/>
        <v>192.5</v>
      </c>
      <c r="W109" s="65">
        <f t="shared" si="64"/>
        <v>195</v>
      </c>
      <c r="X109" s="65">
        <f t="shared" si="64"/>
        <v>193.5</v>
      </c>
      <c r="Y109" s="65">
        <f t="shared" si="64"/>
        <v>189</v>
      </c>
      <c r="Z109" s="65">
        <f t="shared" si="64"/>
        <v>181.5</v>
      </c>
      <c r="AA109" s="65">
        <f t="shared" si="64"/>
        <v>174.5</v>
      </c>
      <c r="AB109" s="65">
        <f t="shared" si="64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:AB111" si="65">+H114-H112-H113</f>
        <v>4</v>
      </c>
      <c r="I111" s="181">
        <f t="shared" si="65"/>
        <v>4</v>
      </c>
      <c r="J111" s="181">
        <f t="shared" si="65"/>
        <v>3</v>
      </c>
      <c r="K111" s="181">
        <f t="shared" si="65"/>
        <v>3</v>
      </c>
      <c r="L111" s="181">
        <f t="shared" si="65"/>
        <v>3</v>
      </c>
      <c r="M111" s="181">
        <f t="shared" si="65"/>
        <v>3</v>
      </c>
      <c r="N111" s="181">
        <f t="shared" si="65"/>
        <v>3</v>
      </c>
      <c r="O111" s="181">
        <f t="shared" si="65"/>
        <v>3</v>
      </c>
      <c r="P111" s="181">
        <f t="shared" si="65"/>
        <v>3</v>
      </c>
      <c r="Q111" s="181">
        <f t="shared" si="65"/>
        <v>3</v>
      </c>
      <c r="R111" s="181">
        <f t="shared" si="65"/>
        <v>3</v>
      </c>
      <c r="S111" s="181">
        <f t="shared" si="65"/>
        <v>3</v>
      </c>
      <c r="T111" s="181">
        <f t="shared" si="65"/>
        <v>3</v>
      </c>
      <c r="U111" s="181">
        <f t="shared" si="65"/>
        <v>3</v>
      </c>
      <c r="V111" s="181">
        <f t="shared" si="65"/>
        <v>3</v>
      </c>
      <c r="W111" s="181">
        <f t="shared" si="65"/>
        <v>3</v>
      </c>
      <c r="X111" s="181">
        <f t="shared" si="65"/>
        <v>3</v>
      </c>
      <c r="Y111" s="181">
        <f t="shared" si="65"/>
        <v>3</v>
      </c>
      <c r="Z111" s="181">
        <f t="shared" si="65"/>
        <v>3</v>
      </c>
      <c r="AA111" s="181">
        <f t="shared" si="65"/>
        <v>3</v>
      </c>
      <c r="AB111" s="181">
        <f t="shared" si="65"/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66">+I111</f>
        <v>4</v>
      </c>
      <c r="I114" s="257">
        <f t="shared" si="66"/>
        <v>3</v>
      </c>
      <c r="J114" s="257">
        <f t="shared" si="66"/>
        <v>3</v>
      </c>
      <c r="K114" s="257">
        <f t="shared" si="66"/>
        <v>3</v>
      </c>
      <c r="L114" s="257">
        <f t="shared" si="66"/>
        <v>3</v>
      </c>
      <c r="M114" s="257">
        <f t="shared" si="66"/>
        <v>3</v>
      </c>
      <c r="N114" s="257">
        <f t="shared" si="66"/>
        <v>3</v>
      </c>
      <c r="O114" s="257">
        <f t="shared" si="66"/>
        <v>3</v>
      </c>
      <c r="P114" s="257">
        <f t="shared" si="66"/>
        <v>3</v>
      </c>
      <c r="Q114" s="257">
        <f t="shared" si="66"/>
        <v>3</v>
      </c>
      <c r="R114" s="257">
        <f t="shared" si="66"/>
        <v>3</v>
      </c>
      <c r="S114" s="257">
        <f t="shared" si="66"/>
        <v>3</v>
      </c>
      <c r="T114" s="257">
        <f t="shared" si="66"/>
        <v>3</v>
      </c>
      <c r="U114" s="257">
        <f t="shared" si="66"/>
        <v>3</v>
      </c>
      <c r="V114" s="257">
        <f t="shared" si="66"/>
        <v>3</v>
      </c>
      <c r="W114" s="257">
        <f t="shared" si="66"/>
        <v>3</v>
      </c>
      <c r="X114" s="257">
        <f t="shared" si="66"/>
        <v>3</v>
      </c>
      <c r="Y114" s="257">
        <f t="shared" si="66"/>
        <v>3</v>
      </c>
      <c r="Z114" s="257">
        <f t="shared" si="66"/>
        <v>3</v>
      </c>
      <c r="AA114" s="257">
        <f t="shared" si="66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:AB116" si="67">AVERAGE(H111,H114)</f>
        <v>4</v>
      </c>
      <c r="I116" s="315">
        <f t="shared" si="67"/>
        <v>3.5</v>
      </c>
      <c r="J116" s="315">
        <f t="shared" si="67"/>
        <v>3</v>
      </c>
      <c r="K116" s="315">
        <f t="shared" si="67"/>
        <v>3</v>
      </c>
      <c r="L116" s="315">
        <f t="shared" si="67"/>
        <v>3</v>
      </c>
      <c r="M116" s="315">
        <f t="shared" si="67"/>
        <v>3</v>
      </c>
      <c r="N116" s="315">
        <f t="shared" si="67"/>
        <v>3</v>
      </c>
      <c r="O116" s="315">
        <f t="shared" si="67"/>
        <v>3</v>
      </c>
      <c r="P116" s="315">
        <f t="shared" si="67"/>
        <v>3</v>
      </c>
      <c r="Q116" s="315">
        <f t="shared" si="67"/>
        <v>3</v>
      </c>
      <c r="R116" s="315">
        <f t="shared" si="67"/>
        <v>3</v>
      </c>
      <c r="S116" s="315">
        <f t="shared" si="67"/>
        <v>3</v>
      </c>
      <c r="T116" s="315">
        <f t="shared" si="67"/>
        <v>3</v>
      </c>
      <c r="U116" s="315">
        <f t="shared" si="67"/>
        <v>3</v>
      </c>
      <c r="V116" s="315">
        <f t="shared" si="67"/>
        <v>3</v>
      </c>
      <c r="W116" s="315">
        <f t="shared" si="67"/>
        <v>3</v>
      </c>
      <c r="X116" s="315">
        <f t="shared" si="67"/>
        <v>3</v>
      </c>
      <c r="Y116" s="315">
        <f t="shared" si="67"/>
        <v>3</v>
      </c>
      <c r="Z116" s="315">
        <f t="shared" si="67"/>
        <v>3</v>
      </c>
      <c r="AA116" s="315">
        <f t="shared" si="67"/>
        <v>3</v>
      </c>
      <c r="AB116" s="316">
        <f t="shared" si="67"/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:AB117" si="68">H109/H116</f>
        <v>36.5</v>
      </c>
      <c r="I117" s="310">
        <f t="shared" si="68"/>
        <v>42.142857142857146</v>
      </c>
      <c r="J117" s="310">
        <f t="shared" si="68"/>
        <v>50.333333333333336</v>
      </c>
      <c r="K117" s="310">
        <f t="shared" si="68"/>
        <v>52.166666666666664</v>
      </c>
      <c r="L117" s="310">
        <f t="shared" si="68"/>
        <v>54</v>
      </c>
      <c r="M117" s="310">
        <f t="shared" si="68"/>
        <v>55</v>
      </c>
      <c r="N117" s="310">
        <f t="shared" si="68"/>
        <v>55.666666666666664</v>
      </c>
      <c r="O117" s="310">
        <f t="shared" si="68"/>
        <v>57.333333333333336</v>
      </c>
      <c r="P117" s="310">
        <f t="shared" si="68"/>
        <v>58.666666666666664</v>
      </c>
      <c r="Q117" s="310">
        <f t="shared" si="68"/>
        <v>59.833333333333336</v>
      </c>
      <c r="R117" s="310">
        <f t="shared" si="68"/>
        <v>60.5</v>
      </c>
      <c r="S117" s="310">
        <f t="shared" si="68"/>
        <v>60.166666666666664</v>
      </c>
      <c r="T117" s="310">
        <f t="shared" si="68"/>
        <v>61</v>
      </c>
      <c r="U117" s="310">
        <f t="shared" si="68"/>
        <v>63.166666666666664</v>
      </c>
      <c r="V117" s="310">
        <f t="shared" si="68"/>
        <v>64.166666666666671</v>
      </c>
      <c r="W117" s="310">
        <f t="shared" si="68"/>
        <v>65</v>
      </c>
      <c r="X117" s="310">
        <f t="shared" si="68"/>
        <v>64.5</v>
      </c>
      <c r="Y117" s="310">
        <f t="shared" si="68"/>
        <v>63</v>
      </c>
      <c r="Z117" s="310">
        <f t="shared" si="68"/>
        <v>60.5</v>
      </c>
      <c r="AA117" s="310">
        <f t="shared" si="68"/>
        <v>58.166666666666664</v>
      </c>
      <c r="AB117" s="311">
        <f t="shared" si="68"/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69">(H112+H111)/H111-1</f>
        <v>0</v>
      </c>
      <c r="I119" s="233">
        <f t="shared" si="69"/>
        <v>0</v>
      </c>
      <c r="J119" s="233">
        <f t="shared" si="69"/>
        <v>0</v>
      </c>
      <c r="K119" s="233">
        <f t="shared" si="69"/>
        <v>0</v>
      </c>
      <c r="L119" s="233">
        <f t="shared" si="69"/>
        <v>0</v>
      </c>
      <c r="M119" s="233">
        <f t="shared" si="69"/>
        <v>0</v>
      </c>
      <c r="N119" s="233">
        <f t="shared" si="69"/>
        <v>0</v>
      </c>
      <c r="O119" s="233">
        <f t="shared" si="69"/>
        <v>0</v>
      </c>
      <c r="P119" s="233">
        <f t="shared" si="69"/>
        <v>0</v>
      </c>
      <c r="Q119" s="243">
        <f t="shared" si="69"/>
        <v>0</v>
      </c>
      <c r="R119" s="233">
        <f t="shared" si="69"/>
        <v>0</v>
      </c>
      <c r="S119" s="233">
        <f t="shared" si="69"/>
        <v>0</v>
      </c>
      <c r="T119" s="233">
        <f t="shared" si="69"/>
        <v>0</v>
      </c>
      <c r="U119" s="233">
        <f t="shared" si="69"/>
        <v>0</v>
      </c>
      <c r="V119" s="233">
        <f t="shared" si="69"/>
        <v>0</v>
      </c>
      <c r="W119" s="233">
        <f t="shared" si="69"/>
        <v>0</v>
      </c>
      <c r="X119" s="233">
        <f t="shared" si="69"/>
        <v>0</v>
      </c>
      <c r="Y119" s="233">
        <f t="shared" si="69"/>
        <v>0</v>
      </c>
      <c r="Z119" s="233">
        <f t="shared" si="69"/>
        <v>0</v>
      </c>
      <c r="AA119" s="233">
        <f t="shared" si="69"/>
        <v>0</v>
      </c>
      <c r="AB119" s="244">
        <f t="shared" si="69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70">(H113+H116)/H116-1</f>
        <v>0</v>
      </c>
      <c r="I120" s="236">
        <f t="shared" si="70"/>
        <v>-0.2857142857142857</v>
      </c>
      <c r="J120" s="236">
        <f t="shared" si="70"/>
        <v>0</v>
      </c>
      <c r="K120" s="236">
        <f t="shared" si="70"/>
        <v>0</v>
      </c>
      <c r="L120" s="236">
        <f t="shared" si="70"/>
        <v>0</v>
      </c>
      <c r="M120" s="236">
        <f t="shared" si="70"/>
        <v>0</v>
      </c>
      <c r="N120" s="236">
        <f t="shared" si="70"/>
        <v>0</v>
      </c>
      <c r="O120" s="236">
        <f t="shared" si="70"/>
        <v>0</v>
      </c>
      <c r="P120" s="236">
        <f t="shared" si="70"/>
        <v>0</v>
      </c>
      <c r="Q120" s="238">
        <f t="shared" si="70"/>
        <v>0</v>
      </c>
      <c r="R120" s="236">
        <f t="shared" si="70"/>
        <v>0</v>
      </c>
      <c r="S120" s="236">
        <f t="shared" si="70"/>
        <v>0</v>
      </c>
      <c r="T120" s="236">
        <f t="shared" si="70"/>
        <v>0</v>
      </c>
      <c r="U120" s="236">
        <f t="shared" si="70"/>
        <v>0</v>
      </c>
      <c r="V120" s="236">
        <f t="shared" si="70"/>
        <v>0</v>
      </c>
      <c r="W120" s="236">
        <f t="shared" si="70"/>
        <v>0</v>
      </c>
      <c r="X120" s="236">
        <f t="shared" si="70"/>
        <v>0</v>
      </c>
      <c r="Y120" s="236">
        <f t="shared" si="70"/>
        <v>0</v>
      </c>
      <c r="Z120" s="236">
        <f t="shared" si="70"/>
        <v>0</v>
      </c>
      <c r="AA120" s="236">
        <f t="shared" si="70"/>
        <v>0</v>
      </c>
      <c r="AB120" s="237">
        <f t="shared" si="70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:N122" si="71">EOMONTH(H122,0)+1</f>
        <v>45689</v>
      </c>
      <c r="J122" s="189">
        <f t="shared" si="71"/>
        <v>45717</v>
      </c>
      <c r="K122" s="189">
        <f t="shared" si="71"/>
        <v>45748</v>
      </c>
      <c r="L122" s="189">
        <f t="shared" si="71"/>
        <v>45778</v>
      </c>
      <c r="M122" s="189">
        <f t="shared" si="71"/>
        <v>45809</v>
      </c>
      <c r="N122" s="189">
        <f t="shared" si="71"/>
        <v>45839</v>
      </c>
      <c r="O122" s="189">
        <v>45870</v>
      </c>
      <c r="P122" s="189">
        <f t="shared" ref="P122:AB122" si="72">EOMONTH(O122,0)+1</f>
        <v>45901</v>
      </c>
      <c r="Q122" s="189">
        <f t="shared" si="72"/>
        <v>45931</v>
      </c>
      <c r="R122" s="189">
        <f t="shared" si="72"/>
        <v>45962</v>
      </c>
      <c r="S122" s="189">
        <f t="shared" si="72"/>
        <v>45992</v>
      </c>
      <c r="T122" s="189">
        <f t="shared" si="72"/>
        <v>46023</v>
      </c>
      <c r="U122" s="189">
        <f t="shared" si="72"/>
        <v>46054</v>
      </c>
      <c r="V122" s="189">
        <f t="shared" si="72"/>
        <v>46082</v>
      </c>
      <c r="W122" s="189">
        <f t="shared" si="72"/>
        <v>46113</v>
      </c>
      <c r="X122" s="189">
        <f t="shared" si="72"/>
        <v>46143</v>
      </c>
      <c r="Y122" s="189">
        <f t="shared" si="72"/>
        <v>46174</v>
      </c>
      <c r="Z122" s="189">
        <f t="shared" si="72"/>
        <v>46204</v>
      </c>
      <c r="AA122" s="189">
        <f t="shared" si="72"/>
        <v>46235</v>
      </c>
      <c r="AB122" s="189">
        <f t="shared" si="72"/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:AB124" si="73">+H127-H125-H126</f>
        <v>1</v>
      </c>
      <c r="I124" s="181">
        <f t="shared" si="73"/>
        <v>1</v>
      </c>
      <c r="J124" s="181">
        <f t="shared" si="73"/>
        <v>1</v>
      </c>
      <c r="K124" s="181">
        <f t="shared" si="73"/>
        <v>1</v>
      </c>
      <c r="L124" s="181">
        <f t="shared" si="73"/>
        <v>1</v>
      </c>
      <c r="M124" s="181">
        <f t="shared" si="73"/>
        <v>1</v>
      </c>
      <c r="N124" s="181">
        <f t="shared" si="73"/>
        <v>1</v>
      </c>
      <c r="O124" s="181">
        <f t="shared" si="73"/>
        <v>1</v>
      </c>
      <c r="P124" s="181">
        <f t="shared" si="73"/>
        <v>2</v>
      </c>
      <c r="Q124" s="181">
        <f t="shared" si="73"/>
        <v>2</v>
      </c>
      <c r="R124" s="181">
        <f t="shared" si="73"/>
        <v>2</v>
      </c>
      <c r="S124" s="181">
        <f t="shared" si="73"/>
        <v>2</v>
      </c>
      <c r="T124" s="181">
        <f t="shared" si="73"/>
        <v>1</v>
      </c>
      <c r="U124" s="181">
        <f t="shared" si="73"/>
        <v>1</v>
      </c>
      <c r="V124" s="181">
        <f t="shared" si="73"/>
        <v>2</v>
      </c>
      <c r="W124" s="181">
        <f t="shared" si="73"/>
        <v>3</v>
      </c>
      <c r="X124" s="181">
        <f t="shared" si="73"/>
        <v>4</v>
      </c>
      <c r="Y124" s="181">
        <f t="shared" si="73"/>
        <v>4</v>
      </c>
      <c r="Z124" s="181">
        <f t="shared" si="73"/>
        <v>4</v>
      </c>
      <c r="AA124" s="181">
        <f t="shared" si="73"/>
        <v>3</v>
      </c>
      <c r="AB124" s="181">
        <f t="shared" si="73"/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74">+I124</f>
        <v>1</v>
      </c>
      <c r="I127" s="257">
        <f t="shared" si="74"/>
        <v>1</v>
      </c>
      <c r="J127" s="257">
        <f t="shared" si="74"/>
        <v>1</v>
      </c>
      <c r="K127" s="257">
        <f t="shared" si="74"/>
        <v>1</v>
      </c>
      <c r="L127" s="257">
        <f t="shared" si="74"/>
        <v>1</v>
      </c>
      <c r="M127" s="257">
        <f t="shared" si="74"/>
        <v>1</v>
      </c>
      <c r="N127" s="257">
        <f t="shared" si="74"/>
        <v>1</v>
      </c>
      <c r="O127" s="257">
        <f t="shared" si="74"/>
        <v>2</v>
      </c>
      <c r="P127" s="257">
        <f t="shared" si="74"/>
        <v>2</v>
      </c>
      <c r="Q127" s="257">
        <f t="shared" si="74"/>
        <v>2</v>
      </c>
      <c r="R127" s="257">
        <f t="shared" si="74"/>
        <v>2</v>
      </c>
      <c r="S127" s="257">
        <f t="shared" si="74"/>
        <v>1</v>
      </c>
      <c r="T127" s="257">
        <f t="shared" si="74"/>
        <v>1</v>
      </c>
      <c r="U127" s="257">
        <f t="shared" si="74"/>
        <v>2</v>
      </c>
      <c r="V127" s="257">
        <f t="shared" si="74"/>
        <v>3</v>
      </c>
      <c r="W127" s="257">
        <f t="shared" si="74"/>
        <v>4</v>
      </c>
      <c r="X127" s="257">
        <f t="shared" si="74"/>
        <v>4</v>
      </c>
      <c r="Y127" s="257">
        <f t="shared" si="74"/>
        <v>4</v>
      </c>
      <c r="Z127" s="257">
        <f t="shared" si="74"/>
        <v>3</v>
      </c>
      <c r="AA127" s="257">
        <f t="shared" si="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:AB129" si="75">AVERAGE(H124,H127)</f>
        <v>1</v>
      </c>
      <c r="I129" s="320">
        <f t="shared" si="75"/>
        <v>1</v>
      </c>
      <c r="J129" s="320">
        <f t="shared" si="75"/>
        <v>1</v>
      </c>
      <c r="K129" s="320">
        <f t="shared" si="75"/>
        <v>1</v>
      </c>
      <c r="L129" s="320">
        <f t="shared" si="75"/>
        <v>1</v>
      </c>
      <c r="M129" s="320">
        <f t="shared" si="75"/>
        <v>1</v>
      </c>
      <c r="N129" s="320">
        <f t="shared" si="75"/>
        <v>1</v>
      </c>
      <c r="O129" s="320">
        <f t="shared" si="75"/>
        <v>1.5</v>
      </c>
      <c r="P129" s="320">
        <f t="shared" si="75"/>
        <v>2</v>
      </c>
      <c r="Q129" s="320">
        <f t="shared" si="75"/>
        <v>2</v>
      </c>
      <c r="R129" s="320">
        <f t="shared" si="75"/>
        <v>2</v>
      </c>
      <c r="S129" s="320">
        <f t="shared" si="75"/>
        <v>1.5</v>
      </c>
      <c r="T129" s="320">
        <f t="shared" si="75"/>
        <v>1</v>
      </c>
      <c r="U129" s="320">
        <f t="shared" si="75"/>
        <v>1.5</v>
      </c>
      <c r="V129" s="320">
        <f t="shared" si="75"/>
        <v>2.5</v>
      </c>
      <c r="W129" s="320">
        <f t="shared" si="75"/>
        <v>3.5</v>
      </c>
      <c r="X129" s="320">
        <f t="shared" si="75"/>
        <v>4</v>
      </c>
      <c r="Y129" s="320">
        <f t="shared" si="75"/>
        <v>4</v>
      </c>
      <c r="Z129" s="320">
        <f t="shared" si="75"/>
        <v>3.5</v>
      </c>
      <c r="AA129" s="320">
        <f t="shared" si="75"/>
        <v>3</v>
      </c>
      <c r="AB129" s="321">
        <f t="shared" si="75"/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76">(H125+H124)/H124-1</f>
        <v>0</v>
      </c>
      <c r="I131" s="233">
        <f t="shared" si="76"/>
        <v>0</v>
      </c>
      <c r="J131" s="233">
        <f t="shared" si="76"/>
        <v>0</v>
      </c>
      <c r="K131" s="233">
        <f t="shared" si="76"/>
        <v>0</v>
      </c>
      <c r="L131" s="233">
        <f t="shared" si="76"/>
        <v>0</v>
      </c>
      <c r="M131" s="233">
        <f t="shared" si="76"/>
        <v>0</v>
      </c>
      <c r="N131" s="233">
        <f t="shared" si="76"/>
        <v>0</v>
      </c>
      <c r="O131" s="233">
        <f t="shared" si="76"/>
        <v>1</v>
      </c>
      <c r="P131" s="233">
        <f t="shared" si="76"/>
        <v>0</v>
      </c>
      <c r="Q131" s="243">
        <f t="shared" si="76"/>
        <v>0</v>
      </c>
      <c r="R131" s="233">
        <f t="shared" si="76"/>
        <v>0.5</v>
      </c>
      <c r="S131" s="233">
        <f t="shared" si="76"/>
        <v>0</v>
      </c>
      <c r="T131" s="233">
        <f t="shared" si="76"/>
        <v>1</v>
      </c>
      <c r="U131" s="233">
        <f t="shared" si="76"/>
        <v>1</v>
      </c>
      <c r="V131" s="233">
        <f t="shared" si="76"/>
        <v>0.5</v>
      </c>
      <c r="W131" s="233">
        <f t="shared" si="76"/>
        <v>0.33333333333333326</v>
      </c>
      <c r="X131" s="233">
        <f t="shared" si="76"/>
        <v>0</v>
      </c>
      <c r="Y131" s="233">
        <f t="shared" si="76"/>
        <v>0</v>
      </c>
      <c r="Z131" s="233">
        <f t="shared" si="76"/>
        <v>0</v>
      </c>
      <c r="AA131" s="233">
        <f t="shared" si="76"/>
        <v>0</v>
      </c>
      <c r="AB131" s="244">
        <f t="shared" si="7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77">(H126+H129)/H129-1</f>
        <v>0</v>
      </c>
      <c r="I132" s="236">
        <f t="shared" si="77"/>
        <v>0</v>
      </c>
      <c r="J132" s="236">
        <f t="shared" si="77"/>
        <v>0</v>
      </c>
      <c r="K132" s="236">
        <f t="shared" si="77"/>
        <v>0</v>
      </c>
      <c r="L132" s="236">
        <f t="shared" si="77"/>
        <v>0</v>
      </c>
      <c r="M132" s="236">
        <f t="shared" si="77"/>
        <v>0</v>
      </c>
      <c r="N132" s="236">
        <f t="shared" si="77"/>
        <v>0</v>
      </c>
      <c r="O132" s="236">
        <f t="shared" si="77"/>
        <v>0</v>
      </c>
      <c r="P132" s="236">
        <f t="shared" si="77"/>
        <v>0</v>
      </c>
      <c r="Q132" s="238">
        <f t="shared" si="77"/>
        <v>0</v>
      </c>
      <c r="R132" s="236">
        <f t="shared" si="77"/>
        <v>-0.5</v>
      </c>
      <c r="S132" s="236">
        <f t="shared" si="77"/>
        <v>-0.66666666666666674</v>
      </c>
      <c r="T132" s="236">
        <f t="shared" si="77"/>
        <v>-1</v>
      </c>
      <c r="U132" s="236">
        <f t="shared" si="77"/>
        <v>0</v>
      </c>
      <c r="V132" s="236">
        <f t="shared" si="77"/>
        <v>0</v>
      </c>
      <c r="W132" s="236">
        <f t="shared" si="77"/>
        <v>0</v>
      </c>
      <c r="X132" s="236">
        <f t="shared" si="77"/>
        <v>0</v>
      </c>
      <c r="Y132" s="236">
        <f t="shared" si="77"/>
        <v>0</v>
      </c>
      <c r="Z132" s="236">
        <f t="shared" si="77"/>
        <v>-0.2857142857142857</v>
      </c>
      <c r="AA132" s="236">
        <f t="shared" si="77"/>
        <v>0</v>
      </c>
      <c r="AB132" s="237">
        <f t="shared" si="7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ca="1">(C9+C12)/C12-1</f>
        <v>-0.21238938053097345</v>
      </c>
      <c r="D15" s="495">
        <f ca="1">(D9+D12)/D12-1</f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8">(H9+H12)/H12-1</f>
        <v>-2.2727272727272707E-2</v>
      </c>
      <c r="I15" s="494">
        <f t="shared" ca="1" si="8"/>
        <v>-6.8965517241379337E-2</v>
      </c>
      <c r="J15" s="494">
        <f t="shared" ca="1" si="8"/>
        <v>-2.2988505747126409E-2</v>
      </c>
      <c r="K15" s="494">
        <f t="shared" ca="1" si="8"/>
        <v>0</v>
      </c>
      <c r="L15" s="494">
        <f t="shared" ca="1" si="8"/>
        <v>-2.1052631578947323E-2</v>
      </c>
      <c r="M15" s="494">
        <f t="shared" ca="1" si="8"/>
        <v>-1.980198019801982E-2</v>
      </c>
      <c r="N15" s="494">
        <f t="shared" ca="1" si="8"/>
        <v>0</v>
      </c>
      <c r="O15" s="494">
        <f t="shared" ca="1" si="8"/>
        <v>-1.6949152542372836E-2</v>
      </c>
      <c r="P15" s="494">
        <f t="shared" ca="1" si="8"/>
        <v>0</v>
      </c>
      <c r="Q15" s="497">
        <f t="shared" ca="1" si="8"/>
        <v>0</v>
      </c>
      <c r="R15" s="494">
        <f t="shared" ca="1" si="8"/>
        <v>-4.5801526717557217E-2</v>
      </c>
      <c r="S15" s="494">
        <f t="shared" ca="1" si="8"/>
        <v>-1.4705882352941124E-2</v>
      </c>
      <c r="T15" s="494">
        <f t="shared" ca="1" si="8"/>
        <v>-1.4084507042253502E-2</v>
      </c>
      <c r="U15" s="494">
        <f t="shared" ca="1" si="8"/>
        <v>-1.3422818791946289E-2</v>
      </c>
      <c r="V15" s="494">
        <f t="shared" ca="1" si="8"/>
        <v>0</v>
      </c>
      <c r="W15" s="494">
        <f t="shared" ca="1" si="8"/>
        <v>-1.2345679012345734E-2</v>
      </c>
      <c r="X15" s="494">
        <f t="shared" ca="1" si="8"/>
        <v>-6.2111801242236031E-2</v>
      </c>
      <c r="Y15" s="494">
        <f t="shared" ca="1" si="8"/>
        <v>-1.2345679012345734E-2</v>
      </c>
      <c r="Z15" s="494">
        <f t="shared" ca="1" si="8"/>
        <v>-2.3809523809523836E-2</v>
      </c>
      <c r="AA15" s="494">
        <f t="shared" ca="1" si="8"/>
        <v>-4.6783625730994149E-2</v>
      </c>
      <c r="AB15" s="495">
        <f t="shared" ca="1" si="8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9">EOMONTH(H17,0)+1</f>
        <v>45689</v>
      </c>
      <c r="J17" s="465">
        <f t="shared" si="9"/>
        <v>45717</v>
      </c>
      <c r="K17" s="465">
        <f t="shared" si="9"/>
        <v>45748</v>
      </c>
      <c r="L17" s="465">
        <f t="shared" si="9"/>
        <v>45778</v>
      </c>
      <c r="M17" s="465">
        <f t="shared" si="9"/>
        <v>45809</v>
      </c>
      <c r="N17" s="465">
        <f t="shared" si="9"/>
        <v>45839</v>
      </c>
      <c r="O17" s="465">
        <v>45870</v>
      </c>
      <c r="P17" s="465">
        <f t="shared" ref="P17:AB17" si="10">EOMONTH(O17,0)+1</f>
        <v>45901</v>
      </c>
      <c r="Q17" s="465">
        <f t="shared" si="10"/>
        <v>45931</v>
      </c>
      <c r="R17" s="465">
        <f t="shared" si="10"/>
        <v>45962</v>
      </c>
      <c r="S17" s="465">
        <f t="shared" si="10"/>
        <v>45992</v>
      </c>
      <c r="T17" s="465">
        <f t="shared" si="10"/>
        <v>46023</v>
      </c>
      <c r="U17" s="465">
        <f t="shared" si="10"/>
        <v>46054</v>
      </c>
      <c r="V17" s="465">
        <f t="shared" si="10"/>
        <v>46082</v>
      </c>
      <c r="W17" s="465">
        <f t="shared" si="10"/>
        <v>46113</v>
      </c>
      <c r="X17" s="465">
        <f t="shared" si="10"/>
        <v>46143</v>
      </c>
      <c r="Y17" s="465">
        <f t="shared" si="10"/>
        <v>46174</v>
      </c>
      <c r="Z17" s="465">
        <f t="shared" si="10"/>
        <v>46204</v>
      </c>
      <c r="AA17" s="465">
        <f t="shared" si="10"/>
        <v>46235</v>
      </c>
      <c r="AB17" s="465">
        <f t="shared" si="10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1">+H24-H22-H23</f>
        <v>13</v>
      </c>
      <c r="I21" s="470">
        <f t="shared" ca="1" si="11"/>
        <v>13</v>
      </c>
      <c r="J21" s="470">
        <f t="shared" ca="1" si="11"/>
        <v>13</v>
      </c>
      <c r="K21" s="470">
        <f t="shared" ca="1" si="11"/>
        <v>14</v>
      </c>
      <c r="L21" s="470">
        <f t="shared" ca="1" si="11"/>
        <v>15</v>
      </c>
      <c r="M21" s="470">
        <f t="shared" ca="1" si="11"/>
        <v>15</v>
      </c>
      <c r="N21" s="470">
        <f t="shared" ca="1" si="11"/>
        <v>20</v>
      </c>
      <c r="O21" s="470">
        <f t="shared" ca="1" si="11"/>
        <v>24</v>
      </c>
      <c r="P21" s="470">
        <f t="shared" ca="1" si="11"/>
        <v>26</v>
      </c>
      <c r="Q21" s="470">
        <f t="shared" ca="1" si="11"/>
        <v>26</v>
      </c>
      <c r="R21" s="470">
        <f t="shared" ca="1" si="11"/>
        <v>28</v>
      </c>
      <c r="S21" s="470">
        <f t="shared" ca="1" si="11"/>
        <v>30</v>
      </c>
      <c r="T21" s="470">
        <f t="shared" ca="1" si="11"/>
        <v>31</v>
      </c>
      <c r="U21" s="470">
        <f t="shared" ca="1" si="11"/>
        <v>32</v>
      </c>
      <c r="V21" s="470">
        <f t="shared" ca="1" si="11"/>
        <v>32</v>
      </c>
      <c r="W21" s="470">
        <f t="shared" ca="1" si="11"/>
        <v>32</v>
      </c>
      <c r="X21" s="470">
        <f t="shared" ca="1" si="11"/>
        <v>34</v>
      </c>
      <c r="Y21" s="470">
        <f t="shared" ca="1" si="11"/>
        <v>33</v>
      </c>
      <c r="Z21" s="470">
        <f t="shared" ca="1" si="11"/>
        <v>37</v>
      </c>
      <c r="AA21" s="470">
        <f t="shared" ca="1" si="11"/>
        <v>39</v>
      </c>
      <c r="AB21" s="470">
        <f t="shared" ca="1" si="11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2">+I21</f>
        <v>13</v>
      </c>
      <c r="I24" s="475">
        <f t="shared" ca="1" si="12"/>
        <v>13</v>
      </c>
      <c r="J24" s="475">
        <f t="shared" ca="1" si="12"/>
        <v>14</v>
      </c>
      <c r="K24" s="475">
        <f t="shared" ca="1" si="12"/>
        <v>15</v>
      </c>
      <c r="L24" s="475">
        <f t="shared" ca="1" si="12"/>
        <v>15</v>
      </c>
      <c r="M24" s="475">
        <f t="shared" ca="1" si="12"/>
        <v>20</v>
      </c>
      <c r="N24" s="475">
        <f t="shared" ca="1" si="12"/>
        <v>24</v>
      </c>
      <c r="O24" s="475">
        <f t="shared" ca="1" si="12"/>
        <v>26</v>
      </c>
      <c r="P24" s="475">
        <f t="shared" ca="1" si="12"/>
        <v>26</v>
      </c>
      <c r="Q24" s="478">
        <f t="shared" ca="1" si="12"/>
        <v>28</v>
      </c>
      <c r="R24" s="475">
        <f t="shared" ca="1" si="12"/>
        <v>30</v>
      </c>
      <c r="S24" s="475">
        <f t="shared" ca="1" si="12"/>
        <v>31</v>
      </c>
      <c r="T24" s="475">
        <f t="shared" ca="1" si="12"/>
        <v>32</v>
      </c>
      <c r="U24" s="475">
        <f t="shared" ca="1" si="12"/>
        <v>32</v>
      </c>
      <c r="V24" s="475">
        <f t="shared" ca="1" si="12"/>
        <v>32</v>
      </c>
      <c r="W24" s="475">
        <f t="shared" ca="1" si="12"/>
        <v>34</v>
      </c>
      <c r="X24" s="475">
        <f t="shared" ca="1" si="12"/>
        <v>33</v>
      </c>
      <c r="Y24" s="475">
        <f t="shared" ca="1" si="12"/>
        <v>37</v>
      </c>
      <c r="Z24" s="475">
        <f t="shared" ca="1" si="12"/>
        <v>39</v>
      </c>
      <c r="AA24" s="475">
        <f t="shared" ca="1" si="12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3">AVERAGE(H21,H24)</f>
        <v>13</v>
      </c>
      <c r="I26" s="502">
        <f t="shared" ca="1" si="13"/>
        <v>13</v>
      </c>
      <c r="J26" s="502">
        <f t="shared" ca="1" si="13"/>
        <v>13.5</v>
      </c>
      <c r="K26" s="502">
        <f t="shared" ca="1" si="13"/>
        <v>14.5</v>
      </c>
      <c r="L26" s="502">
        <f t="shared" ca="1" si="13"/>
        <v>15</v>
      </c>
      <c r="M26" s="502">
        <f t="shared" ca="1" si="13"/>
        <v>17.5</v>
      </c>
      <c r="N26" s="502">
        <f t="shared" ca="1" si="13"/>
        <v>22</v>
      </c>
      <c r="O26" s="502">
        <f t="shared" ca="1" si="13"/>
        <v>25</v>
      </c>
      <c r="P26" s="502">
        <f t="shared" ca="1" si="13"/>
        <v>26</v>
      </c>
      <c r="Q26" s="505">
        <f t="shared" ca="1" si="13"/>
        <v>27</v>
      </c>
      <c r="R26" s="502">
        <f t="shared" ca="1" si="13"/>
        <v>29</v>
      </c>
      <c r="S26" s="502">
        <f t="shared" ca="1" si="13"/>
        <v>30.5</v>
      </c>
      <c r="T26" s="502">
        <f t="shared" ca="1" si="13"/>
        <v>31.5</v>
      </c>
      <c r="U26" s="502">
        <f t="shared" ca="1" si="13"/>
        <v>32</v>
      </c>
      <c r="V26" s="502">
        <f t="shared" ca="1" si="13"/>
        <v>32</v>
      </c>
      <c r="W26" s="502">
        <f t="shared" ca="1" si="13"/>
        <v>33</v>
      </c>
      <c r="X26" s="502">
        <f t="shared" ca="1" si="13"/>
        <v>33.5</v>
      </c>
      <c r="Y26" s="502">
        <f t="shared" ca="1" si="13"/>
        <v>35</v>
      </c>
      <c r="Z26" s="502">
        <f t="shared" ca="1" si="13"/>
        <v>38</v>
      </c>
      <c r="AA26" s="502">
        <f t="shared" ca="1" si="13"/>
        <v>38.5</v>
      </c>
      <c r="AB26" s="503">
        <f t="shared" ca="1" si="13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4">H19/H26</f>
        <v>11.23076923076923</v>
      </c>
      <c r="I27" s="506">
        <f t="shared" ca="1" si="14"/>
        <v>11.346153846153847</v>
      </c>
      <c r="J27" s="506">
        <f t="shared" ca="1" si="14"/>
        <v>11.185185185185185</v>
      </c>
      <c r="K27" s="506">
        <f t="shared" ca="1" si="14"/>
        <v>10.793103448275861</v>
      </c>
      <c r="L27" s="506">
        <f t="shared" ca="1" si="14"/>
        <v>10.8</v>
      </c>
      <c r="M27" s="506">
        <f t="shared" ca="1" si="14"/>
        <v>9.4285714285714288</v>
      </c>
      <c r="N27" s="506">
        <f t="shared" ca="1" si="14"/>
        <v>7.5909090909090908</v>
      </c>
      <c r="O27" s="506">
        <f t="shared" ca="1" si="14"/>
        <v>6.88</v>
      </c>
      <c r="P27" s="506">
        <f t="shared" ca="1" si="14"/>
        <v>6.7692307692307692</v>
      </c>
      <c r="Q27" s="509">
        <f t="shared" ca="1" si="14"/>
        <v>6.6481481481481479</v>
      </c>
      <c r="R27" s="506">
        <f t="shared" ca="1" si="14"/>
        <v>6.2586206896551726</v>
      </c>
      <c r="S27" s="506">
        <f t="shared" ca="1" si="14"/>
        <v>5.918032786885246</v>
      </c>
      <c r="T27" s="506">
        <f t="shared" ca="1" si="14"/>
        <v>5.8095238095238093</v>
      </c>
      <c r="U27" s="506">
        <f t="shared" ca="1" si="14"/>
        <v>5.921875</v>
      </c>
      <c r="V27" s="506">
        <f t="shared" ca="1" si="14"/>
        <v>6.015625</v>
      </c>
      <c r="W27" s="506">
        <f t="shared" ca="1" si="14"/>
        <v>5.9090909090909092</v>
      </c>
      <c r="X27" s="506">
        <f t="shared" ca="1" si="14"/>
        <v>5.7761194029850742</v>
      </c>
      <c r="Y27" s="506">
        <f t="shared" ca="1" si="14"/>
        <v>5.4</v>
      </c>
      <c r="Z27" s="506">
        <f t="shared" ca="1" si="14"/>
        <v>4.7763157894736841</v>
      </c>
      <c r="AA27" s="506">
        <f t="shared" ca="1" si="14"/>
        <v>4.5324675324675328</v>
      </c>
      <c r="AB27" s="507">
        <f t="shared" ca="1" si="14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5">(H22+H21)/H21-1</f>
        <v>0</v>
      </c>
      <c r="I29" s="488">
        <f t="shared" ca="1" si="15"/>
        <v>0</v>
      </c>
      <c r="J29" s="488">
        <f t="shared" ca="1" si="15"/>
        <v>7.6923076923076872E-2</v>
      </c>
      <c r="K29" s="488">
        <f t="shared" ca="1" si="15"/>
        <v>7.1428571428571397E-2</v>
      </c>
      <c r="L29" s="488">
        <f t="shared" ca="1" si="15"/>
        <v>6.6666666666666652E-2</v>
      </c>
      <c r="M29" s="488">
        <f t="shared" ca="1" si="15"/>
        <v>0.33333333333333326</v>
      </c>
      <c r="N29" s="488">
        <f t="shared" ca="1" si="15"/>
        <v>0.19999999999999996</v>
      </c>
      <c r="O29" s="488">
        <f t="shared" ca="1" si="15"/>
        <v>0.125</v>
      </c>
      <c r="P29" s="488">
        <f t="shared" ca="1" si="15"/>
        <v>0</v>
      </c>
      <c r="Q29" s="492">
        <f t="shared" ca="1" si="15"/>
        <v>7.6923076923076872E-2</v>
      </c>
      <c r="R29" s="488">
        <f t="shared" ca="1" si="15"/>
        <v>0.10714285714285721</v>
      </c>
      <c r="S29" s="488">
        <f t="shared" ca="1" si="15"/>
        <v>3.3333333333333437E-2</v>
      </c>
      <c r="T29" s="488">
        <f t="shared" ca="1" si="15"/>
        <v>3.2258064516129004E-2</v>
      </c>
      <c r="U29" s="488">
        <f t="shared" ca="1" si="15"/>
        <v>0</v>
      </c>
      <c r="V29" s="488">
        <f t="shared" ca="1" si="15"/>
        <v>0</v>
      </c>
      <c r="W29" s="488">
        <f t="shared" ca="1" si="15"/>
        <v>6.25E-2</v>
      </c>
      <c r="X29" s="488">
        <f t="shared" ca="1" si="15"/>
        <v>2.9411764705882248E-2</v>
      </c>
      <c r="Y29" s="488">
        <f t="shared" ca="1" si="15"/>
        <v>0.1515151515151516</v>
      </c>
      <c r="Z29" s="488">
        <f t="shared" ca="1" si="15"/>
        <v>5.4054054054053946E-2</v>
      </c>
      <c r="AA29" s="488">
        <f t="shared" ca="1" si="15"/>
        <v>5.1282051282051322E-2</v>
      </c>
      <c r="AB29" s="489">
        <f t="shared" ca="1" si="15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6">(H23+H26)/H26-1</f>
        <v>0</v>
      </c>
      <c r="I30" s="494">
        <f t="shared" ca="1" si="16"/>
        <v>0</v>
      </c>
      <c r="J30" s="494">
        <f t="shared" ca="1" si="16"/>
        <v>0</v>
      </c>
      <c r="K30" s="494">
        <f t="shared" ca="1" si="16"/>
        <v>0</v>
      </c>
      <c r="L30" s="494">
        <f t="shared" ca="1" si="16"/>
        <v>-6.6666666666666652E-2</v>
      </c>
      <c r="M30" s="494">
        <f t="shared" ca="1" si="16"/>
        <v>0</v>
      </c>
      <c r="N30" s="494">
        <f t="shared" ca="1" si="16"/>
        <v>0</v>
      </c>
      <c r="O30" s="494">
        <f t="shared" ca="1" si="16"/>
        <v>-4.0000000000000036E-2</v>
      </c>
      <c r="P30" s="494">
        <f t="shared" ca="1" si="16"/>
        <v>0</v>
      </c>
      <c r="Q30" s="497">
        <f t="shared" ca="1" si="16"/>
        <v>0</v>
      </c>
      <c r="R30" s="494">
        <f t="shared" ca="1" si="16"/>
        <v>-3.4482758620689613E-2</v>
      </c>
      <c r="S30" s="494">
        <f t="shared" ca="1" si="16"/>
        <v>0</v>
      </c>
      <c r="T30" s="494">
        <f t="shared" ca="1" si="16"/>
        <v>0</v>
      </c>
      <c r="U30" s="494">
        <f t="shared" ca="1" si="16"/>
        <v>0</v>
      </c>
      <c r="V30" s="494">
        <f t="shared" ca="1" si="16"/>
        <v>0</v>
      </c>
      <c r="W30" s="494">
        <f t="shared" ca="1" si="16"/>
        <v>0</v>
      </c>
      <c r="X30" s="494">
        <f t="shared" ca="1" si="16"/>
        <v>-5.9701492537313383E-2</v>
      </c>
      <c r="Y30" s="494">
        <f t="shared" ca="1" si="16"/>
        <v>-2.8571428571428581E-2</v>
      </c>
      <c r="Z30" s="494">
        <f t="shared" ca="1" si="16"/>
        <v>0</v>
      </c>
      <c r="AA30" s="494">
        <f t="shared" ca="1" si="16"/>
        <v>-7.7922077922077948E-2</v>
      </c>
      <c r="AB30" s="495">
        <f t="shared" ca="1" si="16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7">EOMONTH(H32,0)+1</f>
        <v>45689</v>
      </c>
      <c r="J32" s="465">
        <f t="shared" si="17"/>
        <v>45717</v>
      </c>
      <c r="K32" s="465">
        <f t="shared" si="17"/>
        <v>45748</v>
      </c>
      <c r="L32" s="465">
        <f t="shared" si="17"/>
        <v>45778</v>
      </c>
      <c r="M32" s="465">
        <f t="shared" si="17"/>
        <v>45809</v>
      </c>
      <c r="N32" s="465">
        <f t="shared" si="17"/>
        <v>45839</v>
      </c>
      <c r="O32" s="465">
        <v>45870</v>
      </c>
      <c r="P32" s="465">
        <f t="shared" ref="P32:AB32" si="18">EOMONTH(O32,0)+1</f>
        <v>45901</v>
      </c>
      <c r="Q32" s="465">
        <f t="shared" si="18"/>
        <v>45931</v>
      </c>
      <c r="R32" s="465">
        <f t="shared" si="18"/>
        <v>45962</v>
      </c>
      <c r="S32" s="465">
        <f t="shared" si="18"/>
        <v>45992</v>
      </c>
      <c r="T32" s="465">
        <f t="shared" si="18"/>
        <v>46023</v>
      </c>
      <c r="U32" s="465">
        <f t="shared" si="18"/>
        <v>46054</v>
      </c>
      <c r="V32" s="465">
        <f t="shared" si="18"/>
        <v>46082</v>
      </c>
      <c r="W32" s="465">
        <f t="shared" si="18"/>
        <v>46113</v>
      </c>
      <c r="X32" s="465">
        <f t="shared" si="18"/>
        <v>46143</v>
      </c>
      <c r="Y32" s="465">
        <f t="shared" si="18"/>
        <v>46174</v>
      </c>
      <c r="Z32" s="465">
        <f t="shared" si="18"/>
        <v>46204</v>
      </c>
      <c r="AA32" s="465">
        <f t="shared" si="18"/>
        <v>46235</v>
      </c>
      <c r="AB32" s="465">
        <f t="shared" si="18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19">+I$19</f>
        <v>147.5</v>
      </c>
      <c r="J34" s="510">
        <f t="shared" si="19"/>
        <v>151</v>
      </c>
      <c r="K34" s="510">
        <f t="shared" si="19"/>
        <v>156.5</v>
      </c>
      <c r="L34" s="510">
        <f t="shared" si="19"/>
        <v>162</v>
      </c>
      <c r="M34" s="510">
        <f t="shared" si="19"/>
        <v>165</v>
      </c>
      <c r="N34" s="510">
        <f t="shared" si="19"/>
        <v>167</v>
      </c>
      <c r="O34" s="510">
        <f t="shared" si="19"/>
        <v>172</v>
      </c>
      <c r="P34" s="510">
        <f t="shared" si="19"/>
        <v>176</v>
      </c>
      <c r="Q34" s="510">
        <f t="shared" si="19"/>
        <v>179.5</v>
      </c>
      <c r="R34" s="510">
        <f t="shared" si="19"/>
        <v>181.5</v>
      </c>
      <c r="S34" s="510">
        <f t="shared" si="19"/>
        <v>180.5</v>
      </c>
      <c r="T34" s="510">
        <f t="shared" si="19"/>
        <v>183</v>
      </c>
      <c r="U34" s="510">
        <f t="shared" si="19"/>
        <v>189.5</v>
      </c>
      <c r="V34" s="510">
        <f t="shared" si="19"/>
        <v>192.5</v>
      </c>
      <c r="W34" s="510">
        <f t="shared" si="19"/>
        <v>195</v>
      </c>
      <c r="X34" s="510">
        <f t="shared" si="19"/>
        <v>193.5</v>
      </c>
      <c r="Y34" s="510">
        <f t="shared" si="19"/>
        <v>189</v>
      </c>
      <c r="Z34" s="510">
        <f t="shared" si="19"/>
        <v>181.5</v>
      </c>
      <c r="AA34" s="510">
        <f t="shared" si="19"/>
        <v>174.5</v>
      </c>
      <c r="AB34" s="510">
        <f t="shared" si="19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0">+H39-H37-H38</f>
        <v>13</v>
      </c>
      <c r="I36" s="470">
        <f t="shared" ca="1" si="20"/>
        <v>14</v>
      </c>
      <c r="J36" s="470">
        <f t="shared" ca="1" si="20"/>
        <v>12</v>
      </c>
      <c r="K36" s="470">
        <f t="shared" ca="1" si="20"/>
        <v>13</v>
      </c>
      <c r="L36" s="470">
        <f t="shared" ca="1" si="20"/>
        <v>13</v>
      </c>
      <c r="M36" s="470">
        <f t="shared" ca="1" si="20"/>
        <v>13</v>
      </c>
      <c r="N36" s="470">
        <f t="shared" ca="1" si="20"/>
        <v>12</v>
      </c>
      <c r="O36" s="470">
        <f t="shared" ca="1" si="20"/>
        <v>12</v>
      </c>
      <c r="P36" s="470">
        <f t="shared" ca="1" si="20"/>
        <v>12</v>
      </c>
      <c r="Q36" s="470">
        <f t="shared" ca="1" si="20"/>
        <v>12</v>
      </c>
      <c r="R36" s="470">
        <f t="shared" ca="1" si="20"/>
        <v>12</v>
      </c>
      <c r="S36" s="470">
        <f t="shared" ca="1" si="20"/>
        <v>13</v>
      </c>
      <c r="T36" s="470">
        <f t="shared" ca="1" si="20"/>
        <v>13</v>
      </c>
      <c r="U36" s="470">
        <f t="shared" ca="1" si="20"/>
        <v>13</v>
      </c>
      <c r="V36" s="470">
        <f t="shared" ca="1" si="20"/>
        <v>14</v>
      </c>
      <c r="W36" s="470">
        <f t="shared" ca="1" si="20"/>
        <v>15</v>
      </c>
      <c r="X36" s="470">
        <f t="shared" ca="1" si="20"/>
        <v>15</v>
      </c>
      <c r="Y36" s="470">
        <f t="shared" ca="1" si="20"/>
        <v>16</v>
      </c>
      <c r="Z36" s="470">
        <f t="shared" ca="1" si="20"/>
        <v>16</v>
      </c>
      <c r="AA36" s="470">
        <f t="shared" ca="1" si="20"/>
        <v>17</v>
      </c>
      <c r="AB36" s="470">
        <f t="shared" ca="1" si="20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1">+I36</f>
        <v>14</v>
      </c>
      <c r="I39" s="475">
        <f t="shared" ca="1" si="21"/>
        <v>12</v>
      </c>
      <c r="J39" s="475">
        <f t="shared" ca="1" si="21"/>
        <v>13</v>
      </c>
      <c r="K39" s="475">
        <f t="shared" ca="1" si="21"/>
        <v>13</v>
      </c>
      <c r="L39" s="475">
        <f t="shared" ca="1" si="21"/>
        <v>13</v>
      </c>
      <c r="M39" s="475">
        <f t="shared" ca="1" si="21"/>
        <v>12</v>
      </c>
      <c r="N39" s="475">
        <f t="shared" ca="1" si="21"/>
        <v>12</v>
      </c>
      <c r="O39" s="475">
        <f t="shared" ca="1" si="21"/>
        <v>12</v>
      </c>
      <c r="P39" s="475">
        <f t="shared" ca="1" si="21"/>
        <v>12</v>
      </c>
      <c r="Q39" s="478">
        <f t="shared" ca="1" si="21"/>
        <v>12</v>
      </c>
      <c r="R39" s="475">
        <f t="shared" ca="1" si="21"/>
        <v>13</v>
      </c>
      <c r="S39" s="475">
        <f t="shared" ca="1" si="21"/>
        <v>13</v>
      </c>
      <c r="T39" s="475">
        <f t="shared" ca="1" si="21"/>
        <v>13</v>
      </c>
      <c r="U39" s="475">
        <f t="shared" ca="1" si="21"/>
        <v>14</v>
      </c>
      <c r="V39" s="475">
        <f t="shared" ca="1" si="21"/>
        <v>15</v>
      </c>
      <c r="W39" s="475">
        <f t="shared" ca="1" si="21"/>
        <v>15</v>
      </c>
      <c r="X39" s="475">
        <f t="shared" ca="1" si="21"/>
        <v>16</v>
      </c>
      <c r="Y39" s="475">
        <f t="shared" ca="1" si="21"/>
        <v>16</v>
      </c>
      <c r="Z39" s="475">
        <f t="shared" ca="1" si="21"/>
        <v>17</v>
      </c>
      <c r="AA39" s="475">
        <f t="shared" ca="1" si="21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2">AVERAGE(H36,H39)</f>
        <v>13.5</v>
      </c>
      <c r="I41" s="502">
        <f t="shared" ca="1" si="22"/>
        <v>13</v>
      </c>
      <c r="J41" s="502">
        <f t="shared" ca="1" si="22"/>
        <v>12.5</v>
      </c>
      <c r="K41" s="502">
        <f t="shared" ca="1" si="22"/>
        <v>13</v>
      </c>
      <c r="L41" s="502">
        <f t="shared" ca="1" si="22"/>
        <v>13</v>
      </c>
      <c r="M41" s="502">
        <f t="shared" ca="1" si="22"/>
        <v>12.5</v>
      </c>
      <c r="N41" s="502">
        <f t="shared" ca="1" si="22"/>
        <v>12</v>
      </c>
      <c r="O41" s="502">
        <f t="shared" ca="1" si="22"/>
        <v>12</v>
      </c>
      <c r="P41" s="502">
        <f t="shared" ca="1" si="22"/>
        <v>12</v>
      </c>
      <c r="Q41" s="505">
        <f t="shared" ca="1" si="22"/>
        <v>12</v>
      </c>
      <c r="R41" s="502">
        <f t="shared" ca="1" si="22"/>
        <v>12.5</v>
      </c>
      <c r="S41" s="502">
        <f t="shared" ca="1" si="22"/>
        <v>13</v>
      </c>
      <c r="T41" s="502">
        <f t="shared" ca="1" si="22"/>
        <v>13</v>
      </c>
      <c r="U41" s="502">
        <f t="shared" ca="1" si="22"/>
        <v>13.5</v>
      </c>
      <c r="V41" s="502">
        <f t="shared" ca="1" si="22"/>
        <v>14.5</v>
      </c>
      <c r="W41" s="502">
        <f t="shared" ca="1" si="22"/>
        <v>15</v>
      </c>
      <c r="X41" s="502">
        <f t="shared" ca="1" si="22"/>
        <v>15.5</v>
      </c>
      <c r="Y41" s="502">
        <f t="shared" ca="1" si="22"/>
        <v>16</v>
      </c>
      <c r="Z41" s="502">
        <f t="shared" ca="1" si="22"/>
        <v>16.5</v>
      </c>
      <c r="AA41" s="502">
        <f t="shared" ca="1" si="22"/>
        <v>17.5</v>
      </c>
      <c r="AB41" s="503">
        <f t="shared" ca="1" si="22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3">H34/H41</f>
        <v>10.814814814814815</v>
      </c>
      <c r="I42" s="506">
        <f t="shared" ca="1" si="23"/>
        <v>11.346153846153847</v>
      </c>
      <c r="J42" s="506">
        <f t="shared" ca="1" si="23"/>
        <v>12.08</v>
      </c>
      <c r="K42" s="506">
        <f t="shared" ca="1" si="23"/>
        <v>12.038461538461538</v>
      </c>
      <c r="L42" s="506">
        <f t="shared" ca="1" si="23"/>
        <v>12.461538461538462</v>
      </c>
      <c r="M42" s="506">
        <f t="shared" ca="1" si="23"/>
        <v>13.2</v>
      </c>
      <c r="N42" s="506">
        <f t="shared" ca="1" si="23"/>
        <v>13.916666666666666</v>
      </c>
      <c r="O42" s="506">
        <f t="shared" ca="1" si="23"/>
        <v>14.333333333333334</v>
      </c>
      <c r="P42" s="506">
        <f t="shared" ca="1" si="23"/>
        <v>14.666666666666666</v>
      </c>
      <c r="Q42" s="509">
        <f t="shared" ca="1" si="23"/>
        <v>14.958333333333334</v>
      </c>
      <c r="R42" s="506">
        <f t="shared" ca="1" si="23"/>
        <v>14.52</v>
      </c>
      <c r="S42" s="506">
        <f t="shared" ca="1" si="23"/>
        <v>13.884615384615385</v>
      </c>
      <c r="T42" s="506">
        <f t="shared" ca="1" si="23"/>
        <v>14.076923076923077</v>
      </c>
      <c r="U42" s="506">
        <f t="shared" ca="1" si="23"/>
        <v>14.037037037037036</v>
      </c>
      <c r="V42" s="506">
        <f t="shared" ca="1" si="23"/>
        <v>13.275862068965518</v>
      </c>
      <c r="W42" s="506">
        <f t="shared" ca="1" si="23"/>
        <v>13</v>
      </c>
      <c r="X42" s="506">
        <f t="shared" ca="1" si="23"/>
        <v>12.483870967741936</v>
      </c>
      <c r="Y42" s="506">
        <f t="shared" ca="1" si="23"/>
        <v>11.8125</v>
      </c>
      <c r="Z42" s="506">
        <f t="shared" ca="1" si="23"/>
        <v>11</v>
      </c>
      <c r="AA42" s="506">
        <f t="shared" ca="1" si="23"/>
        <v>9.9714285714285715</v>
      </c>
      <c r="AB42" s="507">
        <f t="shared" ca="1" si="23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4">(H37+H36)/H36-1</f>
        <v>7.6923076923076872E-2</v>
      </c>
      <c r="I44" s="488">
        <f t="shared" ca="1" si="24"/>
        <v>0</v>
      </c>
      <c r="J44" s="488">
        <f t="shared" ca="1" si="24"/>
        <v>0.16666666666666674</v>
      </c>
      <c r="K44" s="488">
        <f t="shared" ca="1" si="24"/>
        <v>0</v>
      </c>
      <c r="L44" s="488">
        <f t="shared" ca="1" si="24"/>
        <v>0</v>
      </c>
      <c r="M44" s="488">
        <f t="shared" ca="1" si="24"/>
        <v>0</v>
      </c>
      <c r="N44" s="488">
        <f t="shared" ca="1" si="24"/>
        <v>0</v>
      </c>
      <c r="O44" s="488">
        <f t="shared" ca="1" si="24"/>
        <v>0</v>
      </c>
      <c r="P44" s="488">
        <f t="shared" ca="1" si="24"/>
        <v>0</v>
      </c>
      <c r="Q44" s="492">
        <f t="shared" ca="1" si="24"/>
        <v>0</v>
      </c>
      <c r="R44" s="488">
        <f t="shared" ca="1" si="24"/>
        <v>8.3333333333333259E-2</v>
      </c>
      <c r="S44" s="488">
        <f t="shared" ca="1" si="24"/>
        <v>0</v>
      </c>
      <c r="T44" s="488">
        <f t="shared" ca="1" si="24"/>
        <v>0</v>
      </c>
      <c r="U44" s="488">
        <f t="shared" ca="1" si="24"/>
        <v>0.15384615384615374</v>
      </c>
      <c r="V44" s="488">
        <f t="shared" ca="1" si="24"/>
        <v>7.1428571428571397E-2</v>
      </c>
      <c r="W44" s="488">
        <f t="shared" ca="1" si="24"/>
        <v>0</v>
      </c>
      <c r="X44" s="488">
        <f t="shared" ca="1" si="24"/>
        <v>6.6666666666666652E-2</v>
      </c>
      <c r="Y44" s="488">
        <f t="shared" ca="1" si="24"/>
        <v>0</v>
      </c>
      <c r="Z44" s="488">
        <f t="shared" ca="1" si="24"/>
        <v>6.25E-2</v>
      </c>
      <c r="AA44" s="488">
        <f t="shared" ca="1" si="24"/>
        <v>5.8823529411764719E-2</v>
      </c>
      <c r="AB44" s="489">
        <f t="shared" ca="1" si="24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5">(H38+H41)/H41-1</f>
        <v>0</v>
      </c>
      <c r="I45" s="494">
        <f t="shared" ca="1" si="25"/>
        <v>-0.15384615384615385</v>
      </c>
      <c r="J45" s="494">
        <f t="shared" ca="1" si="25"/>
        <v>-7.999999999999996E-2</v>
      </c>
      <c r="K45" s="494">
        <f t="shared" ca="1" si="25"/>
        <v>0</v>
      </c>
      <c r="L45" s="494">
        <f t="shared" ca="1" si="25"/>
        <v>0</v>
      </c>
      <c r="M45" s="494">
        <f t="shared" ca="1" si="25"/>
        <v>-7.999999999999996E-2</v>
      </c>
      <c r="N45" s="494">
        <f t="shared" ca="1" si="25"/>
        <v>0</v>
      </c>
      <c r="O45" s="494">
        <f t="shared" ca="1" si="25"/>
        <v>0</v>
      </c>
      <c r="P45" s="494">
        <f t="shared" ca="1" si="25"/>
        <v>0</v>
      </c>
      <c r="Q45" s="497">
        <f t="shared" ca="1" si="25"/>
        <v>0</v>
      </c>
      <c r="R45" s="494">
        <f t="shared" ca="1" si="25"/>
        <v>0</v>
      </c>
      <c r="S45" s="494">
        <f t="shared" ca="1" si="25"/>
        <v>0</v>
      </c>
      <c r="T45" s="494">
        <f t="shared" ca="1" si="25"/>
        <v>0</v>
      </c>
      <c r="U45" s="494">
        <f t="shared" ca="1" si="25"/>
        <v>-7.407407407407407E-2</v>
      </c>
      <c r="V45" s="494">
        <f t="shared" ca="1" si="25"/>
        <v>0</v>
      </c>
      <c r="W45" s="494">
        <f t="shared" ca="1" si="25"/>
        <v>0</v>
      </c>
      <c r="X45" s="494">
        <f t="shared" ca="1" si="25"/>
        <v>0</v>
      </c>
      <c r="Y45" s="494">
        <f t="shared" ca="1" si="25"/>
        <v>0</v>
      </c>
      <c r="Z45" s="494">
        <f t="shared" ca="1" si="25"/>
        <v>0</v>
      </c>
      <c r="AA45" s="494">
        <f t="shared" ca="1" si="25"/>
        <v>0</v>
      </c>
      <c r="AB45" s="495">
        <f t="shared" ca="1" si="25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6">EOMONTH(H47,0)+1</f>
        <v>45689</v>
      </c>
      <c r="J47" s="465">
        <f t="shared" si="26"/>
        <v>45717</v>
      </c>
      <c r="K47" s="465">
        <f t="shared" si="26"/>
        <v>45748</v>
      </c>
      <c r="L47" s="465">
        <f t="shared" si="26"/>
        <v>45778</v>
      </c>
      <c r="M47" s="465">
        <f t="shared" si="26"/>
        <v>45809</v>
      </c>
      <c r="N47" s="465">
        <f t="shared" si="26"/>
        <v>45839</v>
      </c>
      <c r="O47" s="465">
        <v>45870</v>
      </c>
      <c r="P47" s="465">
        <f t="shared" ref="P47:AB47" si="27">EOMONTH(O47,0)+1</f>
        <v>45901</v>
      </c>
      <c r="Q47" s="465">
        <f t="shared" si="27"/>
        <v>45931</v>
      </c>
      <c r="R47" s="465">
        <f t="shared" si="27"/>
        <v>45962</v>
      </c>
      <c r="S47" s="465">
        <f t="shared" si="27"/>
        <v>45992</v>
      </c>
      <c r="T47" s="465">
        <f t="shared" si="27"/>
        <v>46023</v>
      </c>
      <c r="U47" s="465">
        <f t="shared" si="27"/>
        <v>46054</v>
      </c>
      <c r="V47" s="465">
        <f t="shared" si="27"/>
        <v>46082</v>
      </c>
      <c r="W47" s="465">
        <f t="shared" si="27"/>
        <v>46113</v>
      </c>
      <c r="X47" s="465">
        <f t="shared" si="27"/>
        <v>46143</v>
      </c>
      <c r="Y47" s="465">
        <f t="shared" si="27"/>
        <v>46174</v>
      </c>
      <c r="Z47" s="465">
        <f t="shared" si="27"/>
        <v>46204</v>
      </c>
      <c r="AA47" s="465">
        <f t="shared" si="27"/>
        <v>46235</v>
      </c>
      <c r="AB47" s="465">
        <f t="shared" si="27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8">+I$19</f>
        <v>147.5</v>
      </c>
      <c r="J49" s="510">
        <f t="shared" si="28"/>
        <v>151</v>
      </c>
      <c r="K49" s="510">
        <f t="shared" si="28"/>
        <v>156.5</v>
      </c>
      <c r="L49" s="510">
        <f t="shared" si="28"/>
        <v>162</v>
      </c>
      <c r="M49" s="510">
        <f t="shared" si="28"/>
        <v>165</v>
      </c>
      <c r="N49" s="510">
        <f t="shared" si="28"/>
        <v>167</v>
      </c>
      <c r="O49" s="510">
        <f t="shared" si="28"/>
        <v>172</v>
      </c>
      <c r="P49" s="510">
        <f t="shared" si="28"/>
        <v>176</v>
      </c>
      <c r="Q49" s="510">
        <f t="shared" si="28"/>
        <v>179.5</v>
      </c>
      <c r="R49" s="510">
        <f t="shared" si="28"/>
        <v>181.5</v>
      </c>
      <c r="S49" s="510">
        <f t="shared" si="28"/>
        <v>180.5</v>
      </c>
      <c r="T49" s="510">
        <f t="shared" si="28"/>
        <v>183</v>
      </c>
      <c r="U49" s="510">
        <f t="shared" si="28"/>
        <v>189.5</v>
      </c>
      <c r="V49" s="510">
        <f t="shared" si="28"/>
        <v>192.5</v>
      </c>
      <c r="W49" s="510">
        <f t="shared" si="28"/>
        <v>195</v>
      </c>
      <c r="X49" s="510">
        <f t="shared" si="28"/>
        <v>193.5</v>
      </c>
      <c r="Y49" s="510">
        <f t="shared" si="28"/>
        <v>189</v>
      </c>
      <c r="Z49" s="510">
        <f t="shared" si="28"/>
        <v>181.5</v>
      </c>
      <c r="AA49" s="510">
        <f t="shared" si="28"/>
        <v>174.5</v>
      </c>
      <c r="AB49" s="510">
        <f t="shared" si="28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29">+H54-H52-H53</f>
        <v>1</v>
      </c>
      <c r="I51" s="470">
        <f t="shared" ca="1" si="29"/>
        <v>1</v>
      </c>
      <c r="J51" s="470">
        <f t="shared" ca="1" si="29"/>
        <v>1</v>
      </c>
      <c r="K51" s="470">
        <f t="shared" ca="1" si="29"/>
        <v>2</v>
      </c>
      <c r="L51" s="470">
        <f t="shared" ca="1" si="29"/>
        <v>2</v>
      </c>
      <c r="M51" s="470">
        <f t="shared" ca="1" si="29"/>
        <v>2</v>
      </c>
      <c r="N51" s="470">
        <f t="shared" ca="1" si="29"/>
        <v>2</v>
      </c>
      <c r="O51" s="470">
        <f t="shared" ca="1" si="29"/>
        <v>2</v>
      </c>
      <c r="P51" s="470">
        <f t="shared" ca="1" si="29"/>
        <v>2</v>
      </c>
      <c r="Q51" s="470">
        <f t="shared" ca="1" si="29"/>
        <v>3</v>
      </c>
      <c r="R51" s="470">
        <f t="shared" ca="1" si="29"/>
        <v>3</v>
      </c>
      <c r="S51" s="470">
        <f t="shared" ca="1" si="29"/>
        <v>3</v>
      </c>
      <c r="T51" s="470">
        <f t="shared" ca="1" si="29"/>
        <v>2</v>
      </c>
      <c r="U51" s="470">
        <f t="shared" ca="1" si="29"/>
        <v>2</v>
      </c>
      <c r="V51" s="470">
        <f t="shared" ca="1" si="29"/>
        <v>4</v>
      </c>
      <c r="W51" s="470">
        <f t="shared" ca="1" si="29"/>
        <v>4</v>
      </c>
      <c r="X51" s="470">
        <f t="shared" ca="1" si="29"/>
        <v>4</v>
      </c>
      <c r="Y51" s="470">
        <f t="shared" ca="1" si="29"/>
        <v>4</v>
      </c>
      <c r="Z51" s="470">
        <f t="shared" ca="1" si="29"/>
        <v>4</v>
      </c>
      <c r="AA51" s="470">
        <f t="shared" ca="1" si="29"/>
        <v>4</v>
      </c>
      <c r="AB51" s="470">
        <f t="shared" si="29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0">+I51</f>
        <v>1</v>
      </c>
      <c r="I54" s="475">
        <f t="shared" ca="1" si="30"/>
        <v>1</v>
      </c>
      <c r="J54" s="475">
        <f t="shared" ca="1" si="30"/>
        <v>2</v>
      </c>
      <c r="K54" s="475">
        <f t="shared" ca="1" si="30"/>
        <v>2</v>
      </c>
      <c r="L54" s="475">
        <f t="shared" ca="1" si="30"/>
        <v>2</v>
      </c>
      <c r="M54" s="475">
        <f t="shared" ca="1" si="30"/>
        <v>2</v>
      </c>
      <c r="N54" s="475">
        <f t="shared" ca="1" si="30"/>
        <v>2</v>
      </c>
      <c r="O54" s="475">
        <f t="shared" ca="1" si="30"/>
        <v>2</v>
      </c>
      <c r="P54" s="475">
        <f t="shared" ca="1" si="30"/>
        <v>3</v>
      </c>
      <c r="Q54" s="478">
        <f t="shared" ca="1" si="30"/>
        <v>3</v>
      </c>
      <c r="R54" s="475">
        <f t="shared" ca="1" si="30"/>
        <v>3</v>
      </c>
      <c r="S54" s="475">
        <f t="shared" ca="1" si="30"/>
        <v>2</v>
      </c>
      <c r="T54" s="475">
        <f t="shared" ca="1" si="30"/>
        <v>2</v>
      </c>
      <c r="U54" s="475">
        <f t="shared" ca="1" si="30"/>
        <v>4</v>
      </c>
      <c r="V54" s="475">
        <f t="shared" ca="1" si="30"/>
        <v>4</v>
      </c>
      <c r="W54" s="475">
        <f t="shared" ca="1" si="30"/>
        <v>4</v>
      </c>
      <c r="X54" s="475">
        <f t="shared" ca="1" si="30"/>
        <v>4</v>
      </c>
      <c r="Y54" s="475">
        <f t="shared" ca="1" si="30"/>
        <v>4</v>
      </c>
      <c r="Z54" s="475">
        <f t="shared" ca="1" si="30"/>
        <v>4</v>
      </c>
      <c r="AA54" s="475">
        <f t="shared" si="30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1">AVERAGE(H51,H54)</f>
        <v>1</v>
      </c>
      <c r="I56" s="502">
        <f t="shared" ca="1" si="31"/>
        <v>1</v>
      </c>
      <c r="J56" s="502">
        <f t="shared" ca="1" si="31"/>
        <v>1.5</v>
      </c>
      <c r="K56" s="502">
        <f t="shared" ca="1" si="31"/>
        <v>2</v>
      </c>
      <c r="L56" s="502">
        <f t="shared" ca="1" si="31"/>
        <v>2</v>
      </c>
      <c r="M56" s="502">
        <f t="shared" ca="1" si="31"/>
        <v>2</v>
      </c>
      <c r="N56" s="502">
        <f t="shared" ca="1" si="31"/>
        <v>2</v>
      </c>
      <c r="O56" s="502">
        <f t="shared" ca="1" si="31"/>
        <v>2</v>
      </c>
      <c r="P56" s="502">
        <f t="shared" ca="1" si="31"/>
        <v>2.5</v>
      </c>
      <c r="Q56" s="505">
        <f t="shared" ca="1" si="31"/>
        <v>3</v>
      </c>
      <c r="R56" s="502">
        <f t="shared" ca="1" si="31"/>
        <v>3</v>
      </c>
      <c r="S56" s="502">
        <f t="shared" ca="1" si="31"/>
        <v>2.5</v>
      </c>
      <c r="T56" s="502">
        <f t="shared" ca="1" si="31"/>
        <v>2</v>
      </c>
      <c r="U56" s="502">
        <f t="shared" ca="1" si="31"/>
        <v>3</v>
      </c>
      <c r="V56" s="502">
        <f t="shared" ca="1" si="31"/>
        <v>4</v>
      </c>
      <c r="W56" s="502">
        <f t="shared" ca="1" si="31"/>
        <v>4</v>
      </c>
      <c r="X56" s="502">
        <f t="shared" ca="1" si="31"/>
        <v>4</v>
      </c>
      <c r="Y56" s="502">
        <f t="shared" ca="1" si="31"/>
        <v>4</v>
      </c>
      <c r="Z56" s="502">
        <f t="shared" ca="1" si="31"/>
        <v>4</v>
      </c>
      <c r="AA56" s="502">
        <f t="shared" ca="1" si="31"/>
        <v>4</v>
      </c>
      <c r="AB56" s="503">
        <f t="shared" si="31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2">H49/H56</f>
        <v>146</v>
      </c>
      <c r="I57" s="506">
        <f t="shared" ca="1" si="32"/>
        <v>147.5</v>
      </c>
      <c r="J57" s="506">
        <f t="shared" ca="1" si="32"/>
        <v>100.66666666666667</v>
      </c>
      <c r="K57" s="506">
        <f t="shared" ca="1" si="32"/>
        <v>78.25</v>
      </c>
      <c r="L57" s="506">
        <f t="shared" ca="1" si="32"/>
        <v>81</v>
      </c>
      <c r="M57" s="506">
        <f t="shared" ca="1" si="32"/>
        <v>82.5</v>
      </c>
      <c r="N57" s="506">
        <f t="shared" ca="1" si="32"/>
        <v>83.5</v>
      </c>
      <c r="O57" s="506">
        <f t="shared" ca="1" si="32"/>
        <v>86</v>
      </c>
      <c r="P57" s="506">
        <f t="shared" ca="1" si="32"/>
        <v>70.400000000000006</v>
      </c>
      <c r="Q57" s="509">
        <f t="shared" ca="1" si="32"/>
        <v>59.833333333333336</v>
      </c>
      <c r="R57" s="506">
        <f t="shared" ca="1" si="32"/>
        <v>60.5</v>
      </c>
      <c r="S57" s="506">
        <f t="shared" ca="1" si="32"/>
        <v>72.2</v>
      </c>
      <c r="T57" s="506">
        <f t="shared" ca="1" si="32"/>
        <v>91.5</v>
      </c>
      <c r="U57" s="506">
        <f t="shared" ca="1" si="32"/>
        <v>63.166666666666664</v>
      </c>
      <c r="V57" s="506">
        <f t="shared" ca="1" si="32"/>
        <v>48.125</v>
      </c>
      <c r="W57" s="506">
        <f t="shared" ca="1" si="32"/>
        <v>48.75</v>
      </c>
      <c r="X57" s="506">
        <f t="shared" ca="1" si="32"/>
        <v>48.375</v>
      </c>
      <c r="Y57" s="506">
        <f t="shared" ca="1" si="32"/>
        <v>47.25</v>
      </c>
      <c r="Z57" s="506">
        <f t="shared" ca="1" si="32"/>
        <v>45.375</v>
      </c>
      <c r="AA57" s="506">
        <f t="shared" ca="1" si="32"/>
        <v>43.625</v>
      </c>
      <c r="AB57" s="507">
        <f t="shared" si="32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3">(H52+H51)/H51-1</f>
        <v>0</v>
      </c>
      <c r="I59" s="488">
        <f t="shared" ca="1" si="33"/>
        <v>0</v>
      </c>
      <c r="J59" s="488">
        <f t="shared" ca="1" si="33"/>
        <v>1</v>
      </c>
      <c r="K59" s="488">
        <f t="shared" ca="1" si="33"/>
        <v>0</v>
      </c>
      <c r="L59" s="488">
        <f t="shared" ca="1" si="33"/>
        <v>0</v>
      </c>
      <c r="M59" s="488">
        <f t="shared" ca="1" si="33"/>
        <v>0</v>
      </c>
      <c r="N59" s="488">
        <f t="shared" ca="1" si="33"/>
        <v>0</v>
      </c>
      <c r="O59" s="488">
        <f t="shared" ca="1" si="33"/>
        <v>0</v>
      </c>
      <c r="P59" s="488">
        <f t="shared" ca="1" si="33"/>
        <v>0.5</v>
      </c>
      <c r="Q59" s="492">
        <f t="shared" ca="1" si="33"/>
        <v>0</v>
      </c>
      <c r="R59" s="488">
        <f t="shared" ca="1" si="33"/>
        <v>0</v>
      </c>
      <c r="S59" s="488">
        <f t="shared" ca="1" si="33"/>
        <v>0</v>
      </c>
      <c r="T59" s="488">
        <f t="shared" ca="1" si="33"/>
        <v>0</v>
      </c>
      <c r="U59" s="488">
        <f t="shared" ca="1" si="33"/>
        <v>1</v>
      </c>
      <c r="V59" s="488">
        <f t="shared" ca="1" si="33"/>
        <v>0</v>
      </c>
      <c r="W59" s="488">
        <f t="shared" ca="1" si="33"/>
        <v>0</v>
      </c>
      <c r="X59" s="488">
        <f t="shared" ca="1" si="33"/>
        <v>0</v>
      </c>
      <c r="Y59" s="488">
        <f t="shared" ca="1" si="33"/>
        <v>0</v>
      </c>
      <c r="Z59" s="488">
        <f t="shared" ca="1" si="33"/>
        <v>0</v>
      </c>
      <c r="AA59" s="488">
        <f t="shared" ca="1" si="33"/>
        <v>0.25</v>
      </c>
      <c r="AB59" s="489">
        <f t="shared" si="33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4">(H53+H56)/H56-1</f>
        <v>0</v>
      </c>
      <c r="I60" s="494">
        <f t="shared" ca="1" si="34"/>
        <v>0</v>
      </c>
      <c r="J60" s="494">
        <f t="shared" ca="1" si="34"/>
        <v>0</v>
      </c>
      <c r="K60" s="494">
        <f t="shared" ca="1" si="34"/>
        <v>0</v>
      </c>
      <c r="L60" s="494">
        <f t="shared" ca="1" si="34"/>
        <v>0</v>
      </c>
      <c r="M60" s="494">
        <f t="shared" ca="1" si="34"/>
        <v>0</v>
      </c>
      <c r="N60" s="494">
        <f t="shared" ca="1" si="34"/>
        <v>0</v>
      </c>
      <c r="O60" s="494">
        <f t="shared" ca="1" si="34"/>
        <v>0</v>
      </c>
      <c r="P60" s="494">
        <f t="shared" ca="1" si="34"/>
        <v>0</v>
      </c>
      <c r="Q60" s="497">
        <f t="shared" ca="1" si="34"/>
        <v>0</v>
      </c>
      <c r="R60" s="494">
        <f t="shared" ca="1" si="34"/>
        <v>0</v>
      </c>
      <c r="S60" s="494">
        <f t="shared" ca="1" si="34"/>
        <v>-0.4</v>
      </c>
      <c r="T60" s="494">
        <f t="shared" ca="1" si="34"/>
        <v>0</v>
      </c>
      <c r="U60" s="494">
        <f t="shared" ca="1" si="34"/>
        <v>0</v>
      </c>
      <c r="V60" s="494">
        <f t="shared" ca="1" si="34"/>
        <v>0</v>
      </c>
      <c r="W60" s="494">
        <f t="shared" ca="1" si="34"/>
        <v>0</v>
      </c>
      <c r="X60" s="494">
        <f t="shared" ca="1" si="34"/>
        <v>0</v>
      </c>
      <c r="Y60" s="494">
        <f t="shared" ca="1" si="34"/>
        <v>0</v>
      </c>
      <c r="Z60" s="494">
        <f t="shared" ca="1" si="34"/>
        <v>0</v>
      </c>
      <c r="AA60" s="494">
        <f t="shared" ca="1" si="34"/>
        <v>-0.25</v>
      </c>
      <c r="AB60" s="495">
        <f t="shared" si="34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5">EOMONTH(H62,0)+1</f>
        <v>45689</v>
      </c>
      <c r="J62" s="465">
        <f t="shared" si="35"/>
        <v>45717</v>
      </c>
      <c r="K62" s="465">
        <f t="shared" si="35"/>
        <v>45748</v>
      </c>
      <c r="L62" s="465">
        <f t="shared" si="35"/>
        <v>45778</v>
      </c>
      <c r="M62" s="465">
        <f t="shared" si="35"/>
        <v>45809</v>
      </c>
      <c r="N62" s="465">
        <f t="shared" si="35"/>
        <v>45839</v>
      </c>
      <c r="O62" s="465">
        <v>45870</v>
      </c>
      <c r="P62" s="465">
        <f t="shared" ref="P62:AB62" si="36">EOMONTH(O62,0)+1</f>
        <v>45901</v>
      </c>
      <c r="Q62" s="465">
        <f t="shared" si="36"/>
        <v>45931</v>
      </c>
      <c r="R62" s="465">
        <f t="shared" si="36"/>
        <v>45962</v>
      </c>
      <c r="S62" s="465">
        <f t="shared" si="36"/>
        <v>45992</v>
      </c>
      <c r="T62" s="465">
        <f t="shared" si="36"/>
        <v>46023</v>
      </c>
      <c r="U62" s="465">
        <f t="shared" si="36"/>
        <v>46054</v>
      </c>
      <c r="V62" s="465">
        <f t="shared" si="36"/>
        <v>46082</v>
      </c>
      <c r="W62" s="465">
        <f t="shared" si="36"/>
        <v>46113</v>
      </c>
      <c r="X62" s="465">
        <f t="shared" si="36"/>
        <v>46143</v>
      </c>
      <c r="Y62" s="465">
        <f t="shared" si="36"/>
        <v>46174</v>
      </c>
      <c r="Z62" s="465">
        <f t="shared" si="36"/>
        <v>46204</v>
      </c>
      <c r="AA62" s="465">
        <f t="shared" si="36"/>
        <v>46235</v>
      </c>
      <c r="AB62" s="465">
        <f t="shared" si="36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7">+I$19</f>
        <v>147.5</v>
      </c>
      <c r="J64" s="510">
        <f t="shared" si="37"/>
        <v>151</v>
      </c>
      <c r="K64" s="510">
        <f t="shared" si="37"/>
        <v>156.5</v>
      </c>
      <c r="L64" s="510">
        <f t="shared" si="37"/>
        <v>162</v>
      </c>
      <c r="M64" s="510">
        <f t="shared" si="37"/>
        <v>165</v>
      </c>
      <c r="N64" s="510">
        <f t="shared" si="37"/>
        <v>167</v>
      </c>
      <c r="O64" s="510">
        <f t="shared" si="37"/>
        <v>172</v>
      </c>
      <c r="P64" s="510">
        <f t="shared" si="37"/>
        <v>176</v>
      </c>
      <c r="Q64" s="510">
        <f t="shared" si="37"/>
        <v>179.5</v>
      </c>
      <c r="R64" s="510">
        <f t="shared" si="37"/>
        <v>181.5</v>
      </c>
      <c r="S64" s="510">
        <f t="shared" si="37"/>
        <v>180.5</v>
      </c>
      <c r="T64" s="510">
        <f t="shared" si="37"/>
        <v>183</v>
      </c>
      <c r="U64" s="510">
        <f t="shared" si="37"/>
        <v>189.5</v>
      </c>
      <c r="V64" s="510">
        <f t="shared" si="37"/>
        <v>192.5</v>
      </c>
      <c r="W64" s="510">
        <f t="shared" si="37"/>
        <v>195</v>
      </c>
      <c r="X64" s="510">
        <f t="shared" si="37"/>
        <v>193.5</v>
      </c>
      <c r="Y64" s="510">
        <f t="shared" si="37"/>
        <v>189</v>
      </c>
      <c r="Z64" s="510">
        <f t="shared" si="37"/>
        <v>181.5</v>
      </c>
      <c r="AA64" s="510">
        <f t="shared" si="37"/>
        <v>174.5</v>
      </c>
      <c r="AB64" s="510">
        <f t="shared" si="37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8">+H69-H67-H68</f>
        <v>1</v>
      </c>
      <c r="I66" s="470">
        <f t="shared" ca="1" si="38"/>
        <v>2</v>
      </c>
      <c r="J66" s="470">
        <f t="shared" ca="1" si="38"/>
        <v>2</v>
      </c>
      <c r="K66" s="470">
        <f t="shared" ca="1" si="38"/>
        <v>2</v>
      </c>
      <c r="L66" s="470">
        <f t="shared" ca="1" si="38"/>
        <v>3</v>
      </c>
      <c r="M66" s="470">
        <f t="shared" ca="1" si="38"/>
        <v>3</v>
      </c>
      <c r="N66" s="470">
        <f t="shared" ca="1" si="38"/>
        <v>3</v>
      </c>
      <c r="O66" s="470">
        <f t="shared" ca="1" si="38"/>
        <v>3</v>
      </c>
      <c r="P66" s="470">
        <f t="shared" ca="1" si="38"/>
        <v>4</v>
      </c>
      <c r="Q66" s="470">
        <f t="shared" ca="1" si="38"/>
        <v>4</v>
      </c>
      <c r="R66" s="470">
        <f t="shared" ca="1" si="38"/>
        <v>5</v>
      </c>
      <c r="S66" s="470">
        <f t="shared" ca="1" si="38"/>
        <v>4</v>
      </c>
      <c r="T66" s="470">
        <f t="shared" ca="1" si="38"/>
        <v>5</v>
      </c>
      <c r="U66" s="470">
        <f t="shared" ca="1" si="38"/>
        <v>5</v>
      </c>
      <c r="V66" s="470">
        <f t="shared" ca="1" si="38"/>
        <v>6</v>
      </c>
      <c r="W66" s="470">
        <f t="shared" ca="1" si="38"/>
        <v>7</v>
      </c>
      <c r="X66" s="470">
        <f t="shared" ca="1" si="38"/>
        <v>6</v>
      </c>
      <c r="Y66" s="470">
        <f t="shared" ca="1" si="38"/>
        <v>5</v>
      </c>
      <c r="Z66" s="470">
        <f t="shared" ca="1" si="38"/>
        <v>5</v>
      </c>
      <c r="AA66" s="470">
        <f t="shared" si="38"/>
        <v>4</v>
      </c>
      <c r="AB66" s="470">
        <f t="shared" si="38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39">+I66</f>
        <v>2</v>
      </c>
      <c r="I69" s="475">
        <f t="shared" ca="1" si="39"/>
        <v>2</v>
      </c>
      <c r="J69" s="475">
        <f t="shared" ca="1" si="39"/>
        <v>2</v>
      </c>
      <c r="K69" s="475">
        <f t="shared" ca="1" si="39"/>
        <v>3</v>
      </c>
      <c r="L69" s="475">
        <f t="shared" ca="1" si="39"/>
        <v>3</v>
      </c>
      <c r="M69" s="475">
        <f t="shared" ca="1" si="39"/>
        <v>3</v>
      </c>
      <c r="N69" s="475">
        <f t="shared" ca="1" si="39"/>
        <v>3</v>
      </c>
      <c r="O69" s="475">
        <f t="shared" ca="1" si="39"/>
        <v>4</v>
      </c>
      <c r="P69" s="475">
        <f t="shared" ca="1" si="39"/>
        <v>4</v>
      </c>
      <c r="Q69" s="478">
        <f t="shared" ca="1" si="39"/>
        <v>5</v>
      </c>
      <c r="R69" s="475">
        <f t="shared" ca="1" si="39"/>
        <v>4</v>
      </c>
      <c r="S69" s="475">
        <f t="shared" ca="1" si="39"/>
        <v>5</v>
      </c>
      <c r="T69" s="475">
        <f t="shared" ca="1" si="39"/>
        <v>5</v>
      </c>
      <c r="U69" s="475">
        <f t="shared" ca="1" si="39"/>
        <v>6</v>
      </c>
      <c r="V69" s="475">
        <f t="shared" ca="1" si="39"/>
        <v>7</v>
      </c>
      <c r="W69" s="475">
        <f t="shared" ca="1" si="39"/>
        <v>6</v>
      </c>
      <c r="X69" s="475">
        <f t="shared" ca="1" si="39"/>
        <v>5</v>
      </c>
      <c r="Y69" s="475">
        <f t="shared" ca="1" si="39"/>
        <v>5</v>
      </c>
      <c r="Z69" s="475">
        <f t="shared" si="39"/>
        <v>4</v>
      </c>
      <c r="AA69" s="475">
        <f t="shared" si="39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0">AVERAGE(H66,H69)</f>
        <v>1.5</v>
      </c>
      <c r="I71" s="502">
        <f t="shared" ca="1" si="40"/>
        <v>2</v>
      </c>
      <c r="J71" s="502">
        <f t="shared" ca="1" si="40"/>
        <v>2</v>
      </c>
      <c r="K71" s="502">
        <f t="shared" ca="1" si="40"/>
        <v>2.5</v>
      </c>
      <c r="L71" s="502">
        <f t="shared" ca="1" si="40"/>
        <v>3</v>
      </c>
      <c r="M71" s="502">
        <f t="shared" ca="1" si="40"/>
        <v>3</v>
      </c>
      <c r="N71" s="502">
        <f t="shared" ca="1" si="40"/>
        <v>3</v>
      </c>
      <c r="O71" s="502">
        <f t="shared" ca="1" si="40"/>
        <v>3.5</v>
      </c>
      <c r="P71" s="502">
        <f t="shared" ca="1" si="40"/>
        <v>4</v>
      </c>
      <c r="Q71" s="505">
        <f t="shared" ca="1" si="40"/>
        <v>4.5</v>
      </c>
      <c r="R71" s="502">
        <f t="shared" ca="1" si="40"/>
        <v>4.5</v>
      </c>
      <c r="S71" s="502">
        <f t="shared" ca="1" si="40"/>
        <v>4.5</v>
      </c>
      <c r="T71" s="502">
        <f t="shared" ca="1" si="40"/>
        <v>5</v>
      </c>
      <c r="U71" s="502">
        <f t="shared" ca="1" si="40"/>
        <v>5.5</v>
      </c>
      <c r="V71" s="502">
        <f t="shared" ca="1" si="40"/>
        <v>6.5</v>
      </c>
      <c r="W71" s="502">
        <f t="shared" ca="1" si="40"/>
        <v>6.5</v>
      </c>
      <c r="X71" s="502">
        <f t="shared" ca="1" si="40"/>
        <v>5.5</v>
      </c>
      <c r="Y71" s="502">
        <f t="shared" ca="1" si="40"/>
        <v>5</v>
      </c>
      <c r="Z71" s="502">
        <f t="shared" ca="1" si="40"/>
        <v>4.5</v>
      </c>
      <c r="AA71" s="502">
        <f t="shared" si="40"/>
        <v>4</v>
      </c>
      <c r="AB71" s="503">
        <f t="shared" si="40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1">H64/H71</f>
        <v>97.333333333333329</v>
      </c>
      <c r="I72" s="506">
        <f t="shared" ca="1" si="41"/>
        <v>73.75</v>
      </c>
      <c r="J72" s="506">
        <f t="shared" ca="1" si="41"/>
        <v>75.5</v>
      </c>
      <c r="K72" s="506">
        <f t="shared" ca="1" si="41"/>
        <v>62.6</v>
      </c>
      <c r="L72" s="506">
        <f t="shared" ca="1" si="41"/>
        <v>54</v>
      </c>
      <c r="M72" s="506">
        <f t="shared" ca="1" si="41"/>
        <v>55</v>
      </c>
      <c r="N72" s="506">
        <f t="shared" ca="1" si="41"/>
        <v>55.666666666666664</v>
      </c>
      <c r="O72" s="506">
        <f t="shared" ca="1" si="41"/>
        <v>49.142857142857146</v>
      </c>
      <c r="P72" s="506">
        <f t="shared" ca="1" si="41"/>
        <v>44</v>
      </c>
      <c r="Q72" s="509">
        <f t="shared" ca="1" si="41"/>
        <v>39.888888888888886</v>
      </c>
      <c r="R72" s="506">
        <f t="shared" ca="1" si="41"/>
        <v>40.333333333333336</v>
      </c>
      <c r="S72" s="506">
        <f t="shared" ca="1" si="41"/>
        <v>40.111111111111114</v>
      </c>
      <c r="T72" s="506">
        <f t="shared" ca="1" si="41"/>
        <v>36.6</v>
      </c>
      <c r="U72" s="506">
        <f t="shared" ca="1" si="41"/>
        <v>34.454545454545453</v>
      </c>
      <c r="V72" s="506">
        <f t="shared" ca="1" si="41"/>
        <v>29.615384615384617</v>
      </c>
      <c r="W72" s="506">
        <f t="shared" ca="1" si="41"/>
        <v>30</v>
      </c>
      <c r="X72" s="506">
        <f t="shared" ca="1" si="41"/>
        <v>35.18181818181818</v>
      </c>
      <c r="Y72" s="506">
        <f t="shared" ca="1" si="41"/>
        <v>37.799999999999997</v>
      </c>
      <c r="Z72" s="506">
        <f t="shared" ca="1" si="41"/>
        <v>40.333333333333336</v>
      </c>
      <c r="AA72" s="506">
        <f t="shared" si="41"/>
        <v>43.625</v>
      </c>
      <c r="AB72" s="507">
        <f t="shared" si="41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2">(H67+H66)/H66-1</f>
        <v>1</v>
      </c>
      <c r="I74" s="488">
        <f t="shared" ca="1" si="42"/>
        <v>0</v>
      </c>
      <c r="J74" s="488">
        <f t="shared" ca="1" si="42"/>
        <v>0</v>
      </c>
      <c r="K74" s="488">
        <f t="shared" ca="1" si="42"/>
        <v>0.5</v>
      </c>
      <c r="L74" s="488">
        <f t="shared" ca="1" si="42"/>
        <v>0</v>
      </c>
      <c r="M74" s="488">
        <f t="shared" ca="1" si="42"/>
        <v>0</v>
      </c>
      <c r="N74" s="488">
        <f t="shared" ca="1" si="42"/>
        <v>0</v>
      </c>
      <c r="O74" s="488">
        <f t="shared" ca="1" si="42"/>
        <v>0.33333333333333326</v>
      </c>
      <c r="P74" s="488">
        <f t="shared" ca="1" si="42"/>
        <v>0</v>
      </c>
      <c r="Q74" s="492">
        <f t="shared" ca="1" si="42"/>
        <v>0.25</v>
      </c>
      <c r="R74" s="488">
        <f t="shared" ca="1" si="42"/>
        <v>0</v>
      </c>
      <c r="S74" s="488">
        <f t="shared" ca="1" si="42"/>
        <v>0.25</v>
      </c>
      <c r="T74" s="488">
        <f t="shared" ca="1" si="42"/>
        <v>0</v>
      </c>
      <c r="U74" s="488">
        <f t="shared" ca="1" si="42"/>
        <v>0.19999999999999996</v>
      </c>
      <c r="V74" s="488">
        <f t="shared" ca="1" si="42"/>
        <v>0.16666666666666674</v>
      </c>
      <c r="W74" s="488">
        <f t="shared" ca="1" si="42"/>
        <v>0</v>
      </c>
      <c r="X74" s="488">
        <f t="shared" ca="1" si="42"/>
        <v>0</v>
      </c>
      <c r="Y74" s="488">
        <f t="shared" ca="1" si="42"/>
        <v>0</v>
      </c>
      <c r="Z74" s="488">
        <f t="shared" ca="1" si="42"/>
        <v>0</v>
      </c>
      <c r="AA74" s="488">
        <f t="shared" si="42"/>
        <v>0</v>
      </c>
      <c r="AB74" s="489">
        <f t="shared" si="42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3">(H68+H71)/H71-1</f>
        <v>0</v>
      </c>
      <c r="I75" s="494">
        <f t="shared" ca="1" si="43"/>
        <v>0</v>
      </c>
      <c r="J75" s="494">
        <f t="shared" ca="1" si="43"/>
        <v>0</v>
      </c>
      <c r="K75" s="494">
        <f t="shared" ca="1" si="43"/>
        <v>0</v>
      </c>
      <c r="L75" s="494">
        <f t="shared" ca="1" si="43"/>
        <v>0</v>
      </c>
      <c r="M75" s="494">
        <f t="shared" ca="1" si="43"/>
        <v>0</v>
      </c>
      <c r="N75" s="494">
        <f t="shared" ca="1" si="43"/>
        <v>0</v>
      </c>
      <c r="O75" s="494">
        <f t="shared" ca="1" si="43"/>
        <v>0</v>
      </c>
      <c r="P75" s="494">
        <f t="shared" ca="1" si="43"/>
        <v>0</v>
      </c>
      <c r="Q75" s="497">
        <f t="shared" ca="1" si="43"/>
        <v>0</v>
      </c>
      <c r="R75" s="494">
        <f t="shared" ca="1" si="43"/>
        <v>-0.22222222222222221</v>
      </c>
      <c r="S75" s="494">
        <f t="shared" ca="1" si="43"/>
        <v>0</v>
      </c>
      <c r="T75" s="494">
        <f t="shared" ca="1" si="43"/>
        <v>0</v>
      </c>
      <c r="U75" s="494">
        <f t="shared" ca="1" si="43"/>
        <v>0</v>
      </c>
      <c r="V75" s="494">
        <f t="shared" ca="1" si="43"/>
        <v>0</v>
      </c>
      <c r="W75" s="494">
        <f t="shared" ca="1" si="43"/>
        <v>-0.15384615384615385</v>
      </c>
      <c r="X75" s="494">
        <f t="shared" ca="1" si="43"/>
        <v>-0.18181818181818177</v>
      </c>
      <c r="Y75" s="494">
        <f t="shared" ca="1" si="43"/>
        <v>0</v>
      </c>
      <c r="Z75" s="494">
        <f t="shared" ca="1" si="43"/>
        <v>-0.22222222222222221</v>
      </c>
      <c r="AA75" s="494">
        <f t="shared" si="43"/>
        <v>0</v>
      </c>
      <c r="AB75" s="495">
        <f t="shared" si="43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4">EOMONTH(H77,0)+1</f>
        <v>45689</v>
      </c>
      <c r="J77" s="465">
        <f t="shared" si="44"/>
        <v>45717</v>
      </c>
      <c r="K77" s="465">
        <f t="shared" si="44"/>
        <v>45748</v>
      </c>
      <c r="L77" s="465">
        <f t="shared" si="44"/>
        <v>45778</v>
      </c>
      <c r="M77" s="465">
        <f t="shared" si="44"/>
        <v>45809</v>
      </c>
      <c r="N77" s="465">
        <f t="shared" si="44"/>
        <v>45839</v>
      </c>
      <c r="O77" s="465">
        <v>45870</v>
      </c>
      <c r="P77" s="465">
        <f t="shared" ref="P77:AB77" si="45">EOMONTH(O77,0)+1</f>
        <v>45901</v>
      </c>
      <c r="Q77" s="465">
        <f t="shared" si="45"/>
        <v>45931</v>
      </c>
      <c r="R77" s="465">
        <f t="shared" si="45"/>
        <v>45962</v>
      </c>
      <c r="S77" s="465">
        <f t="shared" si="45"/>
        <v>45992</v>
      </c>
      <c r="T77" s="465">
        <f t="shared" si="45"/>
        <v>46023</v>
      </c>
      <c r="U77" s="465">
        <f t="shared" si="45"/>
        <v>46054</v>
      </c>
      <c r="V77" s="465">
        <f t="shared" si="45"/>
        <v>46082</v>
      </c>
      <c r="W77" s="465">
        <f t="shared" si="45"/>
        <v>46113</v>
      </c>
      <c r="X77" s="465">
        <f t="shared" si="45"/>
        <v>46143</v>
      </c>
      <c r="Y77" s="465">
        <f t="shared" si="45"/>
        <v>46174</v>
      </c>
      <c r="Z77" s="465">
        <f t="shared" si="45"/>
        <v>46204</v>
      </c>
      <c r="AA77" s="465">
        <f t="shared" si="45"/>
        <v>46235</v>
      </c>
      <c r="AB77" s="465">
        <f t="shared" si="45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6">+I$19</f>
        <v>147.5</v>
      </c>
      <c r="J79" s="510">
        <f t="shared" si="46"/>
        <v>151</v>
      </c>
      <c r="K79" s="510">
        <f t="shared" si="46"/>
        <v>156.5</v>
      </c>
      <c r="L79" s="510">
        <f t="shared" si="46"/>
        <v>162</v>
      </c>
      <c r="M79" s="510">
        <f t="shared" si="46"/>
        <v>165</v>
      </c>
      <c r="N79" s="510">
        <f t="shared" si="46"/>
        <v>167</v>
      </c>
      <c r="O79" s="510">
        <f t="shared" si="46"/>
        <v>172</v>
      </c>
      <c r="P79" s="510">
        <f t="shared" si="46"/>
        <v>176</v>
      </c>
      <c r="Q79" s="510">
        <f t="shared" si="46"/>
        <v>179.5</v>
      </c>
      <c r="R79" s="510">
        <f t="shared" si="46"/>
        <v>181.5</v>
      </c>
      <c r="S79" s="510">
        <f t="shared" si="46"/>
        <v>180.5</v>
      </c>
      <c r="T79" s="510">
        <f t="shared" si="46"/>
        <v>183</v>
      </c>
      <c r="U79" s="510">
        <f t="shared" si="46"/>
        <v>189.5</v>
      </c>
      <c r="V79" s="510">
        <f t="shared" si="46"/>
        <v>192.5</v>
      </c>
      <c r="W79" s="510">
        <f t="shared" si="46"/>
        <v>195</v>
      </c>
      <c r="X79" s="510">
        <f t="shared" si="46"/>
        <v>193.5</v>
      </c>
      <c r="Y79" s="510">
        <f t="shared" si="46"/>
        <v>189</v>
      </c>
      <c r="Z79" s="510">
        <f t="shared" si="46"/>
        <v>181.5</v>
      </c>
      <c r="AA79" s="510">
        <f t="shared" si="46"/>
        <v>174.5</v>
      </c>
      <c r="AB79" s="510">
        <f t="shared" si="46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7">+H84-H82-H83</f>
        <v>4</v>
      </c>
      <c r="I81" s="470">
        <f t="shared" ca="1" si="47"/>
        <v>3</v>
      </c>
      <c r="J81" s="470">
        <f t="shared" ca="1" si="47"/>
        <v>3</v>
      </c>
      <c r="K81" s="470">
        <f t="shared" ca="1" si="47"/>
        <v>3</v>
      </c>
      <c r="L81" s="470">
        <f t="shared" ca="1" si="47"/>
        <v>3</v>
      </c>
      <c r="M81" s="470">
        <f t="shared" ca="1" si="47"/>
        <v>3</v>
      </c>
      <c r="N81" s="470">
        <f t="shared" ca="1" si="47"/>
        <v>3</v>
      </c>
      <c r="O81" s="470">
        <f t="shared" ca="1" si="47"/>
        <v>3</v>
      </c>
      <c r="P81" s="470">
        <f t="shared" ca="1" si="47"/>
        <v>3</v>
      </c>
      <c r="Q81" s="470">
        <f t="shared" ca="1" si="47"/>
        <v>3</v>
      </c>
      <c r="R81" s="470">
        <f t="shared" ca="1" si="47"/>
        <v>3</v>
      </c>
      <c r="S81" s="470">
        <f t="shared" ca="1" si="47"/>
        <v>3</v>
      </c>
      <c r="T81" s="470">
        <f t="shared" ca="1" si="47"/>
        <v>4</v>
      </c>
      <c r="U81" s="470">
        <f t="shared" ca="1" si="47"/>
        <v>4</v>
      </c>
      <c r="V81" s="470">
        <f t="shared" ca="1" si="47"/>
        <v>4</v>
      </c>
      <c r="W81" s="470">
        <f t="shared" ca="1" si="47"/>
        <v>4</v>
      </c>
      <c r="X81" s="470">
        <f t="shared" ca="1" si="47"/>
        <v>4</v>
      </c>
      <c r="Y81" s="470">
        <f t="shared" ca="1" si="47"/>
        <v>3</v>
      </c>
      <c r="Z81" s="470">
        <f t="shared" ca="1" si="47"/>
        <v>3</v>
      </c>
      <c r="AA81" s="470">
        <f t="shared" si="47"/>
        <v>4</v>
      </c>
      <c r="AB81" s="470">
        <f t="shared" si="47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8">+I81</f>
        <v>3</v>
      </c>
      <c r="I84" s="475">
        <f t="shared" ca="1" si="48"/>
        <v>3</v>
      </c>
      <c r="J84" s="475">
        <f t="shared" ca="1" si="48"/>
        <v>3</v>
      </c>
      <c r="K84" s="475">
        <f t="shared" ca="1" si="48"/>
        <v>3</v>
      </c>
      <c r="L84" s="475">
        <f t="shared" ca="1" si="48"/>
        <v>3</v>
      </c>
      <c r="M84" s="475">
        <f t="shared" ca="1" si="48"/>
        <v>3</v>
      </c>
      <c r="N84" s="475">
        <f t="shared" ca="1" si="48"/>
        <v>3</v>
      </c>
      <c r="O84" s="475">
        <f t="shared" ca="1" si="48"/>
        <v>3</v>
      </c>
      <c r="P84" s="475">
        <f t="shared" ca="1" si="48"/>
        <v>3</v>
      </c>
      <c r="Q84" s="511">
        <f t="shared" ca="1" si="48"/>
        <v>3</v>
      </c>
      <c r="R84" s="512">
        <f t="shared" ca="1" si="48"/>
        <v>3</v>
      </c>
      <c r="S84" s="512">
        <f t="shared" ca="1" si="48"/>
        <v>4</v>
      </c>
      <c r="T84" s="512">
        <f t="shared" ca="1" si="48"/>
        <v>4</v>
      </c>
      <c r="U84" s="512">
        <f t="shared" ca="1" si="48"/>
        <v>4</v>
      </c>
      <c r="V84" s="512">
        <f t="shared" ca="1" si="48"/>
        <v>4</v>
      </c>
      <c r="W84" s="512">
        <f t="shared" ca="1" si="48"/>
        <v>4</v>
      </c>
      <c r="X84" s="512">
        <f t="shared" ca="1" si="48"/>
        <v>3</v>
      </c>
      <c r="Y84" s="512">
        <f t="shared" ca="1" si="48"/>
        <v>3</v>
      </c>
      <c r="Z84" s="512">
        <f t="shared" si="48"/>
        <v>4</v>
      </c>
      <c r="AA84" s="512">
        <f t="shared" si="48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49">AVERAGE(H81,H84)</f>
        <v>3.5</v>
      </c>
      <c r="I86" s="502">
        <f t="shared" ca="1" si="49"/>
        <v>3</v>
      </c>
      <c r="J86" s="502">
        <f t="shared" ca="1" si="49"/>
        <v>3</v>
      </c>
      <c r="K86" s="502">
        <f t="shared" ca="1" si="49"/>
        <v>3</v>
      </c>
      <c r="L86" s="502">
        <f t="shared" ca="1" si="49"/>
        <v>3</v>
      </c>
      <c r="M86" s="502">
        <f t="shared" ca="1" si="49"/>
        <v>3</v>
      </c>
      <c r="N86" s="502">
        <f t="shared" ca="1" si="49"/>
        <v>3</v>
      </c>
      <c r="O86" s="502">
        <f t="shared" ca="1" si="49"/>
        <v>3</v>
      </c>
      <c r="P86" s="502">
        <f t="shared" ca="1" si="49"/>
        <v>3</v>
      </c>
      <c r="Q86" s="505">
        <f t="shared" ca="1" si="49"/>
        <v>3</v>
      </c>
      <c r="R86" s="502">
        <f t="shared" ca="1" si="49"/>
        <v>3</v>
      </c>
      <c r="S86" s="502">
        <f t="shared" ca="1" si="49"/>
        <v>3.5</v>
      </c>
      <c r="T86" s="502">
        <f t="shared" ca="1" si="49"/>
        <v>4</v>
      </c>
      <c r="U86" s="502">
        <f t="shared" ca="1" si="49"/>
        <v>4</v>
      </c>
      <c r="V86" s="502">
        <f t="shared" ca="1" si="49"/>
        <v>4</v>
      </c>
      <c r="W86" s="502">
        <f t="shared" ca="1" si="49"/>
        <v>4</v>
      </c>
      <c r="X86" s="502">
        <f t="shared" ca="1" si="49"/>
        <v>3.5</v>
      </c>
      <c r="Y86" s="502">
        <f t="shared" ca="1" si="49"/>
        <v>3</v>
      </c>
      <c r="Z86" s="502">
        <f t="shared" ca="1" si="49"/>
        <v>3.5</v>
      </c>
      <c r="AA86" s="502">
        <f t="shared" si="49"/>
        <v>4</v>
      </c>
      <c r="AB86" s="503">
        <f t="shared" si="49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0">H79/H86</f>
        <v>41.714285714285715</v>
      </c>
      <c r="I87" s="506">
        <f t="shared" ca="1" si="50"/>
        <v>49.166666666666664</v>
      </c>
      <c r="J87" s="506">
        <f t="shared" ca="1" si="50"/>
        <v>50.333333333333336</v>
      </c>
      <c r="K87" s="506">
        <f t="shared" ca="1" si="50"/>
        <v>52.166666666666664</v>
      </c>
      <c r="L87" s="506">
        <f t="shared" ca="1" si="50"/>
        <v>54</v>
      </c>
      <c r="M87" s="506">
        <f t="shared" ca="1" si="50"/>
        <v>55</v>
      </c>
      <c r="N87" s="506">
        <f t="shared" ca="1" si="50"/>
        <v>55.666666666666664</v>
      </c>
      <c r="O87" s="506">
        <f t="shared" ca="1" si="50"/>
        <v>57.333333333333336</v>
      </c>
      <c r="P87" s="506">
        <f t="shared" ca="1" si="50"/>
        <v>58.666666666666664</v>
      </c>
      <c r="Q87" s="509">
        <f t="shared" ca="1" si="50"/>
        <v>59.833333333333336</v>
      </c>
      <c r="R87" s="506">
        <f t="shared" ca="1" si="50"/>
        <v>60.5</v>
      </c>
      <c r="S87" s="506">
        <f t="shared" ca="1" si="50"/>
        <v>51.571428571428569</v>
      </c>
      <c r="T87" s="506">
        <f t="shared" ca="1" si="50"/>
        <v>45.75</v>
      </c>
      <c r="U87" s="506">
        <f t="shared" ca="1" si="50"/>
        <v>47.375</v>
      </c>
      <c r="V87" s="506">
        <f t="shared" ca="1" si="50"/>
        <v>48.125</v>
      </c>
      <c r="W87" s="506">
        <f t="shared" ca="1" si="50"/>
        <v>48.75</v>
      </c>
      <c r="X87" s="506">
        <f t="shared" ca="1" si="50"/>
        <v>55.285714285714285</v>
      </c>
      <c r="Y87" s="506">
        <f t="shared" ca="1" si="50"/>
        <v>63</v>
      </c>
      <c r="Z87" s="506">
        <f t="shared" ca="1" si="50"/>
        <v>51.857142857142854</v>
      </c>
      <c r="AA87" s="506">
        <f t="shared" si="50"/>
        <v>43.625</v>
      </c>
      <c r="AB87" s="507">
        <f t="shared" si="50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1">(H82+H81)/H81-1</f>
        <v>0</v>
      </c>
      <c r="I89" s="488">
        <f t="shared" ca="1" si="51"/>
        <v>0</v>
      </c>
      <c r="J89" s="488">
        <f t="shared" ca="1" si="51"/>
        <v>0</v>
      </c>
      <c r="K89" s="488">
        <f t="shared" ca="1" si="51"/>
        <v>0</v>
      </c>
      <c r="L89" s="488">
        <f t="shared" ca="1" si="51"/>
        <v>0</v>
      </c>
      <c r="M89" s="488">
        <f t="shared" ca="1" si="51"/>
        <v>0</v>
      </c>
      <c r="N89" s="488">
        <f t="shared" ca="1" si="51"/>
        <v>0</v>
      </c>
      <c r="O89" s="488">
        <f t="shared" ca="1" si="51"/>
        <v>0</v>
      </c>
      <c r="P89" s="488">
        <f t="shared" ca="1" si="51"/>
        <v>0</v>
      </c>
      <c r="Q89" s="492">
        <f t="shared" ca="1" si="51"/>
        <v>0</v>
      </c>
      <c r="R89" s="488">
        <f t="shared" ca="1" si="51"/>
        <v>0</v>
      </c>
      <c r="S89" s="488">
        <f t="shared" ca="1" si="51"/>
        <v>0.33333333333333326</v>
      </c>
      <c r="T89" s="488">
        <f t="shared" ca="1" si="51"/>
        <v>0</v>
      </c>
      <c r="U89" s="488">
        <f t="shared" ca="1" si="51"/>
        <v>0</v>
      </c>
      <c r="V89" s="488">
        <f t="shared" ca="1" si="51"/>
        <v>0</v>
      </c>
      <c r="W89" s="488">
        <f t="shared" ca="1" si="51"/>
        <v>0</v>
      </c>
      <c r="X89" s="488">
        <f t="shared" ca="1" si="51"/>
        <v>0</v>
      </c>
      <c r="Y89" s="488">
        <f t="shared" ca="1" si="51"/>
        <v>0</v>
      </c>
      <c r="Z89" s="488">
        <f t="shared" ca="1" si="51"/>
        <v>0.33333333333333326</v>
      </c>
      <c r="AA89" s="488">
        <f t="shared" si="51"/>
        <v>0</v>
      </c>
      <c r="AB89" s="489">
        <f t="shared" si="51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2">(H83+H86)/H86-1</f>
        <v>-0.2857142857142857</v>
      </c>
      <c r="I90" s="494">
        <f t="shared" ca="1" si="52"/>
        <v>0</v>
      </c>
      <c r="J90" s="494">
        <f t="shared" ca="1" si="52"/>
        <v>0</v>
      </c>
      <c r="K90" s="494">
        <f t="shared" ca="1" si="52"/>
        <v>0</v>
      </c>
      <c r="L90" s="494">
        <f t="shared" ca="1" si="52"/>
        <v>0</v>
      </c>
      <c r="M90" s="494">
        <f t="shared" ca="1" si="52"/>
        <v>0</v>
      </c>
      <c r="N90" s="494">
        <f t="shared" ca="1" si="52"/>
        <v>0</v>
      </c>
      <c r="O90" s="494">
        <f t="shared" ca="1" si="52"/>
        <v>0</v>
      </c>
      <c r="P90" s="494">
        <f t="shared" ca="1" si="52"/>
        <v>0</v>
      </c>
      <c r="Q90" s="497">
        <f t="shared" ca="1" si="52"/>
        <v>0</v>
      </c>
      <c r="R90" s="494">
        <f t="shared" ca="1" si="52"/>
        <v>0</v>
      </c>
      <c r="S90" s="494">
        <f t="shared" ca="1" si="52"/>
        <v>0</v>
      </c>
      <c r="T90" s="494">
        <f t="shared" ca="1" si="52"/>
        <v>0</v>
      </c>
      <c r="U90" s="494">
        <f t="shared" ca="1" si="52"/>
        <v>0</v>
      </c>
      <c r="V90" s="494">
        <f t="shared" ca="1" si="52"/>
        <v>0</v>
      </c>
      <c r="W90" s="494">
        <f t="shared" ca="1" si="52"/>
        <v>0</v>
      </c>
      <c r="X90" s="494">
        <f t="shared" ca="1" si="52"/>
        <v>-0.2857142857142857</v>
      </c>
      <c r="Y90" s="494">
        <f t="shared" ca="1" si="52"/>
        <v>0</v>
      </c>
      <c r="Z90" s="494">
        <f t="shared" ca="1" si="52"/>
        <v>0</v>
      </c>
      <c r="AA90" s="494">
        <f t="shared" si="52"/>
        <v>0</v>
      </c>
      <c r="AB90" s="495">
        <f t="shared" si="52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3">EOMONTH(H92,0)+1</f>
        <v>45689</v>
      </c>
      <c r="J92" s="465">
        <f t="shared" si="53"/>
        <v>45717</v>
      </c>
      <c r="K92" s="465">
        <f t="shared" si="53"/>
        <v>45748</v>
      </c>
      <c r="L92" s="465">
        <f t="shared" si="53"/>
        <v>45778</v>
      </c>
      <c r="M92" s="465">
        <f t="shared" si="53"/>
        <v>45809</v>
      </c>
      <c r="N92" s="465">
        <f t="shared" si="53"/>
        <v>45839</v>
      </c>
      <c r="O92" s="465">
        <v>45870</v>
      </c>
      <c r="P92" s="465">
        <f t="shared" ref="P92:AB92" si="54">EOMONTH(O92,0)+1</f>
        <v>45901</v>
      </c>
      <c r="Q92" s="465">
        <f t="shared" si="54"/>
        <v>45931</v>
      </c>
      <c r="R92" s="465">
        <f t="shared" si="54"/>
        <v>45962</v>
      </c>
      <c r="S92" s="465">
        <f t="shared" si="54"/>
        <v>45992</v>
      </c>
      <c r="T92" s="465">
        <f t="shared" si="54"/>
        <v>46023</v>
      </c>
      <c r="U92" s="465">
        <f t="shared" si="54"/>
        <v>46054</v>
      </c>
      <c r="V92" s="465">
        <f t="shared" si="54"/>
        <v>46082</v>
      </c>
      <c r="W92" s="465">
        <f t="shared" si="54"/>
        <v>46113</v>
      </c>
      <c r="X92" s="465">
        <f t="shared" si="54"/>
        <v>46143</v>
      </c>
      <c r="Y92" s="465">
        <f t="shared" si="54"/>
        <v>46174</v>
      </c>
      <c r="Z92" s="465">
        <f t="shared" si="54"/>
        <v>46204</v>
      </c>
      <c r="AA92" s="465">
        <f t="shared" si="54"/>
        <v>46235</v>
      </c>
      <c r="AB92" s="465">
        <f t="shared" si="54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5">+I$19</f>
        <v>147.5</v>
      </c>
      <c r="J94" s="510">
        <f t="shared" si="55"/>
        <v>151</v>
      </c>
      <c r="K94" s="510">
        <f t="shared" si="55"/>
        <v>156.5</v>
      </c>
      <c r="L94" s="510">
        <f t="shared" si="55"/>
        <v>162</v>
      </c>
      <c r="M94" s="510">
        <f t="shared" si="55"/>
        <v>165</v>
      </c>
      <c r="N94" s="510">
        <f t="shared" si="55"/>
        <v>167</v>
      </c>
      <c r="O94" s="510">
        <f t="shared" si="55"/>
        <v>172</v>
      </c>
      <c r="P94" s="510">
        <f t="shared" si="55"/>
        <v>176</v>
      </c>
      <c r="Q94" s="510">
        <f t="shared" si="55"/>
        <v>179.5</v>
      </c>
      <c r="R94" s="510">
        <f t="shared" si="55"/>
        <v>181.5</v>
      </c>
      <c r="S94" s="510">
        <f t="shared" si="55"/>
        <v>180.5</v>
      </c>
      <c r="T94" s="510">
        <f t="shared" si="55"/>
        <v>183</v>
      </c>
      <c r="U94" s="510">
        <f t="shared" si="55"/>
        <v>189.5</v>
      </c>
      <c r="V94" s="510">
        <f t="shared" si="55"/>
        <v>192.5</v>
      </c>
      <c r="W94" s="510">
        <f t="shared" si="55"/>
        <v>195</v>
      </c>
      <c r="X94" s="510">
        <f t="shared" si="55"/>
        <v>193.5</v>
      </c>
      <c r="Y94" s="510">
        <f t="shared" si="55"/>
        <v>189</v>
      </c>
      <c r="Z94" s="510">
        <f t="shared" si="55"/>
        <v>181.5</v>
      </c>
      <c r="AA94" s="510">
        <f t="shared" si="55"/>
        <v>174.5</v>
      </c>
      <c r="AB94" s="510">
        <f t="shared" si="55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6">+H99-H97-H98</f>
        <v>5</v>
      </c>
      <c r="I96" s="470">
        <f t="shared" ca="1" si="56"/>
        <v>5</v>
      </c>
      <c r="J96" s="470">
        <f t="shared" ca="1" si="56"/>
        <v>5</v>
      </c>
      <c r="K96" s="470">
        <f t="shared" ca="1" si="56"/>
        <v>5</v>
      </c>
      <c r="L96" s="470">
        <f t="shared" ca="1" si="56"/>
        <v>5</v>
      </c>
      <c r="M96" s="470">
        <f t="shared" ca="1" si="56"/>
        <v>6</v>
      </c>
      <c r="N96" s="470">
        <f t="shared" ca="1" si="56"/>
        <v>6</v>
      </c>
      <c r="O96" s="470">
        <f t="shared" ca="1" si="56"/>
        <v>6</v>
      </c>
      <c r="P96" s="470">
        <f t="shared" ca="1" si="56"/>
        <v>6</v>
      </c>
      <c r="Q96" s="470">
        <f t="shared" ca="1" si="56"/>
        <v>6</v>
      </c>
      <c r="R96" s="470">
        <f t="shared" ca="1" si="56"/>
        <v>6</v>
      </c>
      <c r="S96" s="470">
        <f t="shared" ca="1" si="56"/>
        <v>6</v>
      </c>
      <c r="T96" s="470">
        <f t="shared" ca="1" si="56"/>
        <v>7</v>
      </c>
      <c r="U96" s="470">
        <f t="shared" ca="1" si="56"/>
        <v>8</v>
      </c>
      <c r="V96" s="470">
        <f t="shared" ca="1" si="56"/>
        <v>8</v>
      </c>
      <c r="W96" s="470">
        <f t="shared" ca="1" si="56"/>
        <v>8</v>
      </c>
      <c r="X96" s="470">
        <f t="shared" ca="1" si="56"/>
        <v>8</v>
      </c>
      <c r="Y96" s="470">
        <f t="shared" ca="1" si="56"/>
        <v>7</v>
      </c>
      <c r="Z96" s="470">
        <f t="shared" ca="1" si="56"/>
        <v>7</v>
      </c>
      <c r="AA96" s="470">
        <f t="shared" ca="1" si="56"/>
        <v>7</v>
      </c>
      <c r="AB96" s="470">
        <f t="shared" si="56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7">+I96</f>
        <v>5</v>
      </c>
      <c r="I99" s="475">
        <f t="shared" ca="1" si="57"/>
        <v>5</v>
      </c>
      <c r="J99" s="475">
        <f t="shared" ca="1" si="57"/>
        <v>5</v>
      </c>
      <c r="K99" s="475">
        <f t="shared" ca="1" si="57"/>
        <v>5</v>
      </c>
      <c r="L99" s="475">
        <f t="shared" ca="1" si="57"/>
        <v>6</v>
      </c>
      <c r="M99" s="475">
        <f t="shared" ca="1" si="57"/>
        <v>6</v>
      </c>
      <c r="N99" s="475">
        <f t="shared" ca="1" si="57"/>
        <v>6</v>
      </c>
      <c r="O99" s="475">
        <f t="shared" ca="1" si="57"/>
        <v>6</v>
      </c>
      <c r="P99" s="475">
        <f t="shared" ca="1" si="57"/>
        <v>6</v>
      </c>
      <c r="Q99" s="478">
        <f t="shared" ca="1" si="57"/>
        <v>6</v>
      </c>
      <c r="R99" s="475">
        <f t="shared" ca="1" si="57"/>
        <v>6</v>
      </c>
      <c r="S99" s="475">
        <f t="shared" ca="1" si="57"/>
        <v>7</v>
      </c>
      <c r="T99" s="475">
        <f t="shared" ca="1" si="57"/>
        <v>8</v>
      </c>
      <c r="U99" s="475">
        <f t="shared" ca="1" si="57"/>
        <v>8</v>
      </c>
      <c r="V99" s="475">
        <f t="shared" ca="1" si="57"/>
        <v>8</v>
      </c>
      <c r="W99" s="475">
        <f t="shared" ca="1" si="57"/>
        <v>8</v>
      </c>
      <c r="X99" s="475">
        <f t="shared" ca="1" si="57"/>
        <v>7</v>
      </c>
      <c r="Y99" s="475">
        <f t="shared" ca="1" si="57"/>
        <v>7</v>
      </c>
      <c r="Z99" s="475">
        <f t="shared" ca="1" si="57"/>
        <v>7</v>
      </c>
      <c r="AA99" s="475">
        <f t="shared" si="57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8">AVERAGE(H96,H99)</f>
        <v>5</v>
      </c>
      <c r="I101" s="502">
        <f t="shared" ca="1" si="58"/>
        <v>5</v>
      </c>
      <c r="J101" s="502">
        <f t="shared" ca="1" si="58"/>
        <v>5</v>
      </c>
      <c r="K101" s="502">
        <f t="shared" ca="1" si="58"/>
        <v>5</v>
      </c>
      <c r="L101" s="502">
        <f t="shared" ca="1" si="58"/>
        <v>5.5</v>
      </c>
      <c r="M101" s="502">
        <f t="shared" ca="1" si="58"/>
        <v>6</v>
      </c>
      <c r="N101" s="502">
        <f t="shared" ca="1" si="58"/>
        <v>6</v>
      </c>
      <c r="O101" s="502">
        <f t="shared" ca="1" si="58"/>
        <v>6</v>
      </c>
      <c r="P101" s="502">
        <f t="shared" ca="1" si="58"/>
        <v>6</v>
      </c>
      <c r="Q101" s="505">
        <f t="shared" ca="1" si="58"/>
        <v>6</v>
      </c>
      <c r="R101" s="502">
        <f t="shared" ca="1" si="58"/>
        <v>6</v>
      </c>
      <c r="S101" s="502">
        <f t="shared" ca="1" si="58"/>
        <v>6.5</v>
      </c>
      <c r="T101" s="502">
        <f t="shared" ca="1" si="58"/>
        <v>7.5</v>
      </c>
      <c r="U101" s="502">
        <f t="shared" ca="1" si="58"/>
        <v>8</v>
      </c>
      <c r="V101" s="502">
        <f t="shared" ca="1" si="58"/>
        <v>8</v>
      </c>
      <c r="W101" s="502">
        <f t="shared" ca="1" si="58"/>
        <v>8</v>
      </c>
      <c r="X101" s="502">
        <f t="shared" ca="1" si="58"/>
        <v>7.5</v>
      </c>
      <c r="Y101" s="502">
        <f t="shared" ca="1" si="58"/>
        <v>7</v>
      </c>
      <c r="Z101" s="502">
        <f t="shared" ca="1" si="58"/>
        <v>7</v>
      </c>
      <c r="AA101" s="502">
        <f t="shared" ca="1" si="58"/>
        <v>7.5</v>
      </c>
      <c r="AB101" s="503">
        <f t="shared" si="58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59">H94/H101</f>
        <v>29.2</v>
      </c>
      <c r="I102" s="506">
        <f t="shared" ca="1" si="59"/>
        <v>29.5</v>
      </c>
      <c r="J102" s="506">
        <f t="shared" ca="1" si="59"/>
        <v>30.2</v>
      </c>
      <c r="K102" s="506">
        <f t="shared" ca="1" si="59"/>
        <v>31.3</v>
      </c>
      <c r="L102" s="506">
        <f t="shared" ca="1" si="59"/>
        <v>29.454545454545453</v>
      </c>
      <c r="M102" s="506">
        <f t="shared" ca="1" si="59"/>
        <v>27.5</v>
      </c>
      <c r="N102" s="506">
        <f t="shared" ca="1" si="59"/>
        <v>27.833333333333332</v>
      </c>
      <c r="O102" s="506">
        <f t="shared" ca="1" si="59"/>
        <v>28.666666666666668</v>
      </c>
      <c r="P102" s="506">
        <f t="shared" ca="1" si="59"/>
        <v>29.333333333333332</v>
      </c>
      <c r="Q102" s="509">
        <f t="shared" ca="1" si="59"/>
        <v>29.916666666666668</v>
      </c>
      <c r="R102" s="506">
        <f t="shared" ca="1" si="59"/>
        <v>30.25</v>
      </c>
      <c r="S102" s="506">
        <f t="shared" ca="1" si="59"/>
        <v>27.76923076923077</v>
      </c>
      <c r="T102" s="506">
        <f t="shared" ca="1" si="59"/>
        <v>24.4</v>
      </c>
      <c r="U102" s="506">
        <f t="shared" ca="1" si="59"/>
        <v>23.6875</v>
      </c>
      <c r="V102" s="506">
        <f t="shared" ca="1" si="59"/>
        <v>24.0625</v>
      </c>
      <c r="W102" s="506">
        <f t="shared" ca="1" si="59"/>
        <v>24.375</v>
      </c>
      <c r="X102" s="506">
        <f t="shared" ca="1" si="59"/>
        <v>25.8</v>
      </c>
      <c r="Y102" s="506">
        <f t="shared" ca="1" si="59"/>
        <v>27</v>
      </c>
      <c r="Z102" s="506">
        <f t="shared" ca="1" si="59"/>
        <v>25.928571428571427</v>
      </c>
      <c r="AA102" s="506">
        <f t="shared" ca="1" si="59"/>
        <v>23.266666666666666</v>
      </c>
      <c r="AB102" s="507">
        <f t="shared" si="59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0">(H97+H96)/H96-1</f>
        <v>0</v>
      </c>
      <c r="I104" s="488">
        <f t="shared" ca="1" si="60"/>
        <v>0</v>
      </c>
      <c r="J104" s="488">
        <f t="shared" ca="1" si="60"/>
        <v>0</v>
      </c>
      <c r="K104" s="488">
        <f t="shared" ca="1" si="60"/>
        <v>0</v>
      </c>
      <c r="L104" s="488">
        <f t="shared" ca="1" si="60"/>
        <v>0.19999999999999996</v>
      </c>
      <c r="M104" s="488">
        <f t="shared" ca="1" si="60"/>
        <v>0</v>
      </c>
      <c r="N104" s="488">
        <f t="shared" ca="1" si="60"/>
        <v>0</v>
      </c>
      <c r="O104" s="488">
        <f t="shared" ca="1" si="60"/>
        <v>0</v>
      </c>
      <c r="P104" s="488">
        <f t="shared" ca="1" si="60"/>
        <v>0</v>
      </c>
      <c r="Q104" s="492">
        <f t="shared" ca="1" si="60"/>
        <v>0</v>
      </c>
      <c r="R104" s="488">
        <f t="shared" ca="1" si="60"/>
        <v>0</v>
      </c>
      <c r="S104" s="488">
        <f t="shared" ca="1" si="60"/>
        <v>0.16666666666666674</v>
      </c>
      <c r="T104" s="488">
        <f t="shared" ca="1" si="60"/>
        <v>0.14285714285714279</v>
      </c>
      <c r="U104" s="488">
        <f t="shared" ca="1" si="60"/>
        <v>0</v>
      </c>
      <c r="V104" s="488">
        <f t="shared" ca="1" si="60"/>
        <v>0</v>
      </c>
      <c r="W104" s="488">
        <f t="shared" ca="1" si="60"/>
        <v>0</v>
      </c>
      <c r="X104" s="488">
        <f t="shared" ca="1" si="60"/>
        <v>0</v>
      </c>
      <c r="Y104" s="488">
        <f t="shared" ca="1" si="60"/>
        <v>0</v>
      </c>
      <c r="Z104" s="488">
        <f t="shared" ca="1" si="60"/>
        <v>0</v>
      </c>
      <c r="AA104" s="488">
        <f t="shared" ca="1" si="60"/>
        <v>0.14285714285714279</v>
      </c>
      <c r="AB104" s="489">
        <f t="shared" si="60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1">(H98+H101)/H101-1</f>
        <v>0</v>
      </c>
      <c r="I105" s="494">
        <f t="shared" ca="1" si="61"/>
        <v>0</v>
      </c>
      <c r="J105" s="494">
        <f t="shared" ca="1" si="61"/>
        <v>0</v>
      </c>
      <c r="K105" s="494">
        <f t="shared" ca="1" si="61"/>
        <v>0</v>
      </c>
      <c r="L105" s="494">
        <f t="shared" ca="1" si="61"/>
        <v>0</v>
      </c>
      <c r="M105" s="494">
        <f t="shared" ca="1" si="61"/>
        <v>0</v>
      </c>
      <c r="N105" s="494">
        <f t="shared" ca="1" si="61"/>
        <v>0</v>
      </c>
      <c r="O105" s="494">
        <f t="shared" ca="1" si="61"/>
        <v>0</v>
      </c>
      <c r="P105" s="494">
        <f t="shared" ca="1" si="61"/>
        <v>0</v>
      </c>
      <c r="Q105" s="497">
        <f t="shared" ca="1" si="61"/>
        <v>0</v>
      </c>
      <c r="R105" s="494">
        <f t="shared" ca="1" si="61"/>
        <v>0</v>
      </c>
      <c r="S105" s="494">
        <f t="shared" ca="1" si="61"/>
        <v>0</v>
      </c>
      <c r="T105" s="494">
        <f t="shared" ca="1" si="61"/>
        <v>0</v>
      </c>
      <c r="U105" s="494">
        <f t="shared" ca="1" si="61"/>
        <v>0</v>
      </c>
      <c r="V105" s="494">
        <f t="shared" ca="1" si="61"/>
        <v>0</v>
      </c>
      <c r="W105" s="494">
        <f t="shared" ca="1" si="61"/>
        <v>0</v>
      </c>
      <c r="X105" s="494">
        <f t="shared" ca="1" si="61"/>
        <v>-0.1333333333333333</v>
      </c>
      <c r="Y105" s="494">
        <f t="shared" ca="1" si="61"/>
        <v>0</v>
      </c>
      <c r="Z105" s="494">
        <f t="shared" ca="1" si="61"/>
        <v>0</v>
      </c>
      <c r="AA105" s="494">
        <f t="shared" ca="1" si="61"/>
        <v>0</v>
      </c>
      <c r="AB105" s="495">
        <f t="shared" si="61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2">EOMONTH(H107,0)+1</f>
        <v>45689</v>
      </c>
      <c r="J107" s="465">
        <f t="shared" si="62"/>
        <v>45717</v>
      </c>
      <c r="K107" s="465">
        <f t="shared" si="62"/>
        <v>45748</v>
      </c>
      <c r="L107" s="465">
        <f t="shared" si="62"/>
        <v>45778</v>
      </c>
      <c r="M107" s="465">
        <f t="shared" si="62"/>
        <v>45809</v>
      </c>
      <c r="N107" s="465">
        <f t="shared" si="62"/>
        <v>45839</v>
      </c>
      <c r="O107" s="465">
        <v>45870</v>
      </c>
      <c r="P107" s="465">
        <f t="shared" ref="P107:AB107" si="63">EOMONTH(O107,0)+1</f>
        <v>45901</v>
      </c>
      <c r="Q107" s="465">
        <f t="shared" si="63"/>
        <v>45931</v>
      </c>
      <c r="R107" s="465">
        <f t="shared" si="63"/>
        <v>45962</v>
      </c>
      <c r="S107" s="465">
        <f t="shared" si="63"/>
        <v>45992</v>
      </c>
      <c r="T107" s="465">
        <f t="shared" si="63"/>
        <v>46023</v>
      </c>
      <c r="U107" s="465">
        <f t="shared" si="63"/>
        <v>46054</v>
      </c>
      <c r="V107" s="465">
        <f t="shared" si="63"/>
        <v>46082</v>
      </c>
      <c r="W107" s="465">
        <f t="shared" si="63"/>
        <v>46113</v>
      </c>
      <c r="X107" s="465">
        <f t="shared" si="63"/>
        <v>46143</v>
      </c>
      <c r="Y107" s="465">
        <f t="shared" si="63"/>
        <v>46174</v>
      </c>
      <c r="Z107" s="465">
        <f t="shared" si="63"/>
        <v>46204</v>
      </c>
      <c r="AA107" s="465">
        <f t="shared" si="63"/>
        <v>46235</v>
      </c>
      <c r="AB107" s="465">
        <f t="shared" si="63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4">+I$19</f>
        <v>147.5</v>
      </c>
      <c r="J109" s="510">
        <f t="shared" si="64"/>
        <v>151</v>
      </c>
      <c r="K109" s="510">
        <f t="shared" si="64"/>
        <v>156.5</v>
      </c>
      <c r="L109" s="510">
        <f t="shared" si="64"/>
        <v>162</v>
      </c>
      <c r="M109" s="510">
        <f t="shared" si="64"/>
        <v>165</v>
      </c>
      <c r="N109" s="510">
        <f t="shared" si="64"/>
        <v>167</v>
      </c>
      <c r="O109" s="510">
        <f t="shared" si="64"/>
        <v>172</v>
      </c>
      <c r="P109" s="510">
        <f t="shared" si="64"/>
        <v>176</v>
      </c>
      <c r="Q109" s="510">
        <f t="shared" si="64"/>
        <v>179.5</v>
      </c>
      <c r="R109" s="510">
        <f t="shared" si="64"/>
        <v>181.5</v>
      </c>
      <c r="S109" s="510">
        <f t="shared" si="64"/>
        <v>180.5</v>
      </c>
      <c r="T109" s="510">
        <f t="shared" si="64"/>
        <v>183</v>
      </c>
      <c r="U109" s="510">
        <f t="shared" si="64"/>
        <v>189.5</v>
      </c>
      <c r="V109" s="510">
        <f t="shared" si="64"/>
        <v>192.5</v>
      </c>
      <c r="W109" s="510">
        <f t="shared" si="64"/>
        <v>195</v>
      </c>
      <c r="X109" s="510">
        <f t="shared" si="64"/>
        <v>193.5</v>
      </c>
      <c r="Y109" s="510">
        <f t="shared" si="64"/>
        <v>189</v>
      </c>
      <c r="Z109" s="510">
        <f t="shared" si="64"/>
        <v>181.5</v>
      </c>
      <c r="AA109" s="510">
        <f t="shared" si="64"/>
        <v>174.5</v>
      </c>
      <c r="AB109" s="510">
        <f t="shared" si="64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5">+H114-H112-H113</f>
        <v>4</v>
      </c>
      <c r="I111" s="470">
        <f t="shared" ca="1" si="65"/>
        <v>4</v>
      </c>
      <c r="J111" s="470">
        <f t="shared" si="65"/>
        <v>3</v>
      </c>
      <c r="K111" s="470">
        <f t="shared" si="65"/>
        <v>3</v>
      </c>
      <c r="L111" s="470">
        <f t="shared" si="65"/>
        <v>3</v>
      </c>
      <c r="M111" s="470">
        <f t="shared" si="65"/>
        <v>3</v>
      </c>
      <c r="N111" s="470">
        <f t="shared" si="65"/>
        <v>3</v>
      </c>
      <c r="O111" s="470">
        <f t="shared" si="65"/>
        <v>3</v>
      </c>
      <c r="P111" s="470">
        <f t="shared" si="65"/>
        <v>3</v>
      </c>
      <c r="Q111" s="470">
        <f t="shared" si="65"/>
        <v>3</v>
      </c>
      <c r="R111" s="470">
        <f t="shared" si="65"/>
        <v>3</v>
      </c>
      <c r="S111" s="470">
        <f t="shared" si="65"/>
        <v>3</v>
      </c>
      <c r="T111" s="470">
        <f t="shared" si="65"/>
        <v>3</v>
      </c>
      <c r="U111" s="470">
        <f t="shared" si="65"/>
        <v>3</v>
      </c>
      <c r="V111" s="470">
        <f t="shared" si="65"/>
        <v>3</v>
      </c>
      <c r="W111" s="470">
        <f t="shared" si="65"/>
        <v>3</v>
      </c>
      <c r="X111" s="470">
        <f t="shared" si="65"/>
        <v>3</v>
      </c>
      <c r="Y111" s="470">
        <f t="shared" si="65"/>
        <v>3</v>
      </c>
      <c r="Z111" s="470">
        <f t="shared" si="65"/>
        <v>3</v>
      </c>
      <c r="AA111" s="470">
        <f t="shared" si="65"/>
        <v>3</v>
      </c>
      <c r="AB111" s="470">
        <f t="shared" si="65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6">+I111</f>
        <v>4</v>
      </c>
      <c r="I114" s="475">
        <f t="shared" si="66"/>
        <v>3</v>
      </c>
      <c r="J114" s="475">
        <f t="shared" si="66"/>
        <v>3</v>
      </c>
      <c r="K114" s="475">
        <f t="shared" si="66"/>
        <v>3</v>
      </c>
      <c r="L114" s="475">
        <f t="shared" si="66"/>
        <v>3</v>
      </c>
      <c r="M114" s="475">
        <f t="shared" si="66"/>
        <v>3</v>
      </c>
      <c r="N114" s="475">
        <f t="shared" si="66"/>
        <v>3</v>
      </c>
      <c r="O114" s="475">
        <f t="shared" si="66"/>
        <v>3</v>
      </c>
      <c r="P114" s="475">
        <f t="shared" si="66"/>
        <v>3</v>
      </c>
      <c r="Q114" s="475">
        <f t="shared" si="66"/>
        <v>3</v>
      </c>
      <c r="R114" s="475">
        <f t="shared" si="66"/>
        <v>3</v>
      </c>
      <c r="S114" s="475">
        <f t="shared" si="66"/>
        <v>3</v>
      </c>
      <c r="T114" s="475">
        <f t="shared" si="66"/>
        <v>3</v>
      </c>
      <c r="U114" s="475">
        <f t="shared" si="66"/>
        <v>3</v>
      </c>
      <c r="V114" s="475">
        <f t="shared" si="66"/>
        <v>3</v>
      </c>
      <c r="W114" s="475">
        <f t="shared" si="66"/>
        <v>3</v>
      </c>
      <c r="X114" s="475">
        <f t="shared" si="66"/>
        <v>3</v>
      </c>
      <c r="Y114" s="475">
        <f t="shared" si="66"/>
        <v>3</v>
      </c>
      <c r="Z114" s="475">
        <f t="shared" si="66"/>
        <v>3</v>
      </c>
      <c r="AA114" s="475">
        <f t="shared" si="66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7">AVERAGE(H111,H114)</f>
        <v>4</v>
      </c>
      <c r="I116" s="502">
        <f t="shared" ca="1" si="67"/>
        <v>3.5</v>
      </c>
      <c r="J116" s="502">
        <f t="shared" si="67"/>
        <v>3</v>
      </c>
      <c r="K116" s="502">
        <f t="shared" si="67"/>
        <v>3</v>
      </c>
      <c r="L116" s="502">
        <f t="shared" si="67"/>
        <v>3</v>
      </c>
      <c r="M116" s="502">
        <f t="shared" si="67"/>
        <v>3</v>
      </c>
      <c r="N116" s="502">
        <f t="shared" si="67"/>
        <v>3</v>
      </c>
      <c r="O116" s="502">
        <f t="shared" si="67"/>
        <v>3</v>
      </c>
      <c r="P116" s="502">
        <f t="shared" si="67"/>
        <v>3</v>
      </c>
      <c r="Q116" s="502">
        <f t="shared" si="67"/>
        <v>3</v>
      </c>
      <c r="R116" s="502">
        <f t="shared" si="67"/>
        <v>3</v>
      </c>
      <c r="S116" s="502">
        <f t="shared" si="67"/>
        <v>3</v>
      </c>
      <c r="T116" s="502">
        <f t="shared" si="67"/>
        <v>3</v>
      </c>
      <c r="U116" s="502">
        <f t="shared" si="67"/>
        <v>3</v>
      </c>
      <c r="V116" s="502">
        <f t="shared" si="67"/>
        <v>3</v>
      </c>
      <c r="W116" s="502">
        <f t="shared" si="67"/>
        <v>3</v>
      </c>
      <c r="X116" s="502">
        <f t="shared" si="67"/>
        <v>3</v>
      </c>
      <c r="Y116" s="502">
        <f t="shared" si="67"/>
        <v>3</v>
      </c>
      <c r="Z116" s="502">
        <f t="shared" si="67"/>
        <v>3</v>
      </c>
      <c r="AA116" s="502">
        <f t="shared" si="67"/>
        <v>3</v>
      </c>
      <c r="AB116" s="503">
        <f t="shared" si="67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8">H109/H116</f>
        <v>36.5</v>
      </c>
      <c r="I117" s="506">
        <f t="shared" ca="1" si="68"/>
        <v>42.142857142857146</v>
      </c>
      <c r="J117" s="506">
        <f t="shared" si="68"/>
        <v>50.333333333333336</v>
      </c>
      <c r="K117" s="506">
        <f t="shared" si="68"/>
        <v>52.166666666666664</v>
      </c>
      <c r="L117" s="506">
        <f t="shared" si="68"/>
        <v>54</v>
      </c>
      <c r="M117" s="506">
        <f t="shared" si="68"/>
        <v>55</v>
      </c>
      <c r="N117" s="506">
        <f t="shared" si="68"/>
        <v>55.666666666666664</v>
      </c>
      <c r="O117" s="506">
        <f t="shared" si="68"/>
        <v>57.333333333333336</v>
      </c>
      <c r="P117" s="506">
        <f t="shared" si="68"/>
        <v>58.666666666666664</v>
      </c>
      <c r="Q117" s="506">
        <f t="shared" si="68"/>
        <v>59.833333333333336</v>
      </c>
      <c r="R117" s="506">
        <f t="shared" si="68"/>
        <v>60.5</v>
      </c>
      <c r="S117" s="506">
        <f t="shared" si="68"/>
        <v>60.166666666666664</v>
      </c>
      <c r="T117" s="506">
        <f t="shared" si="68"/>
        <v>61</v>
      </c>
      <c r="U117" s="506">
        <f t="shared" si="68"/>
        <v>63.166666666666664</v>
      </c>
      <c r="V117" s="506">
        <f t="shared" si="68"/>
        <v>64.166666666666671</v>
      </c>
      <c r="W117" s="506">
        <f t="shared" si="68"/>
        <v>65</v>
      </c>
      <c r="X117" s="506">
        <f t="shared" si="68"/>
        <v>64.5</v>
      </c>
      <c r="Y117" s="506">
        <f t="shared" si="68"/>
        <v>63</v>
      </c>
      <c r="Z117" s="506">
        <f t="shared" si="68"/>
        <v>60.5</v>
      </c>
      <c r="AA117" s="506">
        <f t="shared" si="68"/>
        <v>58.166666666666664</v>
      </c>
      <c r="AB117" s="507">
        <f t="shared" si="68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69">(H112+H111)/H111-1</f>
        <v>0</v>
      </c>
      <c r="I119" s="488">
        <f t="shared" ca="1" si="69"/>
        <v>0</v>
      </c>
      <c r="J119" s="488">
        <f t="shared" si="69"/>
        <v>0</v>
      </c>
      <c r="K119" s="488">
        <f t="shared" si="69"/>
        <v>0</v>
      </c>
      <c r="L119" s="488">
        <f t="shared" si="69"/>
        <v>0</v>
      </c>
      <c r="M119" s="488">
        <f t="shared" si="69"/>
        <v>0</v>
      </c>
      <c r="N119" s="488">
        <f t="shared" si="69"/>
        <v>0</v>
      </c>
      <c r="O119" s="488">
        <f t="shared" si="69"/>
        <v>0</v>
      </c>
      <c r="P119" s="488">
        <f t="shared" si="69"/>
        <v>0</v>
      </c>
      <c r="Q119" s="492">
        <f t="shared" si="69"/>
        <v>0</v>
      </c>
      <c r="R119" s="488">
        <f t="shared" si="69"/>
        <v>0</v>
      </c>
      <c r="S119" s="488">
        <f t="shared" si="69"/>
        <v>0</v>
      </c>
      <c r="T119" s="488">
        <f t="shared" si="69"/>
        <v>0</v>
      </c>
      <c r="U119" s="488">
        <f t="shared" si="69"/>
        <v>0</v>
      </c>
      <c r="V119" s="488">
        <f t="shared" si="69"/>
        <v>0</v>
      </c>
      <c r="W119" s="488">
        <f t="shared" si="69"/>
        <v>0</v>
      </c>
      <c r="X119" s="488">
        <f t="shared" si="69"/>
        <v>0</v>
      </c>
      <c r="Y119" s="488">
        <f t="shared" si="69"/>
        <v>0</v>
      </c>
      <c r="Z119" s="488">
        <f t="shared" si="69"/>
        <v>0</v>
      </c>
      <c r="AA119" s="488">
        <f t="shared" si="69"/>
        <v>0</v>
      </c>
      <c r="AB119" s="489">
        <f t="shared" si="69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0">(H113+H116)/H116-1</f>
        <v>0</v>
      </c>
      <c r="I120" s="494">
        <f t="shared" ca="1" si="70"/>
        <v>-0.2857142857142857</v>
      </c>
      <c r="J120" s="494">
        <f t="shared" si="70"/>
        <v>0</v>
      </c>
      <c r="K120" s="494">
        <f t="shared" si="70"/>
        <v>0</v>
      </c>
      <c r="L120" s="494">
        <f t="shared" si="70"/>
        <v>0</v>
      </c>
      <c r="M120" s="494">
        <f t="shared" si="70"/>
        <v>0</v>
      </c>
      <c r="N120" s="494">
        <f t="shared" si="70"/>
        <v>0</v>
      </c>
      <c r="O120" s="494">
        <f t="shared" si="70"/>
        <v>0</v>
      </c>
      <c r="P120" s="494">
        <f t="shared" si="70"/>
        <v>0</v>
      </c>
      <c r="Q120" s="497">
        <f t="shared" si="70"/>
        <v>0</v>
      </c>
      <c r="R120" s="494">
        <f t="shared" si="70"/>
        <v>0</v>
      </c>
      <c r="S120" s="494">
        <f t="shared" si="70"/>
        <v>0</v>
      </c>
      <c r="T120" s="494">
        <f t="shared" si="70"/>
        <v>0</v>
      </c>
      <c r="U120" s="494">
        <f t="shared" si="70"/>
        <v>0</v>
      </c>
      <c r="V120" s="494">
        <f t="shared" si="70"/>
        <v>0</v>
      </c>
      <c r="W120" s="494">
        <f t="shared" si="70"/>
        <v>0</v>
      </c>
      <c r="X120" s="494">
        <f t="shared" si="70"/>
        <v>0</v>
      </c>
      <c r="Y120" s="494">
        <f t="shared" si="70"/>
        <v>0</v>
      </c>
      <c r="Z120" s="494">
        <f t="shared" si="70"/>
        <v>0</v>
      </c>
      <c r="AA120" s="494">
        <f t="shared" si="70"/>
        <v>0</v>
      </c>
      <c r="AB120" s="495">
        <f t="shared" si="70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1">EOMONTH(H122,0)+1</f>
        <v>45689</v>
      </c>
      <c r="J122" s="465">
        <f t="shared" si="71"/>
        <v>45717</v>
      </c>
      <c r="K122" s="465">
        <f t="shared" si="71"/>
        <v>45748</v>
      </c>
      <c r="L122" s="465">
        <f t="shared" si="71"/>
        <v>45778</v>
      </c>
      <c r="M122" s="465">
        <f t="shared" si="71"/>
        <v>45809</v>
      </c>
      <c r="N122" s="465">
        <f t="shared" si="71"/>
        <v>45839</v>
      </c>
      <c r="O122" s="465">
        <v>45870</v>
      </c>
      <c r="P122" s="465">
        <f t="shared" ref="P122:AB122" si="72">EOMONTH(O122,0)+1</f>
        <v>45901</v>
      </c>
      <c r="Q122" s="465">
        <f t="shared" si="72"/>
        <v>45931</v>
      </c>
      <c r="R122" s="465">
        <f t="shared" si="72"/>
        <v>45962</v>
      </c>
      <c r="S122" s="465">
        <f t="shared" si="72"/>
        <v>45992</v>
      </c>
      <c r="T122" s="465">
        <f t="shared" si="72"/>
        <v>46023</v>
      </c>
      <c r="U122" s="465">
        <f t="shared" si="72"/>
        <v>46054</v>
      </c>
      <c r="V122" s="465">
        <f t="shared" si="72"/>
        <v>46082</v>
      </c>
      <c r="W122" s="465">
        <f t="shared" si="72"/>
        <v>46113</v>
      </c>
      <c r="X122" s="465">
        <f t="shared" si="72"/>
        <v>46143</v>
      </c>
      <c r="Y122" s="465">
        <f t="shared" si="72"/>
        <v>46174</v>
      </c>
      <c r="Z122" s="465">
        <f t="shared" si="72"/>
        <v>46204</v>
      </c>
      <c r="AA122" s="465">
        <f t="shared" si="72"/>
        <v>46235</v>
      </c>
      <c r="AB122" s="465">
        <f t="shared" si="72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3">+H127-H125-H126</f>
        <v>1</v>
      </c>
      <c r="I124" s="470">
        <f t="shared" ca="1" si="73"/>
        <v>1</v>
      </c>
      <c r="J124" s="470">
        <f t="shared" ca="1" si="73"/>
        <v>1</v>
      </c>
      <c r="K124" s="470">
        <f t="shared" ca="1" si="73"/>
        <v>1</v>
      </c>
      <c r="L124" s="470">
        <f t="shared" ca="1" si="73"/>
        <v>1</v>
      </c>
      <c r="M124" s="470">
        <f t="shared" ca="1" si="73"/>
        <v>1</v>
      </c>
      <c r="N124" s="470">
        <f t="shared" ca="1" si="73"/>
        <v>1</v>
      </c>
      <c r="O124" s="470">
        <f t="shared" ca="1" si="73"/>
        <v>1</v>
      </c>
      <c r="P124" s="470">
        <f t="shared" ca="1" si="73"/>
        <v>2</v>
      </c>
      <c r="Q124" s="470">
        <f t="shared" ca="1" si="73"/>
        <v>2</v>
      </c>
      <c r="R124" s="470">
        <f t="shared" ca="1" si="73"/>
        <v>2</v>
      </c>
      <c r="S124" s="470">
        <f t="shared" ca="1" si="73"/>
        <v>1</v>
      </c>
      <c r="T124" s="470">
        <f t="shared" ca="1" si="73"/>
        <v>1</v>
      </c>
      <c r="U124" s="470">
        <f t="shared" ca="1" si="73"/>
        <v>1</v>
      </c>
      <c r="V124" s="470">
        <f t="shared" ca="1" si="73"/>
        <v>2</v>
      </c>
      <c r="W124" s="470">
        <f t="shared" ca="1" si="73"/>
        <v>3</v>
      </c>
      <c r="X124" s="470">
        <f t="shared" ca="1" si="73"/>
        <v>4</v>
      </c>
      <c r="Y124" s="470">
        <f t="shared" ca="1" si="73"/>
        <v>4</v>
      </c>
      <c r="Z124" s="470">
        <f t="shared" ca="1" si="73"/>
        <v>4</v>
      </c>
      <c r="AA124" s="470">
        <f t="shared" ca="1" si="73"/>
        <v>3</v>
      </c>
      <c r="AB124" s="470">
        <f t="shared" ca="1" si="73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4">+I124</f>
        <v>1</v>
      </c>
      <c r="I127" s="475">
        <f t="shared" ca="1" si="74"/>
        <v>1</v>
      </c>
      <c r="J127" s="475">
        <f t="shared" ca="1" si="74"/>
        <v>1</v>
      </c>
      <c r="K127" s="475">
        <f t="shared" ca="1" si="74"/>
        <v>1</v>
      </c>
      <c r="L127" s="475">
        <f t="shared" ca="1" si="74"/>
        <v>1</v>
      </c>
      <c r="M127" s="475">
        <f t="shared" ca="1" si="74"/>
        <v>1</v>
      </c>
      <c r="N127" s="475">
        <f t="shared" ca="1" si="74"/>
        <v>1</v>
      </c>
      <c r="O127" s="475">
        <f t="shared" ca="1" si="74"/>
        <v>2</v>
      </c>
      <c r="P127" s="475">
        <f t="shared" ca="1" si="74"/>
        <v>2</v>
      </c>
      <c r="Q127" s="475">
        <f t="shared" ca="1" si="74"/>
        <v>2</v>
      </c>
      <c r="R127" s="475">
        <f t="shared" ca="1" si="74"/>
        <v>1</v>
      </c>
      <c r="S127" s="475">
        <f t="shared" ca="1" si="74"/>
        <v>1</v>
      </c>
      <c r="T127" s="475">
        <f t="shared" ca="1" si="74"/>
        <v>1</v>
      </c>
      <c r="U127" s="475">
        <f t="shared" ca="1" si="74"/>
        <v>2</v>
      </c>
      <c r="V127" s="475">
        <f t="shared" ca="1" si="74"/>
        <v>3</v>
      </c>
      <c r="W127" s="475">
        <f t="shared" ca="1" si="74"/>
        <v>4</v>
      </c>
      <c r="X127" s="475">
        <f t="shared" ca="1" si="74"/>
        <v>4</v>
      </c>
      <c r="Y127" s="475">
        <f t="shared" ca="1" si="74"/>
        <v>4</v>
      </c>
      <c r="Z127" s="475">
        <f t="shared" ca="1" si="74"/>
        <v>3</v>
      </c>
      <c r="AA127" s="475">
        <f t="shared" ca="1" si="74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5">AVERAGE(H124,H127)</f>
        <v>1</v>
      </c>
      <c r="I129" s="483">
        <f t="shared" ca="1" si="75"/>
        <v>1</v>
      </c>
      <c r="J129" s="483">
        <f t="shared" ca="1" si="75"/>
        <v>1</v>
      </c>
      <c r="K129" s="483">
        <f t="shared" ca="1" si="75"/>
        <v>1</v>
      </c>
      <c r="L129" s="483">
        <f t="shared" ca="1" si="75"/>
        <v>1</v>
      </c>
      <c r="M129" s="483">
        <f t="shared" ca="1" si="75"/>
        <v>1</v>
      </c>
      <c r="N129" s="483">
        <f t="shared" ca="1" si="75"/>
        <v>1</v>
      </c>
      <c r="O129" s="483">
        <f t="shared" ca="1" si="75"/>
        <v>1.5</v>
      </c>
      <c r="P129" s="483">
        <f t="shared" ca="1" si="75"/>
        <v>2</v>
      </c>
      <c r="Q129" s="483">
        <f t="shared" ca="1" si="75"/>
        <v>2</v>
      </c>
      <c r="R129" s="483">
        <f t="shared" ca="1" si="75"/>
        <v>1.5</v>
      </c>
      <c r="S129" s="483">
        <f t="shared" ca="1" si="75"/>
        <v>1</v>
      </c>
      <c r="T129" s="483">
        <f t="shared" ca="1" si="75"/>
        <v>1</v>
      </c>
      <c r="U129" s="483">
        <f t="shared" ca="1" si="75"/>
        <v>1.5</v>
      </c>
      <c r="V129" s="483">
        <f t="shared" ca="1" si="75"/>
        <v>2.5</v>
      </c>
      <c r="W129" s="483">
        <f t="shared" ca="1" si="75"/>
        <v>3.5</v>
      </c>
      <c r="X129" s="483">
        <f t="shared" ca="1" si="75"/>
        <v>4</v>
      </c>
      <c r="Y129" s="483">
        <f t="shared" ca="1" si="75"/>
        <v>4</v>
      </c>
      <c r="Z129" s="483">
        <f t="shared" ca="1" si="75"/>
        <v>3.5</v>
      </c>
      <c r="AA129" s="483">
        <f t="shared" ca="1" si="75"/>
        <v>3</v>
      </c>
      <c r="AB129" s="484">
        <f t="shared" ca="1" si="75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6">(H125+H124)/H124-1</f>
        <v>0</v>
      </c>
      <c r="I131" s="488">
        <f t="shared" ca="1" si="76"/>
        <v>0</v>
      </c>
      <c r="J131" s="488">
        <f t="shared" ca="1" si="76"/>
        <v>0</v>
      </c>
      <c r="K131" s="488">
        <f t="shared" ca="1" si="76"/>
        <v>0</v>
      </c>
      <c r="L131" s="488">
        <f t="shared" ca="1" si="76"/>
        <v>0</v>
      </c>
      <c r="M131" s="488">
        <f t="shared" ca="1" si="76"/>
        <v>0</v>
      </c>
      <c r="N131" s="488">
        <f t="shared" ca="1" si="76"/>
        <v>0</v>
      </c>
      <c r="O131" s="488">
        <f t="shared" ca="1" si="76"/>
        <v>1</v>
      </c>
      <c r="P131" s="488">
        <f t="shared" ca="1" si="76"/>
        <v>0</v>
      </c>
      <c r="Q131" s="492">
        <f t="shared" ca="1" si="76"/>
        <v>0</v>
      </c>
      <c r="R131" s="488">
        <f t="shared" ca="1" si="76"/>
        <v>0</v>
      </c>
      <c r="S131" s="488">
        <f t="shared" ca="1" si="76"/>
        <v>0</v>
      </c>
      <c r="T131" s="488">
        <f t="shared" ca="1" si="76"/>
        <v>1</v>
      </c>
      <c r="U131" s="488">
        <f t="shared" ca="1" si="76"/>
        <v>1</v>
      </c>
      <c r="V131" s="488">
        <f t="shared" ca="1" si="76"/>
        <v>0.5</v>
      </c>
      <c r="W131" s="488">
        <f t="shared" ca="1" si="76"/>
        <v>0.33333333333333326</v>
      </c>
      <c r="X131" s="488">
        <f t="shared" ca="1" si="76"/>
        <v>0</v>
      </c>
      <c r="Y131" s="488">
        <f t="shared" ca="1" si="76"/>
        <v>0</v>
      </c>
      <c r="Z131" s="488">
        <f t="shared" ca="1" si="76"/>
        <v>0</v>
      </c>
      <c r="AA131" s="488">
        <f t="shared" ca="1" si="76"/>
        <v>0</v>
      </c>
      <c r="AB131" s="489">
        <f t="shared" ca="1" si="76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7">(H126+H129)/H129-1</f>
        <v>0</v>
      </c>
      <c r="I132" s="494">
        <f t="shared" ca="1" si="77"/>
        <v>0</v>
      </c>
      <c r="J132" s="494">
        <f t="shared" ca="1" si="77"/>
        <v>0</v>
      </c>
      <c r="K132" s="494">
        <f t="shared" ca="1" si="77"/>
        <v>0</v>
      </c>
      <c r="L132" s="494">
        <f t="shared" ca="1" si="77"/>
        <v>0</v>
      </c>
      <c r="M132" s="494">
        <f t="shared" ca="1" si="77"/>
        <v>0</v>
      </c>
      <c r="N132" s="494">
        <f t="shared" ca="1" si="77"/>
        <v>0</v>
      </c>
      <c r="O132" s="494">
        <f t="shared" ca="1" si="77"/>
        <v>0</v>
      </c>
      <c r="P132" s="494">
        <f t="shared" ca="1" si="77"/>
        <v>0</v>
      </c>
      <c r="Q132" s="497">
        <f t="shared" ca="1" si="77"/>
        <v>0</v>
      </c>
      <c r="R132" s="494">
        <f t="shared" ca="1" si="77"/>
        <v>-0.66666666666666674</v>
      </c>
      <c r="S132" s="494">
        <f t="shared" ca="1" si="77"/>
        <v>0</v>
      </c>
      <c r="T132" s="494">
        <f t="shared" ca="1" si="77"/>
        <v>-1</v>
      </c>
      <c r="U132" s="494">
        <f t="shared" ca="1" si="77"/>
        <v>0</v>
      </c>
      <c r="V132" s="494">
        <f t="shared" ca="1" si="77"/>
        <v>0</v>
      </c>
      <c r="W132" s="494">
        <f t="shared" ca="1" si="77"/>
        <v>0</v>
      </c>
      <c r="X132" s="494">
        <f t="shared" ca="1" si="77"/>
        <v>0</v>
      </c>
      <c r="Y132" s="494">
        <f t="shared" ca="1" si="77"/>
        <v>0</v>
      </c>
      <c r="Z132" s="494">
        <f t="shared" ca="1" si="77"/>
        <v>-0.2857142857142857</v>
      </c>
      <c r="AA132" s="494">
        <f t="shared" ca="1" si="77"/>
        <v>0</v>
      </c>
      <c r="AB132" s="495">
        <f t="shared" ca="1" si="77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3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8" sqref="AB8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2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1" priority="6" operator="containsText" text="Resignation">
      <formula>NOT(ISERROR(SEARCH("Resignation",G6)))</formula>
    </cfRule>
    <cfRule type="expression" dxfId="0" priority="7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402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1294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114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412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65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157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979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671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2061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783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185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237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1217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1117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1132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678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720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20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741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45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811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89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300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237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566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46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307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38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216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531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1122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1469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825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349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1334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426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167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825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454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300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445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468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923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216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692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811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1117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51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248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664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860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129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759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101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318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23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377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986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482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349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711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979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100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17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59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440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328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201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629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244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479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510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167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115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398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87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328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398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888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1217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356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48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65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727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300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790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615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832" t="s">
        <v>116</v>
      </c>
    </row>
    <row r="157" spans="3:6">
      <c r="D157" s="83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58</vt:i4>
      </vt:variant>
      <vt:variant>
        <vt:lpstr>Named Ranges</vt:lpstr>
      </vt:variant>
      <vt:variant>
        <vt:i4>46</vt:i4>
      </vt:variant>
    </vt:vector>
  </HeadingPairs>
  <TitlesOfParts>
    <vt:vector size="104" baseType="lpstr">
      <vt:lpstr>Cover</vt:lpstr>
      <vt:lpstr>Offer Overview</vt:lpstr>
      <vt:lpstr>Ben's Partnership Model</vt:lpstr>
      <vt:lpstr>Condensed P&amp;L</vt:lpstr>
      <vt:lpstr>Offer Comparison</vt:lpstr>
      <vt:lpstr>Partnership Analysis</vt:lpstr>
      <vt:lpstr>Partnership Sensitivity Tables</vt:lpstr>
      <vt:lpstr>100% Buyout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'Ben''s Partnership Model'!Print_Area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'Ben''s Partnership Model'!Print_Titles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2026-09-25T00:40:51Z</cp:lastPrinted>
  <dcterms:created xsi:type="dcterms:W3CDTF">2015-06-05T18:17:20Z</dcterms:created>
  <dcterms:modified xsi:type="dcterms:W3CDTF">2026-09-27T21:38:58Z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