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D11E1482-76C7-4736-A6FA-B56E9F31CBE4}" xr6:coauthVersionLast="47" xr6:coauthVersionMax="47" xr10:uidLastSave="{00000000-0000-0000-0000-000000000000}"/>
  <bookViews>
    <workbookView xWindow="-120" yWindow="-120" windowWidth="51840" windowHeight="21840" firstSheet="6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Full Customer List" sheetId="30" r:id="rId15"/>
    <sheet name="Client Departures" sheetId="29" r:id="rId16"/>
    <sheet name="Customer Data --&gt;" sheetId="20" r:id="rId17"/>
    <sheet name="Missing End Dates" sheetId="36" r:id="rId18"/>
    <sheet name="Revenue by Customer" sheetId="23" r:id="rId19"/>
    <sheet name="Customer List" sheetId="27" r:id="rId20"/>
    <sheet name="Customer List Mapping" sheetId="32" r:id="rId21"/>
    <sheet name="README" sheetId="21" r:id="rId22"/>
    <sheet name="Summary" sheetId="22" r:id="rId23"/>
    <sheet name="Monthly Trend" sheetId="24" r:id="rId24"/>
    <sheet name="New &amp; Lost Revenue" sheetId="25" r:id="rId25"/>
    <sheet name="Recurring vs Total" sheetId="26" r:id="rId26"/>
    <sheet name="Definitions" sheetId="28" r:id="rId27"/>
    <sheet name="Raw Data --&gt;" sheetId="6" r:id="rId28"/>
    <sheet name="Software" sheetId="12" r:id="rId29"/>
    <sheet name="Raw - 2024 PL" sheetId="3" r:id="rId30"/>
    <sheet name="Raw - 2025 PL" sheetId="4" r:id="rId31"/>
    <sheet name="Raw - 2026 PL" sheetId="5" r:id="rId32"/>
  </sheets>
  <definedNames>
    <definedName name="_xlnm._FilterDatabase" localSheetId="5">'Headcount &amp; Compensation'!A1:L91</definedName>
    <definedName name="_xlnm._FilterDatabase" localSheetId="17" hidden="1">'Missing End Dates'!$B$6:$AA$320</definedName>
    <definedName name="_xlnm._FilterDatabase" localSheetId="28">Software!A5:H67</definedName>
    <definedName name="_xlnm.Print_Area" localSheetId="0">Cover!$B$2:$Q$39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7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6">'Combined P&amp;L'!$5:$5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3" l="1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F10" i="33" s="1"/>
  <c r="AB10" i="33"/>
  <c r="AC10" i="33"/>
  <c r="AD10" i="33"/>
  <c r="J11" i="33"/>
  <c r="K11" i="33"/>
  <c r="L11" i="33"/>
  <c r="M11" i="33"/>
  <c r="N11" i="33"/>
  <c r="O11" i="33"/>
  <c r="E11" i="33" s="1"/>
  <c r="P11" i="33"/>
  <c r="Q11" i="33"/>
  <c r="R11" i="33"/>
  <c r="S11" i="33"/>
  <c r="T11" i="33"/>
  <c r="H11" i="33" s="1"/>
  <c r="U11" i="33"/>
  <c r="V11" i="33"/>
  <c r="F11" i="33" s="1"/>
  <c r="W11" i="33"/>
  <c r="X11" i="33"/>
  <c r="Y11" i="33"/>
  <c r="Z11" i="33"/>
  <c r="AA11" i="33"/>
  <c r="AB11" i="33"/>
  <c r="AC11" i="33"/>
  <c r="AD11" i="33"/>
  <c r="K9" i="33"/>
  <c r="L9" i="33"/>
  <c r="M9" i="33"/>
  <c r="N9" i="33"/>
  <c r="O9" i="33"/>
  <c r="P9" i="33"/>
  <c r="Q9" i="33"/>
  <c r="R9" i="33"/>
  <c r="S9" i="33"/>
  <c r="H9" i="33" s="1"/>
  <c r="T9" i="33"/>
  <c r="U9" i="33"/>
  <c r="V9" i="33"/>
  <c r="F9" i="33" s="1"/>
  <c r="W9" i="33"/>
  <c r="X9" i="33"/>
  <c r="Y9" i="33"/>
  <c r="Z9" i="33"/>
  <c r="AA9" i="33"/>
  <c r="AB9" i="33"/>
  <c r="AC9" i="33"/>
  <c r="AD9" i="33"/>
  <c r="J9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E10" i="33"/>
  <c r="AD91" i="33"/>
  <c r="H91" i="33" s="1"/>
  <c r="AD78" i="33"/>
  <c r="H78" i="33" s="1"/>
  <c r="AD65" i="33"/>
  <c r="H65" i="33" s="1"/>
  <c r="AD52" i="33"/>
  <c r="H52" i="33" s="1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7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AA1" i="36"/>
  <c r="Z1" i="36"/>
  <c r="Y1" i="36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B84" i="33"/>
  <c r="R83" i="33"/>
  <c r="S83" i="33" s="1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K83" i="33"/>
  <c r="L83" i="33" s="1"/>
  <c r="M83" i="33" s="1"/>
  <c r="N83" i="33" s="1"/>
  <c r="O83" i="33" s="1"/>
  <c r="P83" i="33" s="1"/>
  <c r="C135" i="33"/>
  <c r="D134" i="33" s="1"/>
  <c r="D135" i="33" s="1"/>
  <c r="E134" i="33" s="1"/>
  <c r="E135" i="33" s="1"/>
  <c r="B45" i="33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71" i="33"/>
  <c r="B58" i="33"/>
  <c r="B32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K31" i="33"/>
  <c r="L31" i="33" s="1"/>
  <c r="M31" i="33" s="1"/>
  <c r="N31" i="33" s="1"/>
  <c r="O31" i="33" s="1"/>
  <c r="P31" i="33" s="1"/>
  <c r="J1" i="33"/>
  <c r="J35" i="33" s="1"/>
  <c r="K5" i="33"/>
  <c r="K8" i="33" s="1"/>
  <c r="J8" i="33"/>
  <c r="H10" i="33" l="1"/>
  <c r="E9" i="33"/>
  <c r="J88" i="33"/>
  <c r="J89" i="33"/>
  <c r="J90" i="33"/>
  <c r="J87" i="33"/>
  <c r="F91" i="33"/>
  <c r="J75" i="33"/>
  <c r="J76" i="33"/>
  <c r="J74" i="33"/>
  <c r="J77" i="33"/>
  <c r="F78" i="33"/>
  <c r="J64" i="33"/>
  <c r="J61" i="33"/>
  <c r="J50" i="33"/>
  <c r="J63" i="33"/>
  <c r="J62" i="33"/>
  <c r="F65" i="33"/>
  <c r="J51" i="33"/>
  <c r="J48" i="33"/>
  <c r="J22" i="33" s="1"/>
  <c r="J49" i="33"/>
  <c r="F52" i="33"/>
  <c r="J37" i="33"/>
  <c r="J36" i="33"/>
  <c r="K1" i="33"/>
  <c r="L5" i="33"/>
  <c r="H15" i="35"/>
  <c r="H23" i="35"/>
  <c r="H63" i="35"/>
  <c r="G63" i="35"/>
  <c r="G23" i="35"/>
  <c r="G15" i="35"/>
  <c r="F23" i="35"/>
  <c r="F15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Q1" i="33"/>
  <c r="Q8" i="33"/>
  <c r="D12" i="33"/>
  <c r="C12" i="33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16" i="19"/>
  <c r="C16" i="19" s="1"/>
  <c r="C8" i="19" s="1"/>
  <c r="K17" i="19"/>
  <c r="C17" i="19" s="1"/>
  <c r="K20" i="19"/>
  <c r="C20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K22" i="19" s="1"/>
  <c r="C22" i="19" s="1"/>
  <c r="D12" i="12"/>
  <c r="K21" i="19" s="1"/>
  <c r="C21" i="19" s="1"/>
  <c r="C10" i="19" s="1"/>
  <c r="D11" i="12"/>
  <c r="D10" i="12"/>
  <c r="K19" i="19" s="1"/>
  <c r="C19" i="19" s="1"/>
  <c r="C9" i="19" s="1"/>
  <c r="D9" i="12"/>
  <c r="K18" i="19" s="1"/>
  <c r="C18" i="19" s="1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8" i="11"/>
  <c r="M87" i="11"/>
  <c r="M86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7" i="11"/>
  <c r="B162" i="11"/>
  <c r="N88" i="11"/>
  <c r="N86" i="11"/>
  <c r="B158" i="11"/>
  <c r="B1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0" i="11"/>
  <c r="B159" i="11"/>
  <c r="B157" i="11"/>
  <c r="B149" i="11"/>
  <c r="B143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0" i="11"/>
  <c r="B139" i="11"/>
  <c r="B1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1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3" i="11"/>
  <c r="B155" i="11"/>
  <c r="B152" i="11"/>
  <c r="B154" i="11"/>
  <c r="B1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7" i="11"/>
  <c r="B146" i="11"/>
  <c r="B138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2" i="11"/>
  <c r="B137" i="11"/>
  <c r="B136" i="11"/>
  <c r="K19" i="11"/>
  <c r="E20" i="9" s="1"/>
  <c r="K20" i="11"/>
  <c r="E21" i="9" s="1"/>
  <c r="K21" i="11"/>
  <c r="E22" i="9" s="1"/>
  <c r="B121" i="11"/>
  <c r="B117" i="11"/>
  <c r="B118" i="11"/>
  <c r="B119" i="11"/>
  <c r="B120" i="11"/>
  <c r="B116" i="11"/>
  <c r="B133" i="11"/>
  <c r="B113" i="11"/>
  <c r="B114" i="11"/>
  <c r="B107" i="11"/>
  <c r="B108" i="11"/>
  <c r="B109" i="11"/>
  <c r="B110" i="11"/>
  <c r="B111" i="11"/>
  <c r="B112" i="11"/>
  <c r="B106" i="11"/>
  <c r="I169" i="11"/>
  <c r="J168" i="11" s="1"/>
  <c r="J169" i="11" s="1"/>
  <c r="G169" i="11"/>
  <c r="C169" i="11"/>
  <c r="D168" i="11" s="1"/>
  <c r="D169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3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35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I83" i="2"/>
  <c r="AH83" i="2"/>
  <c r="AG83" i="2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5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7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9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8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6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1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6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5" i="11" s="1"/>
  <c r="AQ19" i="2"/>
  <c r="AF55" i="10" s="1"/>
  <c r="AP19" i="2"/>
  <c r="AR10" i="11" s="1"/>
  <c r="AR95" i="11" s="1"/>
  <c r="AO19" i="2"/>
  <c r="AQ10" i="11" s="1"/>
  <c r="AQ95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5" i="11" s="1"/>
  <c r="AI19" i="2"/>
  <c r="X55" i="10" s="1"/>
  <c r="AH19" i="2"/>
  <c r="AJ10" i="11" s="1"/>
  <c r="AJ95" i="11" s="1"/>
  <c r="AG19" i="2"/>
  <c r="AI10" i="11" s="1"/>
  <c r="AI95" i="11" s="1"/>
  <c r="AF19" i="2"/>
  <c r="U55" i="10" s="1"/>
  <c r="AE19" i="2"/>
  <c r="AG10" i="11" s="1"/>
  <c r="AG95" i="11" s="1"/>
  <c r="AD19" i="2"/>
  <c r="AF10" i="11" s="1"/>
  <c r="AF95" i="11" s="1"/>
  <c r="AC19" i="2"/>
  <c r="R55" i="10" s="1"/>
  <c r="AB19" i="2"/>
  <c r="AD10" i="11" s="1"/>
  <c r="AD95" i="11" s="1"/>
  <c r="AA19" i="2"/>
  <c r="P55" i="10" s="1"/>
  <c r="Z19" i="2"/>
  <c r="O55" i="10" s="1"/>
  <c r="Y19" i="2"/>
  <c r="AA10" i="11" s="1"/>
  <c r="AA95" i="11" s="1"/>
  <c r="X19" i="2"/>
  <c r="M55" i="10" s="1"/>
  <c r="W19" i="2"/>
  <c r="Y10" i="11" s="1"/>
  <c r="Y95" i="11" s="1"/>
  <c r="V19" i="2"/>
  <c r="K55" i="10" s="1"/>
  <c r="U19" i="2"/>
  <c r="J55" i="10" s="1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E55" i="10" s="1"/>
  <c r="O19" i="2"/>
  <c r="Q10" i="11" s="1"/>
  <c r="Q95" i="11" s="1"/>
  <c r="N19" i="2"/>
  <c r="P10" i="11" s="1"/>
  <c r="P95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K87" i="33" l="1"/>
  <c r="K90" i="33"/>
  <c r="K89" i="33"/>
  <c r="K88" i="33"/>
  <c r="J24" i="33"/>
  <c r="J23" i="33"/>
  <c r="Q89" i="33"/>
  <c r="Q88" i="33"/>
  <c r="Q87" i="33"/>
  <c r="Q90" i="33"/>
  <c r="Q76" i="33"/>
  <c r="Q75" i="33"/>
  <c r="Q77" i="33"/>
  <c r="Q74" i="33"/>
  <c r="K77" i="33"/>
  <c r="K74" i="33"/>
  <c r="K76" i="33"/>
  <c r="K75" i="33"/>
  <c r="K63" i="33"/>
  <c r="K62" i="33"/>
  <c r="K50" i="33"/>
  <c r="K61" i="33"/>
  <c r="K64" i="33"/>
  <c r="Q61" i="33"/>
  <c r="Q64" i="33"/>
  <c r="Q50" i="33"/>
  <c r="Q63" i="33"/>
  <c r="Q62" i="33"/>
  <c r="K51" i="33"/>
  <c r="K48" i="33"/>
  <c r="K49" i="33"/>
  <c r="Q48" i="33"/>
  <c r="Q49" i="33"/>
  <c r="Q51" i="33"/>
  <c r="K35" i="33"/>
  <c r="K36" i="33"/>
  <c r="K23" i="33" s="1"/>
  <c r="K37" i="33"/>
  <c r="K24" i="33" s="1"/>
  <c r="Q37" i="33"/>
  <c r="Q36" i="33"/>
  <c r="Q35" i="33"/>
  <c r="B2" i="32"/>
  <c r="B2" i="36"/>
  <c r="D61" i="12"/>
  <c r="K27" i="19" s="1"/>
  <c r="D27" i="19" s="1"/>
  <c r="AD13" i="33"/>
  <c r="AI49" i="11"/>
  <c r="AJ49" i="11"/>
  <c r="AK49" i="11"/>
  <c r="R107" i="16"/>
  <c r="AL49" i="11"/>
  <c r="S5" i="33"/>
  <c r="L1" i="33"/>
  <c r="M5" i="33"/>
  <c r="L8" i="33"/>
  <c r="E23" i="35"/>
  <c r="C23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K38" i="33" s="1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9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AE35" i="11"/>
  <c r="AJ35" i="11"/>
  <c r="I16" i="17" s="1"/>
  <c r="U35" i="11"/>
  <c r="Y61" i="1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0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6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6" i="11" s="1"/>
  <c r="Y99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6" i="11" s="1"/>
  <c r="AP30" i="11"/>
  <c r="I53" i="2"/>
  <c r="X27" i="11"/>
  <c r="AN27" i="11"/>
  <c r="M8" i="17" s="1"/>
  <c r="H68" i="2"/>
  <c r="H86" i="2"/>
  <c r="AF32" i="11"/>
  <c r="AF97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7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5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97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6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6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5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6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5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6" i="11" s="1"/>
  <c r="P99" i="11" s="1"/>
  <c r="AF30" i="11"/>
  <c r="AF96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5" i="11" s="1"/>
  <c r="AS10" i="11"/>
  <c r="Q12" i="11"/>
  <c r="AG12" i="11"/>
  <c r="AE11" i="11"/>
  <c r="AD28" i="11"/>
  <c r="AT28" i="11"/>
  <c r="AE29" i="11"/>
  <c r="P33" i="11"/>
  <c r="AF33" i="11"/>
  <c r="Q30" i="11"/>
  <c r="Q96" i="11" s="1"/>
  <c r="Q99" i="11" s="1"/>
  <c r="AG30" i="11"/>
  <c r="AG96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6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6" i="11" s="1"/>
  <c r="AH30" i="11"/>
  <c r="AQ34" i="11"/>
  <c r="P15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5" i="11" s="1"/>
  <c r="Q13" i="11"/>
  <c r="AG13" i="11"/>
  <c r="T7" i="11"/>
  <c r="AJ7" i="11"/>
  <c r="H8" i="9" s="1"/>
  <c r="AG11" i="11"/>
  <c r="P28" i="11"/>
  <c r="AF28" i="11"/>
  <c r="Q29" i="11"/>
  <c r="AG29" i="11"/>
  <c r="S30" i="11"/>
  <c r="S96" i="11" s="1"/>
  <c r="S99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6" i="11" s="1"/>
  <c r="T99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5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T33" i="11"/>
  <c r="AJ33" i="11"/>
  <c r="I14" i="17" s="1"/>
  <c r="U30" i="11"/>
  <c r="U96" i="11" s="1"/>
  <c r="U99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5" i="11" s="1"/>
  <c r="U13" i="11"/>
  <c r="AN12" i="11"/>
  <c r="L13" i="9" s="1"/>
  <c r="W33" i="11"/>
  <c r="H19" i="2"/>
  <c r="AB10" i="11"/>
  <c r="AB95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6" i="11" s="1"/>
  <c r="V99" i="11" s="1"/>
  <c r="AL30" i="11"/>
  <c r="K40" i="2"/>
  <c r="T27" i="11"/>
  <c r="AJ27" i="11"/>
  <c r="I8" i="17" s="1"/>
  <c r="AB31" i="11"/>
  <c r="AB84" i="11" s="1"/>
  <c r="AR31" i="11"/>
  <c r="H87" i="2"/>
  <c r="AB32" i="11"/>
  <c r="AB97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6" i="11" s="1"/>
  <c r="AM30" i="11"/>
  <c r="H43" i="2"/>
  <c r="U27" i="11"/>
  <c r="AK27" i="11"/>
  <c r="J8" i="17" s="1"/>
  <c r="J31" i="17" s="1"/>
  <c r="AC31" i="11"/>
  <c r="AC84" i="11" s="1"/>
  <c r="AS31" i="11"/>
  <c r="AC32" i="11"/>
  <c r="AC97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Q23" i="33" l="1"/>
  <c r="Q24" i="33"/>
  <c r="Q22" i="33"/>
  <c r="K22" i="33"/>
  <c r="L87" i="33"/>
  <c r="L90" i="33"/>
  <c r="L89" i="33"/>
  <c r="L88" i="33"/>
  <c r="R89" i="33"/>
  <c r="R88" i="33"/>
  <c r="R87" i="33"/>
  <c r="R90" i="33"/>
  <c r="L77" i="33"/>
  <c r="L74" i="33"/>
  <c r="L76" i="33"/>
  <c r="L75" i="33"/>
  <c r="R76" i="33"/>
  <c r="R75" i="33"/>
  <c r="R77" i="33"/>
  <c r="R74" i="33"/>
  <c r="R61" i="33"/>
  <c r="R50" i="33"/>
  <c r="R64" i="33"/>
  <c r="R62" i="33"/>
  <c r="R63" i="33"/>
  <c r="L63" i="33"/>
  <c r="L62" i="33"/>
  <c r="L50" i="33"/>
  <c r="L61" i="33"/>
  <c r="L64" i="33"/>
  <c r="L51" i="33"/>
  <c r="L49" i="33"/>
  <c r="L48" i="33"/>
  <c r="R48" i="33"/>
  <c r="R49" i="33"/>
  <c r="R51" i="33"/>
  <c r="R37" i="33"/>
  <c r="R24" i="33" s="1"/>
  <c r="R36" i="33"/>
  <c r="R35" i="33"/>
  <c r="H13" i="33"/>
  <c r="F13" i="33"/>
  <c r="L35" i="33"/>
  <c r="L22" i="33" s="1"/>
  <c r="L36" i="33"/>
  <c r="L37" i="33"/>
  <c r="L24" i="33" s="1"/>
  <c r="Q38" i="33"/>
  <c r="Q25" i="33" s="1"/>
  <c r="R34" i="33"/>
  <c r="AD39" i="33"/>
  <c r="L73" i="33"/>
  <c r="L34" i="33"/>
  <c r="P38" i="17"/>
  <c r="J73" i="33"/>
  <c r="J86" i="33"/>
  <c r="J60" i="33"/>
  <c r="J47" i="33"/>
  <c r="J34" i="33"/>
  <c r="L86" i="33"/>
  <c r="L60" i="33"/>
  <c r="L47" i="33"/>
  <c r="R86" i="33"/>
  <c r="C57" i="10"/>
  <c r="R73" i="33"/>
  <c r="S62" i="11"/>
  <c r="J38" i="33"/>
  <c r="R47" i="33"/>
  <c r="P62" i="11"/>
  <c r="Q86" i="33"/>
  <c r="Q60" i="33"/>
  <c r="Q34" i="33"/>
  <c r="Q47" i="33"/>
  <c r="Q73" i="33"/>
  <c r="R60" i="33"/>
  <c r="H33" i="17"/>
  <c r="Y62" i="11"/>
  <c r="K25" i="33"/>
  <c r="E47" i="17"/>
  <c r="I47" i="17"/>
  <c r="K60" i="33"/>
  <c r="K86" i="33"/>
  <c r="K47" i="33"/>
  <c r="K73" i="33"/>
  <c r="K34" i="33"/>
  <c r="M86" i="33"/>
  <c r="S86" i="33"/>
  <c r="S1" i="33"/>
  <c r="M73" i="33"/>
  <c r="M47" i="33"/>
  <c r="M60" i="33"/>
  <c r="S60" i="33"/>
  <c r="S47" i="33"/>
  <c r="S73" i="33"/>
  <c r="S8" i="33"/>
  <c r="M1" i="33"/>
  <c r="M34" i="33"/>
  <c r="L38" i="33"/>
  <c r="T5" i="33"/>
  <c r="S34" i="33"/>
  <c r="R38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S60" i="17" s="1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6" i="11"/>
  <c r="L11" i="17"/>
  <c r="AR97" i="11"/>
  <c r="Q13" i="17"/>
  <c r="AQ84" i="11"/>
  <c r="P12" i="17"/>
  <c r="AN97" i="11"/>
  <c r="M13" i="17"/>
  <c r="C129" i="11"/>
  <c r="K33" i="11" s="1"/>
  <c r="S14" i="17"/>
  <c r="K31" i="17"/>
  <c r="R32" i="17"/>
  <c r="P37" i="17"/>
  <c r="Q32" i="17"/>
  <c r="P31" i="17"/>
  <c r="N38" i="17"/>
  <c r="AQ97" i="11"/>
  <c r="AQ99" i="11" s="1"/>
  <c r="P13" i="17"/>
  <c r="AO97" i="11"/>
  <c r="N13" i="17"/>
  <c r="AN84" i="11"/>
  <c r="M12" i="17"/>
  <c r="AT84" i="11"/>
  <c r="S12" i="17"/>
  <c r="AJ97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27" i="11"/>
  <c r="K29" i="11" s="1"/>
  <c r="K21" i="8" s="1"/>
  <c r="S10" i="17"/>
  <c r="AI97" i="11"/>
  <c r="H13" i="17"/>
  <c r="K32" i="17"/>
  <c r="M38" i="17"/>
  <c r="Q37" i="17"/>
  <c r="M39" i="17"/>
  <c r="G41" i="9"/>
  <c r="AH96" i="11"/>
  <c r="G11" i="17"/>
  <c r="AI84" i="11"/>
  <c r="H12" i="17"/>
  <c r="L37" i="17"/>
  <c r="O33" i="17"/>
  <c r="R38" i="17"/>
  <c r="AH97" i="11"/>
  <c r="G13" i="17"/>
  <c r="AJ96" i="11"/>
  <c r="AJ99" i="11" s="1"/>
  <c r="I11" i="17"/>
  <c r="C130" i="11"/>
  <c r="K34" i="11" s="1"/>
  <c r="K26" i="8" s="1"/>
  <c r="S15" i="17"/>
  <c r="AI96" i="11"/>
  <c r="H11" i="17"/>
  <c r="AK97" i="11"/>
  <c r="J13" i="17"/>
  <c r="AH84" i="11"/>
  <c r="G12" i="17"/>
  <c r="AP96" i="11"/>
  <c r="O11" i="17"/>
  <c r="S31" i="17"/>
  <c r="P32" i="17"/>
  <c r="R31" i="17"/>
  <c r="AM84" i="11"/>
  <c r="L12" i="17"/>
  <c r="G13" i="9"/>
  <c r="H43" i="9" s="1"/>
  <c r="G43" i="9"/>
  <c r="AK96" i="11"/>
  <c r="J11" i="17"/>
  <c r="AP97" i="11"/>
  <c r="O13" i="17"/>
  <c r="AL97" i="11"/>
  <c r="K13" i="17"/>
  <c r="AK84" i="11"/>
  <c r="J12" i="17"/>
  <c r="AS96" i="11"/>
  <c r="R11" i="17"/>
  <c r="K34" i="18"/>
  <c r="S59" i="17"/>
  <c r="AL96" i="11"/>
  <c r="K11" i="17"/>
  <c r="AP84" i="11"/>
  <c r="O12" i="17"/>
  <c r="C125" i="11"/>
  <c r="K28" i="11" s="1"/>
  <c r="K20" i="8" s="1"/>
  <c r="S9" i="17"/>
  <c r="AL84" i="11"/>
  <c r="K12" i="17"/>
  <c r="N31" i="17"/>
  <c r="AS97" i="11"/>
  <c r="R13" i="17"/>
  <c r="S36" i="17" s="1"/>
  <c r="AR96" i="11"/>
  <c r="AR99" i="11" s="1"/>
  <c r="Q11" i="17"/>
  <c r="C132" i="11"/>
  <c r="S16" i="17"/>
  <c r="R62" i="11"/>
  <c r="I31" i="17"/>
  <c r="I33" i="17"/>
  <c r="K37" i="17"/>
  <c r="AS84" i="11"/>
  <c r="R12" i="17"/>
  <c r="AO96" i="11"/>
  <c r="N11" i="17"/>
  <c r="M32" i="17"/>
  <c r="I39" i="17"/>
  <c r="AM97" i="11"/>
  <c r="L13" i="17"/>
  <c r="AN96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9" i="11"/>
  <c r="O107" i="16"/>
  <c r="X99" i="11"/>
  <c r="AQ62" i="11"/>
  <c r="P72" i="17" s="1"/>
  <c r="P71" i="17" s="1"/>
  <c r="K34" i="8"/>
  <c r="N43" i="9"/>
  <c r="C112" i="11"/>
  <c r="K13" i="11" s="1"/>
  <c r="K14" i="18" s="1"/>
  <c r="R14" i="9"/>
  <c r="R44" i="9" s="1"/>
  <c r="AK95" i="11"/>
  <c r="I11" i="9"/>
  <c r="J41" i="9" s="1"/>
  <c r="C108" i="11"/>
  <c r="K8" i="11" s="1"/>
  <c r="K9" i="18" s="1"/>
  <c r="R9" i="9"/>
  <c r="R39" i="9" s="1"/>
  <c r="C110" i="11"/>
  <c r="K12" i="11" s="1"/>
  <c r="K13" i="18" s="1"/>
  <c r="R13" i="9"/>
  <c r="R43" i="9" s="1"/>
  <c r="AO95" i="11"/>
  <c r="M11" i="9"/>
  <c r="M16" i="9" s="1"/>
  <c r="AN95" i="11"/>
  <c r="L11" i="9"/>
  <c r="L16" i="9" s="1"/>
  <c r="AM95" i="11"/>
  <c r="K11" i="9"/>
  <c r="K41" i="9" s="1"/>
  <c r="AS95" i="11"/>
  <c r="Q11" i="9"/>
  <c r="R41" i="9" s="1"/>
  <c r="AP95" i="11"/>
  <c r="N11" i="9"/>
  <c r="N16" i="9" s="1"/>
  <c r="AF99" i="11"/>
  <c r="AD99" i="11"/>
  <c r="R99" i="11"/>
  <c r="AE99" i="11"/>
  <c r="Z99" i="11"/>
  <c r="AC99" i="11"/>
  <c r="AB99" i="11"/>
  <c r="W99" i="11"/>
  <c r="C128" i="11"/>
  <c r="K32" i="11" s="1"/>
  <c r="AT97" i="11"/>
  <c r="C131" i="11"/>
  <c r="K30" i="11" s="1"/>
  <c r="AT96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U101" i="2" s="1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4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9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8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AD100" i="2"/>
  <c r="Q79" i="2"/>
  <c r="Q101" i="2" s="1"/>
  <c r="AB79" i="2"/>
  <c r="AE113" i="2"/>
  <c r="H113" i="2" s="1"/>
  <c r="AP79" i="2"/>
  <c r="AK100" i="2"/>
  <c r="AI79" i="2"/>
  <c r="AA79" i="2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L23" i="33" l="1"/>
  <c r="M87" i="33"/>
  <c r="M90" i="33"/>
  <c r="M89" i="33"/>
  <c r="M88" i="33"/>
  <c r="R22" i="33"/>
  <c r="R23" i="33"/>
  <c r="S89" i="33"/>
  <c r="S88" i="33"/>
  <c r="S87" i="33"/>
  <c r="S90" i="33"/>
  <c r="L21" i="33"/>
  <c r="R21" i="33"/>
  <c r="M77" i="33"/>
  <c r="M74" i="33"/>
  <c r="M76" i="33"/>
  <c r="M75" i="33"/>
  <c r="S76" i="33"/>
  <c r="S75" i="33"/>
  <c r="S77" i="33"/>
  <c r="S74" i="33"/>
  <c r="S61" i="33"/>
  <c r="S63" i="33"/>
  <c r="S64" i="33"/>
  <c r="S62" i="33"/>
  <c r="S50" i="33"/>
  <c r="M63" i="33"/>
  <c r="M62" i="33"/>
  <c r="M61" i="33"/>
  <c r="M50" i="33"/>
  <c r="M64" i="33"/>
  <c r="S48" i="33"/>
  <c r="S49" i="33"/>
  <c r="S51" i="33"/>
  <c r="M49" i="33"/>
  <c r="M51" i="33"/>
  <c r="M48" i="33"/>
  <c r="H39" i="33"/>
  <c r="F39" i="33"/>
  <c r="S36" i="33"/>
  <c r="S37" i="33"/>
  <c r="S24" i="33" s="1"/>
  <c r="S35" i="33"/>
  <c r="M36" i="33"/>
  <c r="M35" i="33"/>
  <c r="M22" i="33" s="1"/>
  <c r="M37" i="33"/>
  <c r="M24" i="33" s="1"/>
  <c r="M21" i="33"/>
  <c r="J21" i="33"/>
  <c r="K21" i="33"/>
  <c r="Q21" i="33"/>
  <c r="AE101" i="2"/>
  <c r="J25" i="33"/>
  <c r="AA101" i="2"/>
  <c r="AD26" i="33"/>
  <c r="F26" i="33" s="1"/>
  <c r="AK101" i="2"/>
  <c r="S21" i="33"/>
  <c r="R25" i="33"/>
  <c r="L25" i="33"/>
  <c r="N86" i="33"/>
  <c r="S38" i="33"/>
  <c r="T86" i="33"/>
  <c r="T60" i="33"/>
  <c r="T73" i="33"/>
  <c r="T47" i="33"/>
  <c r="N73" i="33"/>
  <c r="N47" i="33"/>
  <c r="N60" i="33"/>
  <c r="U5" i="33"/>
  <c r="T34" i="33"/>
  <c r="T8" i="33"/>
  <c r="T1" i="33"/>
  <c r="N34" i="33"/>
  <c r="N1" i="33"/>
  <c r="M38" i="33"/>
  <c r="O5" i="33"/>
  <c r="N8" i="33"/>
  <c r="E34" i="35"/>
  <c r="D10" i="31"/>
  <c r="D13" i="31" s="1"/>
  <c r="E11" i="19"/>
  <c r="F11" i="19" s="1"/>
  <c r="C10" i="31"/>
  <c r="C13" i="31" s="1"/>
  <c r="AL99" i="11"/>
  <c r="S17" i="17"/>
  <c r="AH99" i="11"/>
  <c r="O17" i="17"/>
  <c r="AM99" i="11"/>
  <c r="G17" i="17"/>
  <c r="AO99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9" i="11"/>
  <c r="L35" i="17"/>
  <c r="AI99" i="11"/>
  <c r="H35" i="17"/>
  <c r="E10" i="17"/>
  <c r="K21" i="18"/>
  <c r="N32" i="9"/>
  <c r="O85" i="17"/>
  <c r="R36" i="17"/>
  <c r="S38" i="17"/>
  <c r="Q35" i="17"/>
  <c r="L34" i="17"/>
  <c r="AP99" i="11"/>
  <c r="R35" i="17"/>
  <c r="E15" i="17"/>
  <c r="K26" i="18"/>
  <c r="M34" i="17"/>
  <c r="L17" i="17"/>
  <c r="I34" i="17"/>
  <c r="K22" i="18"/>
  <c r="E11" i="17"/>
  <c r="AS99" i="11"/>
  <c r="R34" i="17"/>
  <c r="R17" i="17"/>
  <c r="I17" i="17"/>
  <c r="I40" i="17" s="1"/>
  <c r="L36" i="17"/>
  <c r="N17" i="17"/>
  <c r="K35" i="17"/>
  <c r="P17" i="17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99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6" i="11"/>
  <c r="K61" i="8" s="1"/>
  <c r="K22" i="8"/>
  <c r="E14" i="9"/>
  <c r="K14" i="8"/>
  <c r="K97" i="11"/>
  <c r="K62" i="8" s="1"/>
  <c r="K24" i="8"/>
  <c r="K25" i="8"/>
  <c r="I41" i="9"/>
  <c r="E13" i="9"/>
  <c r="K13" i="8"/>
  <c r="E9" i="9"/>
  <c r="K9" i="8"/>
  <c r="Q16" i="9"/>
  <c r="L41" i="9"/>
  <c r="M41" i="9"/>
  <c r="Q41" i="9"/>
  <c r="AT99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4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M23" i="33" l="1"/>
  <c r="S23" i="33"/>
  <c r="N90" i="33"/>
  <c r="N89" i="33"/>
  <c r="N87" i="33"/>
  <c r="N88" i="33"/>
  <c r="T88" i="33"/>
  <c r="T89" i="33"/>
  <c r="T87" i="33"/>
  <c r="T90" i="33"/>
  <c r="S22" i="33"/>
  <c r="T76" i="33"/>
  <c r="T75" i="33"/>
  <c r="T77" i="33"/>
  <c r="T74" i="33"/>
  <c r="N77" i="33"/>
  <c r="N74" i="33"/>
  <c r="N76" i="33"/>
  <c r="N75" i="33"/>
  <c r="T21" i="33"/>
  <c r="T64" i="33"/>
  <c r="T62" i="33"/>
  <c r="T63" i="33"/>
  <c r="T61" i="33"/>
  <c r="T50" i="33"/>
  <c r="N63" i="33"/>
  <c r="N62" i="33"/>
  <c r="N61" i="33"/>
  <c r="N50" i="33"/>
  <c r="N64" i="33"/>
  <c r="N49" i="33"/>
  <c r="N51" i="33"/>
  <c r="N48" i="33"/>
  <c r="T48" i="33"/>
  <c r="T49" i="33"/>
  <c r="T51" i="33"/>
  <c r="N37" i="33"/>
  <c r="N24" i="33" s="1"/>
  <c r="N35" i="33"/>
  <c r="N22" i="33" s="1"/>
  <c r="N36" i="33"/>
  <c r="T35" i="33"/>
  <c r="T36" i="33"/>
  <c r="T37" i="33"/>
  <c r="T24" i="33" s="1"/>
  <c r="P40" i="17"/>
  <c r="H26" i="33"/>
  <c r="M25" i="33"/>
  <c r="N21" i="33"/>
  <c r="S25" i="33"/>
  <c r="O86" i="33"/>
  <c r="U86" i="33"/>
  <c r="O47" i="33"/>
  <c r="O73" i="33"/>
  <c r="O60" i="33"/>
  <c r="U60" i="33"/>
  <c r="U73" i="33"/>
  <c r="U47" i="33"/>
  <c r="N38" i="33"/>
  <c r="T38" i="33"/>
  <c r="V5" i="33"/>
  <c r="U34" i="33"/>
  <c r="U8" i="33"/>
  <c r="U1" i="33"/>
  <c r="O34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D158" i="2" s="1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5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48" i="2"/>
  <c r="F148" i="2" s="1"/>
  <c r="AL102" i="2"/>
  <c r="I102" i="2" s="1"/>
  <c r="Z102" i="2"/>
  <c r="T22" i="33" l="1"/>
  <c r="T23" i="33"/>
  <c r="N23" i="33"/>
  <c r="O87" i="33"/>
  <c r="O89" i="33"/>
  <c r="O90" i="33"/>
  <c r="O88" i="33"/>
  <c r="U89" i="33"/>
  <c r="U88" i="33"/>
  <c r="U87" i="33"/>
  <c r="U90" i="33"/>
  <c r="O74" i="33"/>
  <c r="O76" i="33"/>
  <c r="O75" i="33"/>
  <c r="O77" i="33"/>
  <c r="U75" i="33"/>
  <c r="U76" i="33"/>
  <c r="U77" i="33"/>
  <c r="U74" i="33"/>
  <c r="O61" i="33"/>
  <c r="O50" i="33"/>
  <c r="O64" i="33"/>
  <c r="O62" i="33"/>
  <c r="O63" i="33"/>
  <c r="U64" i="33"/>
  <c r="U63" i="33"/>
  <c r="U62" i="33"/>
  <c r="U50" i="33"/>
  <c r="U61" i="33"/>
  <c r="U48" i="33"/>
  <c r="U49" i="33"/>
  <c r="U51" i="33"/>
  <c r="O49" i="33"/>
  <c r="O51" i="33"/>
  <c r="O48" i="33"/>
  <c r="U36" i="33"/>
  <c r="U23" i="33" s="1"/>
  <c r="U37" i="33"/>
  <c r="U24" i="33" s="1"/>
  <c r="U35" i="33"/>
  <c r="U22" i="33" s="1"/>
  <c r="O37" i="33"/>
  <c r="O24" i="33" s="1"/>
  <c r="O35" i="33"/>
  <c r="O22" i="33" s="1"/>
  <c r="O36" i="33"/>
  <c r="O23" i="33" s="1"/>
  <c r="O21" i="33"/>
  <c r="U21" i="33"/>
  <c r="N25" i="33"/>
  <c r="T25" i="33"/>
  <c r="V86" i="33"/>
  <c r="P86" i="33"/>
  <c r="E86" i="33" s="1"/>
  <c r="V60" i="33"/>
  <c r="V73" i="33"/>
  <c r="V47" i="33"/>
  <c r="P60" i="33"/>
  <c r="P73" i="33"/>
  <c r="P47" i="33"/>
  <c r="W5" i="33"/>
  <c r="V34" i="33"/>
  <c r="V8" i="33"/>
  <c r="V1" i="33"/>
  <c r="O38" i="33"/>
  <c r="U38" i="33"/>
  <c r="P8" i="33"/>
  <c r="P1" i="33"/>
  <c r="P34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V88" i="33" l="1"/>
  <c r="V87" i="33"/>
  <c r="V90" i="33"/>
  <c r="V89" i="33"/>
  <c r="P89" i="33"/>
  <c r="E89" i="33" s="1"/>
  <c r="P88" i="33"/>
  <c r="E88" i="33" s="1"/>
  <c r="P90" i="33"/>
  <c r="E90" i="33" s="1"/>
  <c r="P87" i="33"/>
  <c r="E87" i="33" s="1"/>
  <c r="P76" i="33"/>
  <c r="E76" i="33" s="1"/>
  <c r="P75" i="33"/>
  <c r="E75" i="33" s="1"/>
  <c r="P77" i="33"/>
  <c r="E77" i="33" s="1"/>
  <c r="P74" i="33"/>
  <c r="E74" i="33" s="1"/>
  <c r="V75" i="33"/>
  <c r="V77" i="33"/>
  <c r="V74" i="33"/>
  <c r="V76" i="33"/>
  <c r="V50" i="33"/>
  <c r="V64" i="33"/>
  <c r="V63" i="33"/>
  <c r="V62" i="33"/>
  <c r="V61" i="33"/>
  <c r="P61" i="33"/>
  <c r="E61" i="33" s="1"/>
  <c r="P64" i="33"/>
  <c r="E64" i="33" s="1"/>
  <c r="P50" i="33"/>
  <c r="E50" i="33" s="1"/>
  <c r="P63" i="33"/>
  <c r="E63" i="33" s="1"/>
  <c r="P62" i="33"/>
  <c r="E62" i="33" s="1"/>
  <c r="P48" i="33"/>
  <c r="E48" i="33" s="1"/>
  <c r="P49" i="33"/>
  <c r="E49" i="33" s="1"/>
  <c r="P51" i="33"/>
  <c r="E51" i="33" s="1"/>
  <c r="V48" i="33"/>
  <c r="V49" i="33"/>
  <c r="V51" i="33"/>
  <c r="P37" i="33"/>
  <c r="P35" i="33"/>
  <c r="P36" i="33"/>
  <c r="V36" i="33"/>
  <c r="V23" i="33" s="1"/>
  <c r="V35" i="33"/>
  <c r="V22" i="33" s="1"/>
  <c r="V37" i="33"/>
  <c r="V24" i="33" s="1"/>
  <c r="V21" i="33"/>
  <c r="P21" i="33"/>
  <c r="E21" i="33" s="1"/>
  <c r="U25" i="33"/>
  <c r="O25" i="33"/>
  <c r="W86" i="33"/>
  <c r="W60" i="33"/>
  <c r="W73" i="33"/>
  <c r="W47" i="33"/>
  <c r="E47" i="33"/>
  <c r="E73" i="33"/>
  <c r="E8" i="33"/>
  <c r="E60" i="33"/>
  <c r="E34" i="33"/>
  <c r="V38" i="33"/>
  <c r="P38" i="33"/>
  <c r="X5" i="33"/>
  <c r="W34" i="33"/>
  <c r="W1" i="33"/>
  <c r="W8" i="33"/>
  <c r="E31" i="9"/>
  <c r="E85" i="17"/>
  <c r="F126" i="2"/>
  <c r="D162" i="2" s="1"/>
  <c r="H114" i="2"/>
  <c r="AB67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E36" i="33" l="1"/>
  <c r="P23" i="33"/>
  <c r="E23" i="33" s="1"/>
  <c r="E35" i="33"/>
  <c r="P22" i="33"/>
  <c r="E22" i="33" s="1"/>
  <c r="E37" i="33"/>
  <c r="P24" i="33"/>
  <c r="E24" i="33" s="1"/>
  <c r="W88" i="33"/>
  <c r="W87" i="33"/>
  <c r="W90" i="33"/>
  <c r="W89" i="33"/>
  <c r="W75" i="33"/>
  <c r="W77" i="33"/>
  <c r="W74" i="33"/>
  <c r="W76" i="33"/>
  <c r="W50" i="33"/>
  <c r="W64" i="33"/>
  <c r="W61" i="33"/>
  <c r="W63" i="33"/>
  <c r="W62" i="33"/>
  <c r="W48" i="33"/>
  <c r="W49" i="33"/>
  <c r="W51" i="33"/>
  <c r="W36" i="33"/>
  <c r="W23" i="33" s="1"/>
  <c r="W37" i="33"/>
  <c r="W24" i="33" s="1"/>
  <c r="W35" i="33"/>
  <c r="W22" i="33" s="1"/>
  <c r="P25" i="33"/>
  <c r="E25" i="33" s="1"/>
  <c r="W21" i="33"/>
  <c r="V25" i="33"/>
  <c r="X86" i="33"/>
  <c r="X73" i="33"/>
  <c r="X47" i="33"/>
  <c r="X60" i="33"/>
  <c r="E12" i="33"/>
  <c r="E38" i="33"/>
  <c r="Y5" i="33"/>
  <c r="X34" i="33"/>
  <c r="X8" i="33"/>
  <c r="X1" i="33"/>
  <c r="W38" i="33"/>
  <c r="AT78" i="11"/>
  <c r="AT80" i="11" s="1"/>
  <c r="S78" i="11"/>
  <c r="S80" i="11" s="1"/>
  <c r="AO78" i="11"/>
  <c r="AO80" i="11" s="1"/>
  <c r="Y78" i="11"/>
  <c r="Y80" i="11" s="1"/>
  <c r="AA78" i="11"/>
  <c r="AA80" i="11" s="1"/>
  <c r="X5" i="11"/>
  <c r="D166" i="2"/>
  <c r="AE78" i="11" s="1"/>
  <c r="AE80" i="11" s="1"/>
  <c r="X88" i="33" l="1"/>
  <c r="X87" i="33"/>
  <c r="X90" i="33"/>
  <c r="X89" i="33"/>
  <c r="X75" i="33"/>
  <c r="X77" i="33"/>
  <c r="X74" i="33"/>
  <c r="X76" i="33"/>
  <c r="X64" i="33"/>
  <c r="X50" i="33"/>
  <c r="X61" i="33"/>
  <c r="X63" i="33"/>
  <c r="X62" i="33"/>
  <c r="X48" i="33"/>
  <c r="X49" i="33"/>
  <c r="X51" i="33"/>
  <c r="X36" i="33"/>
  <c r="X37" i="33"/>
  <c r="X24" i="33" s="1"/>
  <c r="X35" i="33"/>
  <c r="X22" i="33" s="1"/>
  <c r="AG78" i="11"/>
  <c r="AG80" i="11" s="1"/>
  <c r="AG81" i="11" s="1"/>
  <c r="AC78" i="11"/>
  <c r="AC80" i="11" s="1"/>
  <c r="AI78" i="11"/>
  <c r="AI80" i="11" s="1"/>
  <c r="AI81" i="11" s="1"/>
  <c r="AD78" i="11"/>
  <c r="AD80" i="11" s="1"/>
  <c r="AF78" i="11"/>
  <c r="AF80" i="11" s="1"/>
  <c r="AF81" i="11" s="1"/>
  <c r="AB78" i="11"/>
  <c r="AB80" i="11" s="1"/>
  <c r="AL78" i="11"/>
  <c r="AL80" i="11" s="1"/>
  <c r="AJ78" i="11"/>
  <c r="AJ80" i="11" s="1"/>
  <c r="AJ81" i="11" s="1"/>
  <c r="AP78" i="11"/>
  <c r="AP80" i="11" s="1"/>
  <c r="AP81" i="11" s="1"/>
  <c r="U78" i="11"/>
  <c r="U80" i="11" s="1"/>
  <c r="P78" i="11"/>
  <c r="P80" i="11" s="1"/>
  <c r="R78" i="11"/>
  <c r="R80" i="11" s="1"/>
  <c r="AR78" i="11"/>
  <c r="AR80" i="11" s="1"/>
  <c r="Q78" i="11"/>
  <c r="Q80" i="11" s="1"/>
  <c r="Q81" i="11" s="1"/>
  <c r="AQ78" i="11"/>
  <c r="AQ80" i="11" s="1"/>
  <c r="AS78" i="11"/>
  <c r="AS80" i="11" s="1"/>
  <c r="AS81" i="11" s="1"/>
  <c r="AK78" i="11"/>
  <c r="AK80" i="11" s="1"/>
  <c r="AK81" i="11" s="1"/>
  <c r="AH78" i="11"/>
  <c r="AH80" i="11" s="1"/>
  <c r="AH81" i="11" s="1"/>
  <c r="AM78" i="11"/>
  <c r="AM80" i="11" s="1"/>
  <c r="V78" i="11"/>
  <c r="V80" i="11" s="1"/>
  <c r="AN78" i="11"/>
  <c r="AN80" i="11" s="1"/>
  <c r="Z78" i="11"/>
  <c r="Z80" i="11" s="1"/>
  <c r="Z81" i="11" s="1"/>
  <c r="X78" i="11"/>
  <c r="X80" i="11" s="1"/>
  <c r="X81" i="11" s="1"/>
  <c r="W78" i="11"/>
  <c r="W80" i="11" s="1"/>
  <c r="W81" i="11" s="1"/>
  <c r="T78" i="11"/>
  <c r="T80" i="11" s="1"/>
  <c r="W25" i="33"/>
  <c r="X21" i="33"/>
  <c r="Y86" i="33"/>
  <c r="Y73" i="33"/>
  <c r="Y47" i="33"/>
  <c r="Y60" i="33"/>
  <c r="X38" i="33"/>
  <c r="Z5" i="33"/>
  <c r="Y34" i="33"/>
  <c r="Y8" i="33"/>
  <c r="Y1" i="33"/>
  <c r="AN81" i="11"/>
  <c r="AA81" i="11"/>
  <c r="AQ81" i="11"/>
  <c r="P81" i="11"/>
  <c r="V81" i="11"/>
  <c r="T81" i="11"/>
  <c r="AT81" i="11"/>
  <c r="AB81" i="11"/>
  <c r="U81" i="11"/>
  <c r="AM81" i="11"/>
  <c r="Y81" i="11"/>
  <c r="AO81" i="11"/>
  <c r="S81" i="11"/>
  <c r="AR81" i="11"/>
  <c r="AC81" i="11"/>
  <c r="AD81" i="11"/>
  <c r="R81" i="11"/>
  <c r="AL81" i="11"/>
  <c r="AE81" i="11"/>
  <c r="Y5" i="11"/>
  <c r="Y88" i="33" l="1"/>
  <c r="Y87" i="33"/>
  <c r="Y90" i="33"/>
  <c r="Y89" i="33"/>
  <c r="X23" i="33"/>
  <c r="Y75" i="33"/>
  <c r="Y77" i="33"/>
  <c r="Y74" i="33"/>
  <c r="Y76" i="33"/>
  <c r="Y64" i="33"/>
  <c r="Y61" i="33"/>
  <c r="Y50" i="33"/>
  <c r="Y63" i="33"/>
  <c r="Y62" i="33"/>
  <c r="Y48" i="33"/>
  <c r="Y51" i="33"/>
  <c r="Y49" i="33"/>
  <c r="Y35" i="33"/>
  <c r="Y22" i="33" s="1"/>
  <c r="Y36" i="33"/>
  <c r="Y37" i="33"/>
  <c r="Y24" i="33" s="1"/>
  <c r="X25" i="33"/>
  <c r="Y21" i="33"/>
  <c r="Z86" i="33"/>
  <c r="Z73" i="33"/>
  <c r="Z47" i="33"/>
  <c r="Z60" i="33"/>
  <c r="Y38" i="33"/>
  <c r="AA5" i="33"/>
  <c r="Z34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Y23" i="33" l="1"/>
  <c r="Z87" i="33"/>
  <c r="Z90" i="33"/>
  <c r="Z88" i="33"/>
  <c r="Z89" i="33"/>
  <c r="Z77" i="33"/>
  <c r="Z74" i="33"/>
  <c r="Z76" i="33"/>
  <c r="Z75" i="33"/>
  <c r="Z63" i="33"/>
  <c r="Z62" i="33"/>
  <c r="Z61" i="33"/>
  <c r="Z50" i="33"/>
  <c r="Z64" i="33"/>
  <c r="Z48" i="33"/>
  <c r="Z51" i="33"/>
  <c r="Z49" i="33"/>
  <c r="Z35" i="33"/>
  <c r="Z22" i="33" s="1"/>
  <c r="Z36" i="33"/>
  <c r="Z23" i="33" s="1"/>
  <c r="Z37" i="33"/>
  <c r="Z24" i="33" s="1"/>
  <c r="Z21" i="33"/>
  <c r="Y25" i="33"/>
  <c r="AA86" i="33"/>
  <c r="AA73" i="33"/>
  <c r="AA47" i="33"/>
  <c r="AA60" i="33"/>
  <c r="AB5" i="33"/>
  <c r="AC5" i="33" s="1"/>
  <c r="AA34" i="33"/>
  <c r="AA8" i="33"/>
  <c r="AA1" i="33"/>
  <c r="Z38" i="33"/>
  <c r="AI5" i="11"/>
  <c r="G6" i="17"/>
  <c r="AA87" i="33" l="1"/>
  <c r="AA90" i="33"/>
  <c r="AA89" i="33"/>
  <c r="AA88" i="33"/>
  <c r="AA77" i="33"/>
  <c r="AA74" i="33"/>
  <c r="AA76" i="33"/>
  <c r="AA75" i="33"/>
  <c r="AA62" i="33"/>
  <c r="AA63" i="33"/>
  <c r="AA50" i="33"/>
  <c r="AA61" i="33"/>
  <c r="AA64" i="33"/>
  <c r="AA51" i="33"/>
  <c r="AA49" i="33"/>
  <c r="AA48" i="33"/>
  <c r="AA35" i="33"/>
  <c r="AA22" i="33" s="1"/>
  <c r="AA36" i="33"/>
  <c r="AA23" i="33" s="1"/>
  <c r="AA37" i="33"/>
  <c r="AA24" i="33" s="1"/>
  <c r="AC1" i="33"/>
  <c r="AC34" i="33"/>
  <c r="AC47" i="33"/>
  <c r="AC73" i="33"/>
  <c r="AC60" i="33"/>
  <c r="AD5" i="33"/>
  <c r="AC86" i="33"/>
  <c r="AC8" i="33"/>
  <c r="AA21" i="33"/>
  <c r="Z25" i="33"/>
  <c r="AB86" i="33"/>
  <c r="AB73" i="33"/>
  <c r="AB47" i="33"/>
  <c r="AB60" i="33"/>
  <c r="AA38" i="33"/>
  <c r="AB1" i="33"/>
  <c r="AB34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B87" i="33" l="1"/>
  <c r="AB90" i="33"/>
  <c r="AB89" i="33"/>
  <c r="AB88" i="33"/>
  <c r="AC87" i="33"/>
  <c r="AC90" i="33"/>
  <c r="AC89" i="33"/>
  <c r="AC88" i="33"/>
  <c r="AB77" i="33"/>
  <c r="AB74" i="33"/>
  <c r="AB76" i="33"/>
  <c r="AB75" i="33"/>
  <c r="AC77" i="33"/>
  <c r="AC74" i="33"/>
  <c r="AC76" i="33"/>
  <c r="AC75" i="33"/>
  <c r="AC63" i="33"/>
  <c r="AC62" i="33"/>
  <c r="AC64" i="33"/>
  <c r="AC61" i="33"/>
  <c r="AC50" i="33"/>
  <c r="AB63" i="33"/>
  <c r="AB62" i="33"/>
  <c r="AB50" i="33"/>
  <c r="AB61" i="33"/>
  <c r="AB64" i="33"/>
  <c r="AC49" i="33"/>
  <c r="AC51" i="33"/>
  <c r="AC48" i="33"/>
  <c r="AB51" i="33"/>
  <c r="AB49" i="33"/>
  <c r="AB48" i="33"/>
  <c r="AC35" i="33"/>
  <c r="AC22" i="33" s="1"/>
  <c r="AC36" i="33"/>
  <c r="AC23" i="33" s="1"/>
  <c r="AC37" i="33"/>
  <c r="AC24" i="33" s="1"/>
  <c r="AB35" i="33"/>
  <c r="AB22" i="33" s="1"/>
  <c r="AB37" i="33"/>
  <c r="AB24" i="33" s="1"/>
  <c r="AB36" i="33"/>
  <c r="AB23" i="33" s="1"/>
  <c r="AD1" i="33"/>
  <c r="AD34" i="33"/>
  <c r="AD60" i="33"/>
  <c r="AD73" i="33"/>
  <c r="AD86" i="33"/>
  <c r="AD47" i="33"/>
  <c r="AD8" i="33"/>
  <c r="AC21" i="33"/>
  <c r="AC38" i="33"/>
  <c r="AA25" i="33"/>
  <c r="AB21" i="33"/>
  <c r="AB38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J8" i="11"/>
  <c r="G27" i="11"/>
  <c r="G33" i="11"/>
  <c r="I78" i="11"/>
  <c r="I53" i="8" s="1"/>
  <c r="I49" i="11"/>
  <c r="F50" i="11"/>
  <c r="D58" i="11"/>
  <c r="D73" i="11" s="1"/>
  <c r="D48" i="11"/>
  <c r="C47" i="11"/>
  <c r="J38" i="11"/>
  <c r="D30" i="11"/>
  <c r="C20" i="11"/>
  <c r="D21" i="11"/>
  <c r="I33" i="11"/>
  <c r="G7" i="11"/>
  <c r="C33" i="11"/>
  <c r="J17" i="11"/>
  <c r="D11" i="11"/>
  <c r="F21" i="11"/>
  <c r="C49" i="11"/>
  <c r="I50" i="11"/>
  <c r="G58" i="11"/>
  <c r="G73" i="11" s="1"/>
  <c r="F54" i="11"/>
  <c r="F72" i="11" s="1"/>
  <c r="J55" i="11"/>
  <c r="C154" i="11" s="1"/>
  <c r="K55" i="11" s="1"/>
  <c r="I48" i="11"/>
  <c r="F47" i="11"/>
  <c r="J46" i="11"/>
  <c r="G12" i="11"/>
  <c r="G13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79" i="11" s="1"/>
  <c r="I55" i="11"/>
  <c r="G48" i="11"/>
  <c r="D40" i="11"/>
  <c r="G44" i="11"/>
  <c r="G85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9" i="11" s="1"/>
  <c r="C78" i="11"/>
  <c r="J60" i="11"/>
  <c r="C159" i="11" s="1"/>
  <c r="K60" i="11" s="1"/>
  <c r="C50" i="1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5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60" i="11" s="1"/>
  <c r="K61" i="11" s="1"/>
  <c r="C45" i="11"/>
  <c r="J40" i="11"/>
  <c r="I39" i="11"/>
  <c r="F44" i="11"/>
  <c r="F85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G56" i="11"/>
  <c r="C61" i="11"/>
  <c r="D45" i="11"/>
  <c r="C40" i="11"/>
  <c r="J39" i="11"/>
  <c r="G31" i="11"/>
  <c r="G29" i="11"/>
  <c r="F28" i="11"/>
  <c r="C31" i="11"/>
  <c r="J28" i="11"/>
  <c r="F7" i="35" s="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5" i="11" s="1"/>
  <c r="C7" i="11"/>
  <c r="I17" i="11"/>
  <c r="C9" i="11"/>
  <c r="F7" i="11"/>
  <c r="C34" i="11"/>
  <c r="F18" i="11"/>
  <c r="G46" i="11"/>
  <c r="F32" i="11"/>
  <c r="D49" i="11"/>
  <c r="J59" i="11"/>
  <c r="C157" i="11" s="1"/>
  <c r="G41" i="11"/>
  <c r="C54" i="11"/>
  <c r="C72" i="11" s="1"/>
  <c r="C59" i="11"/>
  <c r="K35" i="11"/>
  <c r="AD90" i="33" l="1"/>
  <c r="AD89" i="33"/>
  <c r="AD87" i="33"/>
  <c r="AD88" i="33"/>
  <c r="AD77" i="33"/>
  <c r="AD74" i="33"/>
  <c r="AD76" i="33"/>
  <c r="AD75" i="33"/>
  <c r="AD63" i="33"/>
  <c r="AD62" i="33"/>
  <c r="AD61" i="33"/>
  <c r="AD64" i="33"/>
  <c r="AD50" i="33"/>
  <c r="AD49" i="33"/>
  <c r="AD51" i="33"/>
  <c r="AD48" i="33"/>
  <c r="AD37" i="33"/>
  <c r="AD24" i="33" s="1"/>
  <c r="AD35" i="33"/>
  <c r="AD22" i="33" s="1"/>
  <c r="AD36" i="33"/>
  <c r="C53" i="8"/>
  <c r="C44" i="11"/>
  <c r="C85" i="11" s="1"/>
  <c r="I19" i="11"/>
  <c r="C20" i="9" s="1"/>
  <c r="J10" i="11"/>
  <c r="F10" i="35"/>
  <c r="F25" i="35" s="1"/>
  <c r="G7" i="35"/>
  <c r="H7" i="35" s="1"/>
  <c r="I14" i="11"/>
  <c r="C15" i="9" s="1"/>
  <c r="H8" i="33"/>
  <c r="F8" i="33"/>
  <c r="AD21" i="33"/>
  <c r="H47" i="33"/>
  <c r="F47" i="33"/>
  <c r="H86" i="33"/>
  <c r="F86" i="33"/>
  <c r="H73" i="33"/>
  <c r="F73" i="33"/>
  <c r="H60" i="33"/>
  <c r="F60" i="33"/>
  <c r="H34" i="33"/>
  <c r="F34" i="33"/>
  <c r="AD38" i="33"/>
  <c r="I58" i="11"/>
  <c r="I73" i="11" s="1"/>
  <c r="I35" i="11"/>
  <c r="G34" i="11"/>
  <c r="F13" i="11"/>
  <c r="J20" i="11"/>
  <c r="AC25" i="33"/>
  <c r="AB25" i="33"/>
  <c r="I52" i="8"/>
  <c r="F14" i="11"/>
  <c r="F38" i="11"/>
  <c r="F30" i="8" s="1"/>
  <c r="D35" i="11"/>
  <c r="F52" i="8"/>
  <c r="C156" i="11"/>
  <c r="J79" i="11"/>
  <c r="K79" i="11" s="1"/>
  <c r="C53" i="11"/>
  <c r="F35" i="11"/>
  <c r="D61" i="11"/>
  <c r="D57" i="11"/>
  <c r="D79" i="11" s="1"/>
  <c r="D53" i="8" s="1"/>
  <c r="K57" i="11"/>
  <c r="F41" i="11"/>
  <c r="F33" i="8" s="1"/>
  <c r="G50" i="11"/>
  <c r="G42" i="18" s="1"/>
  <c r="K59" i="11"/>
  <c r="N59" i="11" s="1"/>
  <c r="F57" i="11"/>
  <c r="F79" i="11" s="1"/>
  <c r="F53" i="8" s="1"/>
  <c r="J49" i="11"/>
  <c r="C148" i="11" s="1"/>
  <c r="K49" i="11" s="1"/>
  <c r="G57" i="11"/>
  <c r="G79" i="11" s="1"/>
  <c r="G53" i="8" s="1"/>
  <c r="D44" i="11"/>
  <c r="D85" i="11" s="1"/>
  <c r="J32" i="11"/>
  <c r="D13" i="17" s="1"/>
  <c r="D20" i="11"/>
  <c r="J29" i="11"/>
  <c r="F8" i="35" s="1"/>
  <c r="G8" i="35" s="1"/>
  <c r="D7" i="11"/>
  <c r="G30" i="11"/>
  <c r="G18" i="11"/>
  <c r="D52" i="8"/>
  <c r="I29" i="11"/>
  <c r="I36" i="11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2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97" i="11"/>
  <c r="G62" i="8" s="1"/>
  <c r="G24" i="8"/>
  <c r="C22" i="18"/>
  <c r="C96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J39" i="18"/>
  <c r="J39" i="8"/>
  <c r="D66" i="17" s="1"/>
  <c r="C146" i="11"/>
  <c r="K47" i="11" s="1"/>
  <c r="G41" i="18"/>
  <c r="G41" i="8"/>
  <c r="C9" i="8"/>
  <c r="C9" i="18"/>
  <c r="I24" i="18"/>
  <c r="C13" i="17"/>
  <c r="I97" i="11"/>
  <c r="I62" i="8" s="1"/>
  <c r="I24" i="8"/>
  <c r="C37" i="18"/>
  <c r="C98" i="11"/>
  <c r="C63" i="8" s="1"/>
  <c r="C37" i="8"/>
  <c r="D11" i="18"/>
  <c r="D11" i="8"/>
  <c r="D95" i="11"/>
  <c r="I14" i="18"/>
  <c r="C14" i="9"/>
  <c r="I14" i="8"/>
  <c r="G13" i="8"/>
  <c r="G13" i="1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0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4" i="11"/>
  <c r="D54" i="8" s="1"/>
  <c r="D23" i="8"/>
  <c r="C36" i="18"/>
  <c r="J51" i="8"/>
  <c r="C36" i="8"/>
  <c r="I25" i="8"/>
  <c r="C14" i="17"/>
  <c r="I25" i="18"/>
  <c r="I21" i="8"/>
  <c r="C10" i="17"/>
  <c r="I21" i="18"/>
  <c r="F24" i="18"/>
  <c r="F97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6" i="11"/>
  <c r="C12" i="17"/>
  <c r="I23" i="18"/>
  <c r="I84" i="11"/>
  <c r="I54" i="8" s="1"/>
  <c r="I23" i="8"/>
  <c r="G11" i="18"/>
  <c r="G95" i="11"/>
  <c r="G11" i="8"/>
  <c r="I36" i="18"/>
  <c r="I36" i="8"/>
  <c r="C63" i="17" s="1"/>
  <c r="C24" i="18"/>
  <c r="C97" i="11"/>
  <c r="C62" i="8" s="1"/>
  <c r="C24" i="8"/>
  <c r="D20" i="8"/>
  <c r="D20" i="18"/>
  <c r="J27" i="8"/>
  <c r="D16" i="17"/>
  <c r="J27" i="18"/>
  <c r="J38" i="8"/>
  <c r="D65" i="17" s="1"/>
  <c r="J38" i="18"/>
  <c r="C145" i="11"/>
  <c r="F30" i="18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D15" i="9"/>
  <c r="M14" i="11"/>
  <c r="N14" i="11"/>
  <c r="C18" i="9"/>
  <c r="I22" i="11"/>
  <c r="I11" i="8"/>
  <c r="I11" i="18"/>
  <c r="I95" i="11"/>
  <c r="C11" i="9"/>
  <c r="I9" i="18"/>
  <c r="I9" i="8"/>
  <c r="C9" i="9"/>
  <c r="F11" i="18"/>
  <c r="F11" i="8"/>
  <c r="F95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18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5" i="11"/>
  <c r="D10" i="8"/>
  <c r="D10" i="18"/>
  <c r="M55" i="11"/>
  <c r="N55" i="11"/>
  <c r="D21" i="9"/>
  <c r="N20" i="11"/>
  <c r="M20" i="11"/>
  <c r="G26" i="8"/>
  <c r="G26" i="18"/>
  <c r="J36" i="18"/>
  <c r="C143" i="11"/>
  <c r="J36" i="8"/>
  <c r="D63" i="17" s="1"/>
  <c r="D24" i="18"/>
  <c r="D97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6" i="11"/>
  <c r="I61" i="8" s="1"/>
  <c r="I8" i="18"/>
  <c r="C8" i="9"/>
  <c r="I8" i="8"/>
  <c r="D22" i="18"/>
  <c r="D96" i="11"/>
  <c r="D61" i="8" s="1"/>
  <c r="D22" i="8"/>
  <c r="D8" i="8"/>
  <c r="D8" i="18"/>
  <c r="C27" i="8"/>
  <c r="C27" i="18"/>
  <c r="G31" i="8"/>
  <c r="G31" i="18"/>
  <c r="C23" i="18"/>
  <c r="C23" i="8"/>
  <c r="C84" i="11"/>
  <c r="C54" i="8" s="1"/>
  <c r="D14" i="17"/>
  <c r="J25" i="18"/>
  <c r="J25" i="8"/>
  <c r="N33" i="11"/>
  <c r="M33" i="11"/>
  <c r="F37" i="18"/>
  <c r="F98" i="11"/>
  <c r="F63" i="8" s="1"/>
  <c r="F37" i="8"/>
  <c r="J72" i="11"/>
  <c r="C153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F42" i="8"/>
  <c r="F42" i="18"/>
  <c r="I38" i="8"/>
  <c r="C65" i="17" s="1"/>
  <c r="I38" i="18"/>
  <c r="I39" i="8"/>
  <c r="C66" i="17" s="1"/>
  <c r="I39" i="18"/>
  <c r="D39" i="8"/>
  <c r="D39" i="18"/>
  <c r="G37" i="18"/>
  <c r="G98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J37" i="18"/>
  <c r="J98" i="11"/>
  <c r="J63" i="8" s="1"/>
  <c r="C144" i="11"/>
  <c r="K45" i="11" s="1"/>
  <c r="K37" i="18" s="1"/>
  <c r="J37" i="8"/>
  <c r="D64" i="17" s="1"/>
  <c r="G21" i="8"/>
  <c r="G21" i="18"/>
  <c r="D22" i="9"/>
  <c r="M21" i="11"/>
  <c r="N21" i="11"/>
  <c r="J22" i="18"/>
  <c r="D11" i="17"/>
  <c r="J96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5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7" i="11"/>
  <c r="K48" i="11" s="1"/>
  <c r="D19" i="9"/>
  <c r="C116" i="11"/>
  <c r="D40" i="8"/>
  <c r="D40" i="18"/>
  <c r="G8" i="11"/>
  <c r="D19" i="11"/>
  <c r="C41" i="11"/>
  <c r="C42" i="11" s="1"/>
  <c r="G33" i="8"/>
  <c r="G33" i="18"/>
  <c r="C151" i="11"/>
  <c r="K52" i="11" s="1"/>
  <c r="J71" i="11"/>
  <c r="D44" i="17"/>
  <c r="J31" i="18"/>
  <c r="N39" i="11"/>
  <c r="M39" i="11"/>
  <c r="J31" i="8"/>
  <c r="G22" i="11"/>
  <c r="F25" i="8"/>
  <c r="F25" i="18"/>
  <c r="K78" i="11"/>
  <c r="K53" i="8" s="1"/>
  <c r="J73" i="11"/>
  <c r="C158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4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8" i="11"/>
  <c r="D63" i="8" s="1"/>
  <c r="D37" i="8"/>
  <c r="F36" i="18"/>
  <c r="F36" i="8"/>
  <c r="G20" i="8"/>
  <c r="G20" i="18"/>
  <c r="F22" i="18"/>
  <c r="F22" i="8"/>
  <c r="F96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H88" i="33" l="1"/>
  <c r="F88" i="33"/>
  <c r="F36" i="33"/>
  <c r="AD23" i="33"/>
  <c r="H87" i="33"/>
  <c r="F87" i="33"/>
  <c r="H22" i="33"/>
  <c r="F22" i="33"/>
  <c r="H89" i="33"/>
  <c r="F89" i="33"/>
  <c r="H24" i="33"/>
  <c r="F24" i="33"/>
  <c r="H90" i="33"/>
  <c r="F90" i="33"/>
  <c r="H75" i="33"/>
  <c r="F75" i="33"/>
  <c r="H76" i="33"/>
  <c r="F76" i="33"/>
  <c r="H74" i="33"/>
  <c r="F74" i="33"/>
  <c r="H77" i="33"/>
  <c r="H72" i="33" s="1"/>
  <c r="F77" i="33"/>
  <c r="H64" i="33"/>
  <c r="H59" i="33" s="1"/>
  <c r="H67" i="33" s="1"/>
  <c r="F64" i="33"/>
  <c r="H61" i="33"/>
  <c r="F61" i="33"/>
  <c r="H62" i="33"/>
  <c r="F62" i="33"/>
  <c r="H63" i="33"/>
  <c r="F63" i="33"/>
  <c r="H48" i="33"/>
  <c r="F48" i="33"/>
  <c r="H50" i="33"/>
  <c r="F50" i="33"/>
  <c r="H51" i="33"/>
  <c r="H46" i="33" s="1"/>
  <c r="H54" i="33" s="1"/>
  <c r="F51" i="33"/>
  <c r="H49" i="33"/>
  <c r="F49" i="33"/>
  <c r="H36" i="33"/>
  <c r="H35" i="33"/>
  <c r="F35" i="33"/>
  <c r="H37" i="33"/>
  <c r="F37" i="33"/>
  <c r="G42" i="8"/>
  <c r="F42" i="11"/>
  <c r="H12" i="33"/>
  <c r="H7" i="33" s="1"/>
  <c r="H15" i="33" s="1"/>
  <c r="F12" i="33"/>
  <c r="AD72" i="33"/>
  <c r="AD25" i="33"/>
  <c r="AD20" i="33" s="1"/>
  <c r="AD28" i="33" s="1"/>
  <c r="H38" i="33"/>
  <c r="H33" i="33" s="1"/>
  <c r="H41" i="33" s="1"/>
  <c r="F38" i="33"/>
  <c r="AD85" i="33"/>
  <c r="AC91" i="33" s="1"/>
  <c r="J41" i="18"/>
  <c r="J41" i="8"/>
  <c r="D68" i="17" s="1"/>
  <c r="D36" i="8"/>
  <c r="AD46" i="33"/>
  <c r="AC52" i="33" s="1"/>
  <c r="G42" i="11"/>
  <c r="G30" i="18"/>
  <c r="AD33" i="33"/>
  <c r="H21" i="33"/>
  <c r="F21" i="33"/>
  <c r="D22" i="11"/>
  <c r="C62" i="11"/>
  <c r="C45" i="8" s="1"/>
  <c r="G10" i="35"/>
  <c r="G25" i="35" s="1"/>
  <c r="H8" i="35"/>
  <c r="H10" i="35" s="1"/>
  <c r="H25" i="35" s="1"/>
  <c r="J53" i="8"/>
  <c r="AD59" i="33"/>
  <c r="AC65" i="33" s="1"/>
  <c r="AD7" i="33"/>
  <c r="M59" i="11"/>
  <c r="G39" i="18"/>
  <c r="J62" i="11"/>
  <c r="D36" i="18"/>
  <c r="G36" i="11"/>
  <c r="J52" i="8"/>
  <c r="I62" i="11"/>
  <c r="I45" i="8" s="1"/>
  <c r="J24" i="18"/>
  <c r="D15" i="11"/>
  <c r="D24" i="11" s="1"/>
  <c r="M79" i="11"/>
  <c r="N79" i="11"/>
  <c r="D14" i="18"/>
  <c r="G22" i="8"/>
  <c r="G28" i="8" s="1"/>
  <c r="G96" i="11"/>
  <c r="G61" i="8" s="1"/>
  <c r="G22" i="18"/>
  <c r="G28" i="18" s="1"/>
  <c r="J24" i="8"/>
  <c r="N24" i="8" s="1"/>
  <c r="J97" i="11"/>
  <c r="J99" i="11" s="1"/>
  <c r="M32" i="11"/>
  <c r="N32" i="11"/>
  <c r="N37" i="18"/>
  <c r="K44" i="11"/>
  <c r="N44" i="11" s="1"/>
  <c r="C164" i="11"/>
  <c r="K85" i="11" s="1"/>
  <c r="N53" i="11"/>
  <c r="G27" i="18"/>
  <c r="I37" i="8"/>
  <c r="C64" i="17" s="1"/>
  <c r="I98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C16" i="8"/>
  <c r="C15" i="8" s="1"/>
  <c r="M31" i="8"/>
  <c r="N31" i="8"/>
  <c r="G54" i="8"/>
  <c r="G55" i="8" s="1"/>
  <c r="G89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60" i="8"/>
  <c r="I28" i="18"/>
  <c r="N21" i="18"/>
  <c r="M21" i="1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3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J54" i="8"/>
  <c r="J89" i="11"/>
  <c r="D99" i="11"/>
  <c r="D60" i="8"/>
  <c r="D64" i="8" s="1"/>
  <c r="N32" i="18"/>
  <c r="M32" i="18"/>
  <c r="M8" i="18"/>
  <c r="N8" i="18"/>
  <c r="K73" i="11"/>
  <c r="N58" i="11"/>
  <c r="M58" i="11"/>
  <c r="D28" i="18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M95" i="11"/>
  <c r="N95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9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D36" i="17"/>
  <c r="E36" i="17"/>
  <c r="D57" i="17"/>
  <c r="E57" i="17"/>
  <c r="G62" i="11"/>
  <c r="K98" i="11"/>
  <c r="N98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AL85" i="11"/>
  <c r="AL89" i="11" s="1"/>
  <c r="AL91" i="11" s="1"/>
  <c r="AB85" i="11"/>
  <c r="AB89" i="11" s="1"/>
  <c r="AB91" i="11" s="1"/>
  <c r="AJ85" i="11"/>
  <c r="AJ89" i="11" s="1"/>
  <c r="AJ91" i="11" s="1"/>
  <c r="AT85" i="11"/>
  <c r="AT89" i="11" s="1"/>
  <c r="AT91" i="11" s="1"/>
  <c r="AS85" i="11"/>
  <c r="AS89" i="11" s="1"/>
  <c r="AS91" i="11" s="1"/>
  <c r="Z85" i="11"/>
  <c r="Z89" i="11" s="1"/>
  <c r="Z91" i="11" s="1"/>
  <c r="P85" i="11"/>
  <c r="P89" i="11" s="1"/>
  <c r="P91" i="11" s="1"/>
  <c r="AR85" i="11"/>
  <c r="AR89" i="11" s="1"/>
  <c r="AR91" i="11" s="1"/>
  <c r="AF85" i="11"/>
  <c r="AF89" i="11" s="1"/>
  <c r="AF91" i="11" s="1"/>
  <c r="T85" i="11"/>
  <c r="T89" i="11" s="1"/>
  <c r="T91" i="11" s="1"/>
  <c r="Y85" i="11"/>
  <c r="Y89" i="11" s="1"/>
  <c r="Y91" i="11" s="1"/>
  <c r="X85" i="11"/>
  <c r="X89" i="11" s="1"/>
  <c r="X91" i="11" s="1"/>
  <c r="D51" i="8"/>
  <c r="D55" i="8" s="1"/>
  <c r="F51" i="8"/>
  <c r="F41" i="18"/>
  <c r="F41" i="8"/>
  <c r="K18" i="11"/>
  <c r="C149" i="11"/>
  <c r="K50" i="11" s="1"/>
  <c r="C121" i="11"/>
  <c r="M14" i="18"/>
  <c r="N14" i="18"/>
  <c r="M96" i="11"/>
  <c r="J61" i="8"/>
  <c r="N96" i="11"/>
  <c r="D32" i="17"/>
  <c r="E32" i="17"/>
  <c r="D34" i="18"/>
  <c r="G34" i="18"/>
  <c r="I60" i="8"/>
  <c r="F34" i="8"/>
  <c r="C45" i="18"/>
  <c r="C44" i="18" s="1"/>
  <c r="N51" i="11"/>
  <c r="K43" i="18"/>
  <c r="K43" i="8"/>
  <c r="M51" i="11"/>
  <c r="G15" i="11"/>
  <c r="G24" i="11" s="1"/>
  <c r="M37" i="8"/>
  <c r="N37" i="8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H23" i="33" l="1"/>
  <c r="F23" i="33"/>
  <c r="AD55" i="33"/>
  <c r="AD81" i="33"/>
  <c r="AC78" i="33"/>
  <c r="H16" i="33"/>
  <c r="H68" i="33"/>
  <c r="H81" i="33"/>
  <c r="H80" i="33"/>
  <c r="AC59" i="33"/>
  <c r="AB65" i="33" s="1"/>
  <c r="AD67" i="33"/>
  <c r="H55" i="33"/>
  <c r="AC13" i="33"/>
  <c r="AD15" i="33"/>
  <c r="AC72" i="33"/>
  <c r="AB78" i="33" s="1"/>
  <c r="AD80" i="33"/>
  <c r="AD68" i="33"/>
  <c r="AD16" i="33"/>
  <c r="C64" i="11"/>
  <c r="AC85" i="33"/>
  <c r="AB91" i="33" s="1"/>
  <c r="AD93" i="33"/>
  <c r="AC39" i="33"/>
  <c r="AD41" i="33"/>
  <c r="AD42" i="33"/>
  <c r="AD94" i="33"/>
  <c r="AO85" i="11"/>
  <c r="AO89" i="11" s="1"/>
  <c r="AO91" i="11" s="1"/>
  <c r="AO101" i="11" s="1"/>
  <c r="AO102" i="11" s="1"/>
  <c r="AC46" i="33"/>
  <c r="AB52" i="33" s="1"/>
  <c r="AD54" i="33"/>
  <c r="AD29" i="33"/>
  <c r="H25" i="33"/>
  <c r="H20" i="33" s="1"/>
  <c r="H29" i="33" s="1"/>
  <c r="F25" i="33"/>
  <c r="Q85" i="11"/>
  <c r="Q89" i="11" s="1"/>
  <c r="Q91" i="11" s="1"/>
  <c r="Q101" i="11" s="1"/>
  <c r="Q102" i="11" s="1"/>
  <c r="R85" i="11"/>
  <c r="R89" i="11" s="1"/>
  <c r="R91" i="11" s="1"/>
  <c r="W85" i="11"/>
  <c r="W89" i="11" s="1"/>
  <c r="W91" i="11" s="1"/>
  <c r="W101" i="11" s="1"/>
  <c r="W102" i="11" s="1"/>
  <c r="H85" i="33"/>
  <c r="H93" i="33" s="1"/>
  <c r="H42" i="33"/>
  <c r="G99" i="11"/>
  <c r="AG85" i="11"/>
  <c r="AG89" i="11" s="1"/>
  <c r="AG91" i="11" s="1"/>
  <c r="AG101" i="11" s="1"/>
  <c r="AG102" i="11" s="1"/>
  <c r="AA85" i="11"/>
  <c r="AA89" i="11" s="1"/>
  <c r="AA91" i="11" s="1"/>
  <c r="AA92" i="11" s="1"/>
  <c r="AD85" i="11"/>
  <c r="AD89" i="11" s="1"/>
  <c r="AD91" i="11" s="1"/>
  <c r="AD101" i="11" s="1"/>
  <c r="AD102" i="11" s="1"/>
  <c r="AQ85" i="11"/>
  <c r="AQ89" i="11" s="1"/>
  <c r="AQ91" i="11" s="1"/>
  <c r="AI85" i="11"/>
  <c r="AI89" i="11" s="1"/>
  <c r="AI91" i="11" s="1"/>
  <c r="AI101" i="11" s="1"/>
  <c r="AI102" i="11" s="1"/>
  <c r="J55" i="8"/>
  <c r="D16" i="18"/>
  <c r="D15" i="18" s="1"/>
  <c r="D16" i="8"/>
  <c r="D15" i="8" s="1"/>
  <c r="M24" i="8"/>
  <c r="N97" i="11"/>
  <c r="J62" i="8"/>
  <c r="M62" i="8" s="1"/>
  <c r="I45" i="18"/>
  <c r="I44" i="18" s="1"/>
  <c r="M97" i="11"/>
  <c r="I99" i="11"/>
  <c r="AE85" i="11"/>
  <c r="AE89" i="11" s="1"/>
  <c r="AE91" i="11" s="1"/>
  <c r="AE101" i="11" s="1"/>
  <c r="AE102" i="11" s="1"/>
  <c r="S85" i="11"/>
  <c r="S89" i="11" s="1"/>
  <c r="S91" i="11" s="1"/>
  <c r="S92" i="11" s="1"/>
  <c r="I64" i="8"/>
  <c r="V85" i="11"/>
  <c r="V89" i="11" s="1"/>
  <c r="V91" i="11" s="1"/>
  <c r="V101" i="11" s="1"/>
  <c r="V102" i="11" s="1"/>
  <c r="AC85" i="11"/>
  <c r="AC89" i="11" s="1"/>
  <c r="AC91" i="11" s="1"/>
  <c r="AC92" i="11" s="1"/>
  <c r="AP85" i="11"/>
  <c r="AP89" i="11" s="1"/>
  <c r="AP91" i="11" s="1"/>
  <c r="AP92" i="11" s="1"/>
  <c r="AM85" i="11"/>
  <c r="AM89" i="11" s="1"/>
  <c r="AM91" i="11" s="1"/>
  <c r="AM92" i="11" s="1"/>
  <c r="AH85" i="11"/>
  <c r="AH89" i="11" s="1"/>
  <c r="AH91" i="11" s="1"/>
  <c r="AH101" i="11" s="1"/>
  <c r="AH102" i="11" s="1"/>
  <c r="AN85" i="11"/>
  <c r="AN89" i="11" s="1"/>
  <c r="AN91" i="11" s="1"/>
  <c r="AN92" i="11" s="1"/>
  <c r="U85" i="11"/>
  <c r="U89" i="11" s="1"/>
  <c r="U91" i="11" s="1"/>
  <c r="U92" i="11" s="1"/>
  <c r="AK85" i="11"/>
  <c r="AK89" i="11" s="1"/>
  <c r="AK91" i="11" s="1"/>
  <c r="AK92" i="11" s="1"/>
  <c r="G64" i="8"/>
  <c r="F45" i="18"/>
  <c r="F44" i="18" s="1"/>
  <c r="I44" i="8"/>
  <c r="C71" i="17" s="1"/>
  <c r="C72" i="17" s="1"/>
  <c r="F55" i="8"/>
  <c r="C47" i="8"/>
  <c r="K63" i="8"/>
  <c r="N63" i="8" s="1"/>
  <c r="C47" i="18"/>
  <c r="C48" i="18" s="1"/>
  <c r="M98" i="11"/>
  <c r="M34" i="8"/>
  <c r="K99" i="11"/>
  <c r="N99" i="11" s="1"/>
  <c r="I16" i="18"/>
  <c r="I15" i="18" s="1"/>
  <c r="I16" i="8"/>
  <c r="I64" i="11"/>
  <c r="F16" i="18"/>
  <c r="F64" i="11"/>
  <c r="F16" i="8"/>
  <c r="AT92" i="11"/>
  <c r="AT101" i="11"/>
  <c r="AT102" i="11" s="1"/>
  <c r="D45" i="8"/>
  <c r="D45" i="18"/>
  <c r="D44" i="18" s="1"/>
  <c r="G16" i="18"/>
  <c r="G15" i="18" s="1"/>
  <c r="G64" i="11"/>
  <c r="G16" i="8"/>
  <c r="M85" i="11"/>
  <c r="K51" i="8"/>
  <c r="Z92" i="11"/>
  <c r="Z101" i="11"/>
  <c r="Z102" i="11" s="1"/>
  <c r="AB101" i="11"/>
  <c r="AB102" i="11" s="1"/>
  <c r="AB92" i="11"/>
  <c r="N60" i="8"/>
  <c r="M60" i="8"/>
  <c r="J64" i="8"/>
  <c r="M34" i="18"/>
  <c r="AL101" i="11"/>
  <c r="AL102" i="11" s="1"/>
  <c r="AL92" i="11"/>
  <c r="I51" i="8"/>
  <c r="I55" i="8" s="1"/>
  <c r="I89" i="11"/>
  <c r="Y101" i="11"/>
  <c r="Y102" i="11" s="1"/>
  <c r="Y92" i="11"/>
  <c r="M36" i="18"/>
  <c r="N36" i="18"/>
  <c r="N40" i="18"/>
  <c r="M40" i="18"/>
  <c r="E12" i="17"/>
  <c r="K23" i="18"/>
  <c r="K84" i="11"/>
  <c r="K23" i="8"/>
  <c r="N31" i="11"/>
  <c r="M31" i="11"/>
  <c r="M36" i="11" s="1"/>
  <c r="K36" i="11"/>
  <c r="N36" i="11" s="1"/>
  <c r="T101" i="11"/>
  <c r="T102" i="11" s="1"/>
  <c r="T92" i="11"/>
  <c r="E63" i="17"/>
  <c r="M36" i="8"/>
  <c r="N36" i="8"/>
  <c r="F89" i="11"/>
  <c r="E67" i="17"/>
  <c r="M40" i="8"/>
  <c r="N40" i="8"/>
  <c r="D64" i="11"/>
  <c r="N72" i="11"/>
  <c r="M72" i="11"/>
  <c r="S101" i="11"/>
  <c r="S102" i="11" s="1"/>
  <c r="J28" i="8"/>
  <c r="M19" i="8"/>
  <c r="N19" i="8"/>
  <c r="AS101" i="11"/>
  <c r="AS102" i="11" s="1"/>
  <c r="AS92" i="11"/>
  <c r="AQ101" i="11"/>
  <c r="AQ102" i="11" s="1"/>
  <c r="AQ92" i="11"/>
  <c r="J28" i="18"/>
  <c r="M19" i="18"/>
  <c r="N19" i="18"/>
  <c r="M61" i="8"/>
  <c r="N61" i="8"/>
  <c r="F99" i="11"/>
  <c r="D31" i="17"/>
  <c r="D17" i="17"/>
  <c r="D40" i="17" s="1"/>
  <c r="E31" i="17"/>
  <c r="J16" i="18"/>
  <c r="J64" i="11"/>
  <c r="J16" i="8"/>
  <c r="F44" i="8"/>
  <c r="E70" i="17"/>
  <c r="N43" i="8"/>
  <c r="M43" i="8"/>
  <c r="AN101" i="11"/>
  <c r="AN102" i="11" s="1"/>
  <c r="M73" i="11"/>
  <c r="N73" i="11"/>
  <c r="F64" i="8"/>
  <c r="E66" i="17"/>
  <c r="M39" i="8"/>
  <c r="N39" i="8"/>
  <c r="AJ101" i="11"/>
  <c r="AJ102" i="11" s="1"/>
  <c r="AJ92" i="11"/>
  <c r="N43" i="18"/>
  <c r="M43" i="18"/>
  <c r="AO92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AF101" i="11"/>
  <c r="AF102" i="11" s="1"/>
  <c r="AF92" i="11"/>
  <c r="M71" i="11"/>
  <c r="N71" i="11"/>
  <c r="K52" i="8"/>
  <c r="E68" i="17"/>
  <c r="M41" i="8"/>
  <c r="N41" i="8"/>
  <c r="X101" i="11"/>
  <c r="X102" i="11" s="1"/>
  <c r="X92" i="11"/>
  <c r="K38" i="8"/>
  <c r="K38" i="18"/>
  <c r="M46" i="11"/>
  <c r="M62" i="11" s="1"/>
  <c r="N46" i="11"/>
  <c r="K62" i="11"/>
  <c r="R101" i="11"/>
  <c r="R102" i="11" s="1"/>
  <c r="R92" i="11"/>
  <c r="AR92" i="11"/>
  <c r="AR101" i="11"/>
  <c r="AR102" i="11" s="1"/>
  <c r="N39" i="18"/>
  <c r="M39" i="18"/>
  <c r="K42" i="8"/>
  <c r="K42" i="18"/>
  <c r="M50" i="11"/>
  <c r="N50" i="11"/>
  <c r="P101" i="11"/>
  <c r="P102" i="11" s="1"/>
  <c r="P92" i="11"/>
  <c r="C48" i="8"/>
  <c r="D23" i="9"/>
  <c r="E42" i="9"/>
  <c r="D16" i="9"/>
  <c r="E40" i="9"/>
  <c r="C16" i="9"/>
  <c r="AC93" i="33" l="1"/>
  <c r="AC94" i="33"/>
  <c r="C67" i="11"/>
  <c r="C70" i="11"/>
  <c r="C74" i="11" s="1"/>
  <c r="AC80" i="33"/>
  <c r="AC81" i="33"/>
  <c r="AC54" i="33"/>
  <c r="AC55" i="33"/>
  <c r="AD92" i="11"/>
  <c r="K64" i="8"/>
  <c r="N64" i="8" s="1"/>
  <c r="N62" i="8"/>
  <c r="AC67" i="33"/>
  <c r="AC68" i="33"/>
  <c r="AA101" i="11"/>
  <c r="AA102" i="11" s="1"/>
  <c r="H94" i="33"/>
  <c r="W92" i="11"/>
  <c r="Q92" i="11"/>
  <c r="V92" i="11"/>
  <c r="C65" i="11"/>
  <c r="H28" i="33"/>
  <c r="AG92" i="11"/>
  <c r="AC33" i="33"/>
  <c r="AC26" i="33"/>
  <c r="AC20" i="33" s="1"/>
  <c r="AI92" i="11"/>
  <c r="U101" i="11"/>
  <c r="U102" i="11" s="1"/>
  <c r="M99" i="11"/>
  <c r="M63" i="8"/>
  <c r="AC101" i="11"/>
  <c r="AC102" i="11" s="1"/>
  <c r="AE92" i="11"/>
  <c r="AK101" i="11"/>
  <c r="AK102" i="11" s="1"/>
  <c r="AM101" i="11"/>
  <c r="AM102" i="11" s="1"/>
  <c r="AP101" i="11"/>
  <c r="AP102" i="11" s="1"/>
  <c r="AH92" i="11"/>
  <c r="G47" i="18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4" i="11"/>
  <c r="M89" i="11" s="1"/>
  <c r="K54" i="8"/>
  <c r="K89" i="11"/>
  <c r="N89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M80" i="11" s="1"/>
  <c r="J65" i="11"/>
  <c r="J70" i="11"/>
  <c r="J74" i="11" s="1"/>
  <c r="J80" i="11" s="1"/>
  <c r="J67" i="11"/>
  <c r="F15" i="8"/>
  <c r="F47" i="8"/>
  <c r="D31" i="9"/>
  <c r="D85" i="17"/>
  <c r="K45" i="8"/>
  <c r="K45" i="18"/>
  <c r="F70" i="11"/>
  <c r="F74" i="11" s="1"/>
  <c r="F80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80" i="11" s="1"/>
  <c r="I67" i="11"/>
  <c r="E35" i="17"/>
  <c r="E17" i="17"/>
  <c r="E40" i="17" s="1"/>
  <c r="G15" i="8"/>
  <c r="G47" i="8"/>
  <c r="I47" i="8"/>
  <c r="I15" i="8"/>
  <c r="N62" i="11"/>
  <c r="G70" i="11"/>
  <c r="G74" i="11" s="1"/>
  <c r="G80" i="11" s="1"/>
  <c r="G65" i="11"/>
  <c r="G67" i="11"/>
  <c r="C31" i="9"/>
  <c r="C85" i="17"/>
  <c r="D70" i="11"/>
  <c r="D74" i="11" s="1"/>
  <c r="D80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F72" i="33" l="1"/>
  <c r="E78" i="33" s="1"/>
  <c r="AB72" i="33"/>
  <c r="AA78" i="33" s="1"/>
  <c r="C80" i="11"/>
  <c r="C81" i="11" s="1"/>
  <c r="C75" i="11"/>
  <c r="F46" i="33"/>
  <c r="E52" i="33" s="1"/>
  <c r="AB46" i="33"/>
  <c r="AA52" i="33" s="1"/>
  <c r="F59" i="33"/>
  <c r="E65" i="33" s="1"/>
  <c r="AB59" i="33"/>
  <c r="AA65" i="33" s="1"/>
  <c r="AB39" i="33"/>
  <c r="AC41" i="33"/>
  <c r="AC42" i="33"/>
  <c r="F85" i="33"/>
  <c r="E91" i="33" s="1"/>
  <c r="AB85" i="33"/>
  <c r="AA91" i="33" s="1"/>
  <c r="AC28" i="33"/>
  <c r="AC29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1" i="11"/>
  <c r="M101" i="11" s="1"/>
  <c r="N28" i="18"/>
  <c r="G48" i="8"/>
  <c r="G57" i="8"/>
  <c r="D48" i="8"/>
  <c r="D57" i="8"/>
  <c r="G75" i="11"/>
  <c r="F48" i="8"/>
  <c r="F57" i="8"/>
  <c r="E85" i="33" l="1"/>
  <c r="F93" i="33"/>
  <c r="F94" i="33"/>
  <c r="F33" i="33"/>
  <c r="AB26" i="33"/>
  <c r="AB33" i="33"/>
  <c r="E46" i="33"/>
  <c r="F54" i="33"/>
  <c r="F55" i="33"/>
  <c r="E59" i="33"/>
  <c r="F67" i="33"/>
  <c r="F68" i="33"/>
  <c r="AA59" i="33"/>
  <c r="Z65" i="33" s="1"/>
  <c r="AB67" i="33"/>
  <c r="AB68" i="33"/>
  <c r="AB93" i="33"/>
  <c r="AB94" i="33"/>
  <c r="AA85" i="33"/>
  <c r="Z91" i="33" s="1"/>
  <c r="AA46" i="33"/>
  <c r="Z52" i="33" s="1"/>
  <c r="AB54" i="33"/>
  <c r="AB55" i="33"/>
  <c r="AA72" i="33"/>
  <c r="Z78" i="33" s="1"/>
  <c r="AB81" i="33"/>
  <c r="AB80" i="33"/>
  <c r="F81" i="33"/>
  <c r="F80" i="33"/>
  <c r="E72" i="33"/>
  <c r="G58" i="8"/>
  <c r="G66" i="8"/>
  <c r="G67" i="8" s="1"/>
  <c r="F91" i="11"/>
  <c r="F81" i="11"/>
  <c r="D58" i="8"/>
  <c r="D66" i="8"/>
  <c r="D67" i="8" s="1"/>
  <c r="G91" i="11"/>
  <c r="G81" i="11"/>
  <c r="I81" i="11"/>
  <c r="I91" i="11"/>
  <c r="E71" i="17"/>
  <c r="M44" i="8"/>
  <c r="M45" i="8" s="1"/>
  <c r="N44" i="8"/>
  <c r="J91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9" i="11"/>
  <c r="D91" i="11" s="1"/>
  <c r="Z59" i="33" l="1"/>
  <c r="Y65" i="33" s="1"/>
  <c r="AA67" i="33"/>
  <c r="AA68" i="33"/>
  <c r="E81" i="33"/>
  <c r="E80" i="33"/>
  <c r="F42" i="33"/>
  <c r="E39" i="33"/>
  <c r="E33" i="33" s="1"/>
  <c r="F41" i="33"/>
  <c r="F20" i="33"/>
  <c r="AB20" i="33"/>
  <c r="AA54" i="33"/>
  <c r="AA55" i="33"/>
  <c r="Z46" i="33"/>
  <c r="Y52" i="33" s="1"/>
  <c r="AB42" i="33"/>
  <c r="AA39" i="33"/>
  <c r="AA33" i="33" s="1"/>
  <c r="AB41" i="33"/>
  <c r="Z85" i="33"/>
  <c r="Y91" i="33" s="1"/>
  <c r="AA93" i="33"/>
  <c r="AA94" i="33"/>
  <c r="E67" i="33"/>
  <c r="E68" i="33"/>
  <c r="E54" i="33"/>
  <c r="E55" i="33"/>
  <c r="Z72" i="33"/>
  <c r="Y78" i="33" s="1"/>
  <c r="AA80" i="33"/>
  <c r="AA81" i="33"/>
  <c r="E93" i="33"/>
  <c r="E94" i="33"/>
  <c r="N15" i="8"/>
  <c r="M15" i="8"/>
  <c r="M16" i="8" s="1"/>
  <c r="M47" i="8" s="1"/>
  <c r="J101" i="11"/>
  <c r="J102" i="11" s="1"/>
  <c r="J92" i="11"/>
  <c r="I101" i="11"/>
  <c r="I102" i="11" s="1"/>
  <c r="I92" i="11"/>
  <c r="K48" i="18"/>
  <c r="N47" i="18"/>
  <c r="N15" i="18"/>
  <c r="M15" i="18"/>
  <c r="M16" i="18" s="1"/>
  <c r="M47" i="18" s="1"/>
  <c r="M48" i="18" s="1"/>
  <c r="E83" i="17"/>
  <c r="E72" i="17"/>
  <c r="K74" i="11"/>
  <c r="K80" i="11" s="1"/>
  <c r="N70" i="11"/>
  <c r="G101" i="11"/>
  <c r="G102" i="11" s="1"/>
  <c r="G92" i="11"/>
  <c r="F101" i="11"/>
  <c r="F102" i="11" s="1"/>
  <c r="F92" i="11"/>
  <c r="K48" i="8"/>
  <c r="K57" i="8"/>
  <c r="N47" i="8"/>
  <c r="C89" i="11"/>
  <c r="C91" i="11" s="1"/>
  <c r="C92" i="11" s="1"/>
  <c r="C51" i="8"/>
  <c r="C55" i="8" s="1"/>
  <c r="C57" i="8" s="1"/>
  <c r="D101" i="11"/>
  <c r="D102" i="11" s="1"/>
  <c r="D92" i="11"/>
  <c r="Z39" i="33" l="1"/>
  <c r="Z33" i="33" s="1"/>
  <c r="AA41" i="33"/>
  <c r="AA42" i="33"/>
  <c r="Y46" i="33"/>
  <c r="X52" i="33" s="1"/>
  <c r="Z54" i="33"/>
  <c r="Z55" i="33"/>
  <c r="AA26" i="33"/>
  <c r="AA20" i="33" s="1"/>
  <c r="AB29" i="33"/>
  <c r="AB28" i="33"/>
  <c r="E26" i="33"/>
  <c r="E20" i="33" s="1"/>
  <c r="F28" i="33"/>
  <c r="F29" i="33"/>
  <c r="E42" i="33"/>
  <c r="E41" i="33"/>
  <c r="Z80" i="33"/>
  <c r="Y72" i="33"/>
  <c r="X78" i="33" s="1"/>
  <c r="Z81" i="33"/>
  <c r="Z93" i="33"/>
  <c r="Z94" i="33"/>
  <c r="Y85" i="33"/>
  <c r="X91" i="33" s="1"/>
  <c r="Z67" i="33"/>
  <c r="Z68" i="33"/>
  <c r="Y59" i="33"/>
  <c r="X65" i="33" s="1"/>
  <c r="K75" i="11"/>
  <c r="N74" i="11"/>
  <c r="K58" i="8"/>
  <c r="N57" i="8"/>
  <c r="K66" i="8"/>
  <c r="M57" i="8"/>
  <c r="M48" i="8"/>
  <c r="C101" i="11"/>
  <c r="C102" i="11" s="1"/>
  <c r="C58" i="8"/>
  <c r="C66" i="8"/>
  <c r="C67" i="8" s="1"/>
  <c r="Y80" i="33" l="1"/>
  <c r="Y81" i="33"/>
  <c r="X72" i="33"/>
  <c r="W78" i="33" s="1"/>
  <c r="E29" i="33"/>
  <c r="E28" i="33"/>
  <c r="Y67" i="33"/>
  <c r="X59" i="33"/>
  <c r="W65" i="33" s="1"/>
  <c r="Y68" i="33"/>
  <c r="X46" i="33"/>
  <c r="W52" i="33" s="1"/>
  <c r="Y54" i="33"/>
  <c r="Y55" i="33"/>
  <c r="Z26" i="33"/>
  <c r="Z20" i="33" s="1"/>
  <c r="AA28" i="33"/>
  <c r="AA29" i="33"/>
  <c r="Y93" i="33"/>
  <c r="Y94" i="33"/>
  <c r="X85" i="33"/>
  <c r="W91" i="33" s="1"/>
  <c r="Z41" i="33"/>
  <c r="Y39" i="33"/>
  <c r="Y33" i="33" s="1"/>
  <c r="Z42" i="33"/>
  <c r="M58" i="8"/>
  <c r="M66" i="8"/>
  <c r="M67" i="8" s="1"/>
  <c r="K67" i="8"/>
  <c r="N66" i="8"/>
  <c r="K91" i="11"/>
  <c r="N80" i="11"/>
  <c r="K81" i="11"/>
  <c r="C44" i="8"/>
  <c r="W46" i="33" l="1"/>
  <c r="V52" i="33" s="1"/>
  <c r="X54" i="33"/>
  <c r="X55" i="33"/>
  <c r="W59" i="33"/>
  <c r="V65" i="33" s="1"/>
  <c r="X67" i="33"/>
  <c r="X68" i="33"/>
  <c r="Z28" i="33"/>
  <c r="Y26" i="33"/>
  <c r="Y20" i="33" s="1"/>
  <c r="Z29" i="33"/>
  <c r="Y42" i="33"/>
  <c r="X39" i="33"/>
  <c r="X33" i="33" s="1"/>
  <c r="Y41" i="33"/>
  <c r="X80" i="33"/>
  <c r="X81" i="33"/>
  <c r="W72" i="33"/>
  <c r="V78" i="33" s="1"/>
  <c r="X93" i="33"/>
  <c r="X94" i="33"/>
  <c r="W85" i="33"/>
  <c r="V91" i="33" s="1"/>
  <c r="K101" i="11"/>
  <c r="N91" i="11"/>
  <c r="K92" i="11"/>
  <c r="X41" i="33" l="1"/>
  <c r="X42" i="33"/>
  <c r="W39" i="33"/>
  <c r="W33" i="33" s="1"/>
  <c r="V72" i="33"/>
  <c r="U78" i="33" s="1"/>
  <c r="W80" i="33"/>
  <c r="W81" i="33"/>
  <c r="Y28" i="33"/>
  <c r="Y29" i="33"/>
  <c r="X26" i="33"/>
  <c r="X20" i="33" s="1"/>
  <c r="W68" i="33"/>
  <c r="V59" i="33"/>
  <c r="U65" i="33" s="1"/>
  <c r="W67" i="33"/>
  <c r="W93" i="33"/>
  <c r="W94" i="33"/>
  <c r="V85" i="33"/>
  <c r="U91" i="33" s="1"/>
  <c r="V46" i="33"/>
  <c r="U52" i="33" s="1"/>
  <c r="W55" i="33"/>
  <c r="W54" i="33"/>
  <c r="K102" i="11"/>
  <c r="N101" i="11"/>
  <c r="U59" i="33" l="1"/>
  <c r="T65" i="33" s="1"/>
  <c r="V68" i="33"/>
  <c r="V67" i="33"/>
  <c r="U46" i="33"/>
  <c r="T52" i="33" s="1"/>
  <c r="V54" i="33"/>
  <c r="V55" i="33"/>
  <c r="X28" i="33"/>
  <c r="X29" i="33"/>
  <c r="W26" i="33"/>
  <c r="W20" i="33" s="1"/>
  <c r="V93" i="33"/>
  <c r="V94" i="33"/>
  <c r="U85" i="33"/>
  <c r="T91" i="33" s="1"/>
  <c r="U72" i="33"/>
  <c r="T78" i="33" s="1"/>
  <c r="V81" i="33"/>
  <c r="V80" i="33"/>
  <c r="W41" i="33"/>
  <c r="W42" i="33"/>
  <c r="V39" i="33"/>
  <c r="V33" i="33" s="1"/>
  <c r="U80" i="33" l="1"/>
  <c r="U81" i="33"/>
  <c r="T72" i="33"/>
  <c r="S78" i="33" s="1"/>
  <c r="U93" i="33"/>
  <c r="U94" i="33"/>
  <c r="T85" i="33"/>
  <c r="S91" i="33" s="1"/>
  <c r="W29" i="33"/>
  <c r="W28" i="33"/>
  <c r="V26" i="33"/>
  <c r="V20" i="33" s="1"/>
  <c r="U54" i="33"/>
  <c r="T46" i="33"/>
  <c r="S52" i="33" s="1"/>
  <c r="U55" i="33"/>
  <c r="V42" i="33"/>
  <c r="U39" i="33"/>
  <c r="U33" i="33" s="1"/>
  <c r="V41" i="33"/>
  <c r="T59" i="33"/>
  <c r="S65" i="33" s="1"/>
  <c r="U67" i="33"/>
  <c r="U68" i="33"/>
  <c r="T39" i="33" l="1"/>
  <c r="T33" i="33" s="1"/>
  <c r="U41" i="33"/>
  <c r="U42" i="33"/>
  <c r="S46" i="33"/>
  <c r="R52" i="33" s="1"/>
  <c r="T54" i="33"/>
  <c r="T55" i="33"/>
  <c r="V29" i="33"/>
  <c r="U26" i="33"/>
  <c r="U20" i="33" s="1"/>
  <c r="V28" i="33"/>
  <c r="T67" i="33"/>
  <c r="S59" i="33"/>
  <c r="R65" i="33" s="1"/>
  <c r="T68" i="33"/>
  <c r="S85" i="33"/>
  <c r="R91" i="33" s="1"/>
  <c r="T93" i="33"/>
  <c r="T94" i="33"/>
  <c r="S72" i="33"/>
  <c r="R78" i="33" s="1"/>
  <c r="T80" i="33"/>
  <c r="T81" i="33"/>
  <c r="R85" i="33" l="1"/>
  <c r="Q91" i="33" s="1"/>
  <c r="S94" i="33"/>
  <c r="S93" i="33"/>
  <c r="S68" i="33"/>
  <c r="R59" i="33"/>
  <c r="Q65" i="33" s="1"/>
  <c r="S67" i="33"/>
  <c r="R72" i="33"/>
  <c r="Q78" i="33" s="1"/>
  <c r="S80" i="33"/>
  <c r="S81" i="33"/>
  <c r="U28" i="33"/>
  <c r="U29" i="33"/>
  <c r="T26" i="33"/>
  <c r="T20" i="33" s="1"/>
  <c r="R46" i="33"/>
  <c r="Q52" i="33" s="1"/>
  <c r="S54" i="33"/>
  <c r="S55" i="33"/>
  <c r="T42" i="33"/>
  <c r="T41" i="33"/>
  <c r="S39" i="33"/>
  <c r="S33" i="33" s="1"/>
  <c r="Q46" i="33" l="1"/>
  <c r="P52" i="33" s="1"/>
  <c r="R54" i="33"/>
  <c r="R55" i="33"/>
  <c r="S26" i="33"/>
  <c r="S20" i="33" s="1"/>
  <c r="T29" i="33"/>
  <c r="T28" i="33"/>
  <c r="R81" i="33"/>
  <c r="R80" i="33"/>
  <c r="Q72" i="33"/>
  <c r="P78" i="33" s="1"/>
  <c r="R67" i="33"/>
  <c r="Q59" i="33"/>
  <c r="P65" i="33" s="1"/>
  <c r="R68" i="33"/>
  <c r="R39" i="33"/>
  <c r="R33" i="33" s="1"/>
  <c r="S41" i="33"/>
  <c r="S42" i="33"/>
  <c r="Q85" i="33"/>
  <c r="P91" i="33" s="1"/>
  <c r="R93" i="33"/>
  <c r="R94" i="33"/>
  <c r="Q94" i="33" l="1"/>
  <c r="Q93" i="33"/>
  <c r="P85" i="33"/>
  <c r="O91" i="33" s="1"/>
  <c r="R42" i="33"/>
  <c r="Q39" i="33"/>
  <c r="Q33" i="33" s="1"/>
  <c r="R41" i="33"/>
  <c r="Q68" i="33"/>
  <c r="P59" i="33"/>
  <c r="O65" i="33" s="1"/>
  <c r="Q67" i="33"/>
  <c r="Q81" i="33"/>
  <c r="P72" i="33"/>
  <c r="O78" i="33" s="1"/>
  <c r="Q80" i="33"/>
  <c r="R26" i="33"/>
  <c r="R20" i="33" s="1"/>
  <c r="S29" i="33"/>
  <c r="S28" i="33"/>
  <c r="Q55" i="33"/>
  <c r="P46" i="33"/>
  <c r="O52" i="33" s="1"/>
  <c r="Q54" i="33"/>
  <c r="P67" i="33" l="1"/>
  <c r="O59" i="33"/>
  <c r="N65" i="33" s="1"/>
  <c r="P68" i="33"/>
  <c r="P81" i="33"/>
  <c r="O72" i="33"/>
  <c r="N78" i="33" s="1"/>
  <c r="P80" i="33"/>
  <c r="Q41" i="33"/>
  <c r="Q42" i="33"/>
  <c r="P39" i="33"/>
  <c r="P33" i="33" s="1"/>
  <c r="R28" i="33"/>
  <c r="R29" i="33"/>
  <c r="Q26" i="33"/>
  <c r="Q20" i="33" s="1"/>
  <c r="O85" i="33"/>
  <c r="N91" i="33" s="1"/>
  <c r="P93" i="33"/>
  <c r="P94" i="33"/>
  <c r="P55" i="33"/>
  <c r="O46" i="33"/>
  <c r="N52" i="33" s="1"/>
  <c r="P54" i="33"/>
  <c r="P42" i="33" l="1"/>
  <c r="P41" i="33"/>
  <c r="O39" i="33"/>
  <c r="O33" i="33" s="1"/>
  <c r="P26" i="33"/>
  <c r="P20" i="33" s="1"/>
  <c r="Q29" i="33"/>
  <c r="Q28" i="33"/>
  <c r="N72" i="33"/>
  <c r="M78" i="33" s="1"/>
  <c r="O81" i="33"/>
  <c r="O80" i="33"/>
  <c r="O68" i="33"/>
  <c r="O67" i="33"/>
  <c r="N59" i="33"/>
  <c r="M65" i="33" s="1"/>
  <c r="N85" i="33"/>
  <c r="M91" i="33" s="1"/>
  <c r="O94" i="33"/>
  <c r="O93" i="33"/>
  <c r="N46" i="33"/>
  <c r="M52" i="33" s="1"/>
  <c r="O54" i="33"/>
  <c r="O55" i="33"/>
  <c r="M46" i="33" l="1"/>
  <c r="L52" i="33" s="1"/>
  <c r="N54" i="33"/>
  <c r="N55" i="33"/>
  <c r="M85" i="33"/>
  <c r="L91" i="33" s="1"/>
  <c r="N93" i="33"/>
  <c r="N94" i="33"/>
  <c r="O26" i="33"/>
  <c r="O20" i="33" s="1"/>
  <c r="P28" i="33"/>
  <c r="P29" i="33"/>
  <c r="N67" i="33"/>
  <c r="N68" i="33"/>
  <c r="M59" i="33"/>
  <c r="L65" i="33" s="1"/>
  <c r="M72" i="33"/>
  <c r="L78" i="33" s="1"/>
  <c r="N80" i="33"/>
  <c r="N81" i="33"/>
  <c r="N39" i="33"/>
  <c r="N33" i="33" s="1"/>
  <c r="O41" i="33"/>
  <c r="O42" i="33"/>
  <c r="AC7" i="33"/>
  <c r="AB13" i="33" s="1"/>
  <c r="AB7" i="33" s="1"/>
  <c r="M68" i="33" l="1"/>
  <c r="L59" i="33"/>
  <c r="K65" i="33" s="1"/>
  <c r="M67" i="33"/>
  <c r="N42" i="33"/>
  <c r="N41" i="33"/>
  <c r="M39" i="33"/>
  <c r="M33" i="33" s="1"/>
  <c r="L72" i="33"/>
  <c r="K78" i="33" s="1"/>
  <c r="M80" i="33"/>
  <c r="M81" i="33"/>
  <c r="O28" i="33"/>
  <c r="N26" i="33"/>
  <c r="N20" i="33" s="1"/>
  <c r="O29" i="33"/>
  <c r="M93" i="33"/>
  <c r="L85" i="33"/>
  <c r="K91" i="33" s="1"/>
  <c r="M94" i="33"/>
  <c r="M55" i="33"/>
  <c r="L46" i="33"/>
  <c r="K52" i="33" s="1"/>
  <c r="M54" i="33"/>
  <c r="AA13" i="33"/>
  <c r="AA7" i="33" s="1"/>
  <c r="AB15" i="33"/>
  <c r="AB16" i="33"/>
  <c r="AC15" i="33"/>
  <c r="AC16" i="33"/>
  <c r="F7" i="33"/>
  <c r="K85" i="33" l="1"/>
  <c r="J91" i="33" s="1"/>
  <c r="L94" i="33"/>
  <c r="L93" i="33"/>
  <c r="L39" i="33"/>
  <c r="L33" i="33" s="1"/>
  <c r="M42" i="33"/>
  <c r="M41" i="33"/>
  <c r="M26" i="33"/>
  <c r="M20" i="33" s="1"/>
  <c r="N29" i="33"/>
  <c r="N28" i="33"/>
  <c r="K72" i="33"/>
  <c r="J78" i="33" s="1"/>
  <c r="L80" i="33"/>
  <c r="L81" i="33"/>
  <c r="K59" i="33"/>
  <c r="J65" i="33" s="1"/>
  <c r="L67" i="33"/>
  <c r="L68" i="33"/>
  <c r="K46" i="33"/>
  <c r="J52" i="33" s="1"/>
  <c r="L54" i="33"/>
  <c r="L55" i="33"/>
  <c r="F15" i="33"/>
  <c r="F16" i="33"/>
  <c r="E13" i="33"/>
  <c r="E7" i="33" s="1"/>
  <c r="Z13" i="33"/>
  <c r="Z7" i="33" s="1"/>
  <c r="AA16" i="33"/>
  <c r="AA15" i="33"/>
  <c r="K68" i="33" l="1"/>
  <c r="J59" i="33"/>
  <c r="K67" i="33"/>
  <c r="J72" i="33"/>
  <c r="K80" i="33"/>
  <c r="K81" i="33"/>
  <c r="M29" i="33"/>
  <c r="L26" i="33"/>
  <c r="L20" i="33" s="1"/>
  <c r="M28" i="33"/>
  <c r="L42" i="33"/>
  <c r="K39" i="33"/>
  <c r="K33" i="33" s="1"/>
  <c r="L41" i="33"/>
  <c r="K55" i="33"/>
  <c r="J46" i="33"/>
  <c r="K54" i="33"/>
  <c r="J85" i="33"/>
  <c r="K94" i="33"/>
  <c r="K93" i="33"/>
  <c r="D13" i="33"/>
  <c r="D7" i="33" s="1"/>
  <c r="C13" i="33" s="1"/>
  <c r="C7" i="33" s="1"/>
  <c r="E16" i="33"/>
  <c r="E15" i="33"/>
  <c r="Z15" i="33"/>
  <c r="Y13" i="33"/>
  <c r="Y7" i="33" s="1"/>
  <c r="Z16" i="33"/>
  <c r="J55" i="33" l="1"/>
  <c r="J54" i="33"/>
  <c r="J93" i="33"/>
  <c r="J94" i="33"/>
  <c r="J81" i="33"/>
  <c r="J80" i="33"/>
  <c r="K41" i="33"/>
  <c r="K42" i="33"/>
  <c r="J39" i="33"/>
  <c r="J33" i="33" s="1"/>
  <c r="K26" i="33"/>
  <c r="K20" i="33" s="1"/>
  <c r="L29" i="33"/>
  <c r="L28" i="33"/>
  <c r="J68" i="33"/>
  <c r="J67" i="33"/>
  <c r="Y15" i="33"/>
  <c r="Y16" i="33"/>
  <c r="X13" i="33"/>
  <c r="X7" i="33" s="1"/>
  <c r="J26" i="33" l="1"/>
  <c r="J20" i="33" s="1"/>
  <c r="K29" i="33"/>
  <c r="K28" i="33"/>
  <c r="J42" i="33"/>
  <c r="J41" i="33"/>
  <c r="X15" i="33"/>
  <c r="X16" i="33"/>
  <c r="W13" i="33"/>
  <c r="W7" i="33" s="1"/>
  <c r="J28" i="33" l="1"/>
  <c r="J29" i="33"/>
  <c r="W15" i="33"/>
  <c r="V13" i="33"/>
  <c r="V7" i="33" s="1"/>
  <c r="W16" i="33"/>
  <c r="U13" i="33" l="1"/>
  <c r="U7" i="33" s="1"/>
  <c r="V16" i="33"/>
  <c r="V15" i="33"/>
  <c r="U16" i="33" l="1"/>
  <c r="U15" i="33"/>
  <c r="T13" i="33"/>
  <c r="T7" i="33" s="1"/>
  <c r="T15" i="33" l="1"/>
  <c r="S13" i="33"/>
  <c r="S7" i="33" s="1"/>
  <c r="T16" i="33"/>
  <c r="S15" i="33" l="1"/>
  <c r="R13" i="33"/>
  <c r="R7" i="33" s="1"/>
  <c r="S16" i="33"/>
  <c r="R16" i="33" l="1"/>
  <c r="R15" i="33"/>
  <c r="Q13" i="33"/>
  <c r="Q7" i="33" s="1"/>
  <c r="Q16" i="33" l="1"/>
  <c r="P13" i="33"/>
  <c r="P7" i="33" s="1"/>
  <c r="Q15" i="33"/>
  <c r="P15" i="33" l="1"/>
  <c r="O13" i="33"/>
  <c r="O7" i="33" s="1"/>
  <c r="P16" i="33"/>
  <c r="O15" i="33" l="1"/>
  <c r="N13" i="33"/>
  <c r="N7" i="33" s="1"/>
  <c r="O16" i="33"/>
  <c r="M13" i="33" l="1"/>
  <c r="M7" i="33" s="1"/>
  <c r="N16" i="33"/>
  <c r="N15" i="33"/>
  <c r="M16" i="33" l="1"/>
  <c r="M15" i="33"/>
  <c r="L13" i="33"/>
  <c r="L7" i="33" s="1"/>
  <c r="L16" i="33" l="1"/>
  <c r="L15" i="33"/>
  <c r="K13" i="33"/>
  <c r="K7" i="33" s="1"/>
  <c r="J13" i="33" l="1"/>
  <c r="J7" i="33" s="1"/>
  <c r="K15" i="33"/>
  <c r="K16" i="33"/>
  <c r="J16" i="33" l="1"/>
  <c r="J1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<sst xmlns="http://schemas.openxmlformats.org/spreadsheetml/2006/main" count="21557" uniqueCount="1558">
  <si>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</si>
  <si>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</si>
  <si>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</si>
  <si>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</si>
  <si>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</si>
  <si>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</si>
  <si>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</si>
  <si>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</si>
  <si>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</si>
  <si>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</si>
  <si>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</si>
  <si>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</si>
  <si>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</si>
  <si>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</si>
  <si>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</si>
  <si>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</si>
  <si>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</si>
  <si>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</si>
  <si>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</si>
  <si>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</si>
  <si>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</si>
  <si>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</si>
  <si>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</si>
  <si>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</si>
  <si>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</si>
  <si>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</si>
  <si>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</si>
  <si>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</si>
  <si>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</si>
  <si>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</si>
  <si>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</si>
  <si>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</si>
  <si>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</si>
  <si>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</si>
  <si>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</si>
  <si>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</si>
  <si>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</si>
  <si>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</si>
  <si>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</si>
  <si>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</si>
  <si>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</si>
  <si>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</si>
  <si>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</si>
  <si>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</si>
  <si>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</si>
  <si>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</si>
  <si>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</si>
  <si>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</si>
  <si>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</si>
  <si>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</si>
  <si>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</si>
  <si>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</si>
  <si>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</si>
  <si>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</si>
  <si>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</si>
  <si>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</si>
  <si>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</si>
  <si>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</si>
  <si>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</si>
  <si>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</si>
  <si>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</si>
  <si>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</si>
  <si>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</si>
  <si>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</si>
  <si>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</si>
  <si>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</si>
  <si>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</si>
  <si>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</si>
  <si>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</si>
  <si>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</si>
  <si>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</si>
  <si>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</si>
  <si>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</si>
  <si>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</si>
  <si>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</si>
  <si>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</si>
  <si>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</si>
  <si>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</si>
  <si>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</si>
  <si>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</si>
  <si>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</si>
  <si>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</si>
  <si>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</si>
  <si>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</si>
  <si>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</si>
  <si>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</si>
  <si>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</si>
  <si>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</si>
  <si>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</si>
  <si>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</si>
  <si>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</si>
  <si>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</si>
  <si>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</si>
  <si>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</si>
  <si>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</si>
  <si>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</si>
  <si>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</si>
  <si>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</si>
  <si>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</si>
  <si>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</si>
  <si>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</si>
  <si>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</si>
  <si>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</si>
  <si>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</si>
  <si>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</si>
  <si>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</si>
  <si>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</si>
  <si>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</si>
  <si>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</si>
  <si>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</si>
  <si>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</si>
  <si>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</si>
  <si>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</si>
  <si>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</si>
  <si>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</si>
  <si>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</si>
  <si>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</si>
  <si>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</si>
  <si>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</si>
  <si>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</si>
  <si>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</si>
  <si>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</si>
  <si>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</si>
  <si>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</si>
  <si>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</si>
  <si>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</si>
  <si>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</si>
  <si>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</si>
  <si>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</si>
  <si>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</si>
  <si>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</si>
  <si>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</si>
  <si>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</si>
  <si>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</si>
  <si>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</si>
  <si>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</si>
  <si>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</si>
  <si>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</si>
  <si>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</si>
  <si>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</si>
  <si>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</si>
  <si>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</si>
  <si>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</si>
  <si>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</si>
  <si>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</si>
  <si>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</si>
  <si>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</si>
  <si>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</si>
  <si>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</si>
  <si>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</si>
  <si>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</si>
  <si>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</si>
  <si>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</si>
  <si>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</si>
  <si>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</si>
  <si>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</si>
  <si>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</si>
  <si>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</si>
  <si>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</si>
  <si>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</si>
  <si>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</si>
  <si>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</si>
  <si>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</si>
  <si>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</si>
  <si>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</si>
  <si>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</si>
  <si>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</si>
  <si>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</si>
  <si>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</si>
  <si>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</si>
  <si>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</si>
  <si>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</si>
  <si>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</si>
  <si>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</si>
  <si>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</si>
  <si>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</si>
  <si>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</si>
  <si>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</si>
  <si>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</si>
  <si>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</si>
  <si>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</si>
  <si>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</si>
  <si>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</si>
  <si>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</si>
  <si>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</si>
  <si>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</si>
  <si>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</si>
  <si>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</si>
  <si>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</si>
  <si>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</si>
  <si>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</si>
  <si>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</si>
  <si>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</si>
  <si>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</si>
  <si>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</si>
  <si>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</si>
  <si>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</si>
  <si>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</si>
  <si>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</si>
  <si>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</si>
  <si>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</si>
  <si>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</si>
  <si>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</si>
  <si>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</si>
  <si>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</si>
  <si>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</si>
  <si>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</si>
  <si>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</si>
  <si>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</si>
  <si>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</si>
  <si>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</si>
  <si>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</si>
  <si>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</si>
  <si>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</si>
  <si>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</si>
  <si>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</si>
  <si>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</si>
  <si>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</si>
  <si>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</si>
  <si>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</si>
  <si>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</si>
  <si>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</si>
  <si>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</si>
  <si>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</si>
  <si>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</si>
  <si>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</si>
  <si>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</si>
  <si>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</si>
  <si>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</si>
  <si>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</si>
  <si>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</si>
  <si>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</si>
  <si>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</si>
  <si>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</si>
  <si>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</si>
  <si>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</si>
  <si>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</si>
  <si>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</si>
  <si>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</si>
  <si>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</si>
  <si>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</si>
  <si>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</si>
  <si>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</si>
  <si>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</si>
  <si>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</si>
  <si>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</si>
  <si>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</si>
  <si>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</si>
  <si>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</si>
  <si>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</si>
  <si>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</si>
  <si>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</si>
  <si>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</si>
  <si>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</si>
  <si>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</si>
  <si>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</si>
  <si>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</si>
  <si>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</si>
  <si>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</si>
  <si>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</si>
  <si>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</si>
  <si>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</si>
  <si>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</si>
  <si>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</si>
  <si>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</si>
  <si>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</si>
  <si>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</si>
  <si>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</si>
  <si>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</si>
  <si>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</si>
  <si>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</si>
  <si>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</si>
  <si>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</si>
  <si>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</si>
  <si>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</si>
  <si>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</si>
  <si>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</si>
  <si>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</si>
  <si>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</si>
  <si>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</si>
  <si>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</si>
  <si>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</si>
  <si>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</si>
  <si>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</si>
  <si>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</si>
  <si>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</si>
  <si>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</si>
  <si>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</si>
  <si>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</si>
  <si>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</si>
  <si>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</si>
  <si>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</si>
  <si>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</si>
  <si>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</si>
  <si>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</si>
  <si>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</si>
  <si>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</si>
  <si>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</si>
  <si>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</si>
  <si>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</si>
  <si>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</si>
  <si>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</si>
  <si>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</si>
  <si>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</si>
  <si>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</si>
  <si>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</si>
  <si>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</si>
  <si>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</si>
  <si>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</si>
  <si>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</si>
  <si>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</si>
  <si>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</si>
  <si>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</si>
  <si>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</si>
  <si>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</si>
  <si>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</si>
  <si>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</si>
  <si>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</si>
  <si>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</si>
  <si>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</si>
  <si>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</si>
  <si>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</si>
  <si>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</si>
  <si>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</si>
  <si>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</si>
  <si>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</si>
  <si>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</si>
  <si>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</si>
  <si>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</si>
  <si>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</si>
  <si>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</si>
  <si>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</si>
  <si>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</si>
  <si>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</si>
  <si>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</si>
  <si>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</si>
  <si>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</si>
  <si>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</si>
  <si>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</si>
  <si>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</si>
  <si>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</si>
  <si>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</si>
  <si>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</si>
  <si>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</si>
  <si>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</si>
  <si>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</si>
  <si>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</si>
  <si>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</si>
  <si>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</si>
  <si>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</si>
  <si>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</si>
  <si>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</si>
  <si>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</si>
  <si>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</si>
  <si>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</si>
  <si>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</si>
  <si>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</si>
  <si>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</si>
  <si>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</si>
  <si>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</si>
  <si>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</si>
  <si>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</si>
  <si>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</si>
  <si>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</si>
  <si>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</si>
  <si>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</si>
  <si>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</si>
  <si>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</si>
  <si>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</si>
  <si>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</si>
  <si>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</si>
  <si>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</si>
  <si>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</si>
  <si>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</si>
  <si>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</si>
  <si>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</si>
  <si>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</si>
  <si>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</si>
  <si>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</si>
  <si>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</si>
  <si>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</si>
  <si>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</si>
  <si>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</si>
  <si>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</si>
  <si>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</si>
  <si>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</si>
  <si>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</si>
  <si>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</si>
  <si>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</si>
  <si>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</si>
  <si>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</si>
  <si>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</si>
  <si>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</si>
  <si>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</si>
  <si>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</si>
  <si>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</si>
  <si>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</si>
  <si>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</si>
  <si>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</si>
  <si>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</si>
  <si>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</si>
  <si>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</si>
  <si>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</si>
  <si>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</si>
  <si>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</si>
  <si>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</si>
  <si>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</si>
  <si>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</si>
  <si>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</si>
  <si>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</si>
  <si>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</si>
  <si>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</si>
  <si>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</si>
  <si>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</si>
  <si>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</si>
  <si>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</si>
  <si>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</si>
  <si>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</si>
  <si>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</si>
  <si>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</si>
  <si>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</si>
  <si>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</si>
  <si>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</si>
  <si>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</si>
  <si>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</si>
  <si>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</si>
  <si>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</si>
  <si>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</si>
  <si>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</si>
  <si>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</si>
  <si>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</si>
  <si>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</si>
  <si>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</si>
  <si>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</si>
  <si>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</si>
  <si>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</si>
  <si>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</si>
  <si>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</si>
  <si>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</si>
  <si>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</si>
  <si>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</si>
  <si>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</si>
  <si>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</si>
  <si>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</si>
  <si>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</si>
  <si>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</si>
  <si>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</si>
  <si>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</si>
  <si>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</si>
  <si>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</si>
  <si>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</si>
  <si>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</si>
  <si>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</si>
  <si>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</si>
  <si>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</si>
  <si>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</si>
  <si>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</si>
  <si>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</si>
  <si>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</si>
  <si>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</si>
  <si>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</si>
  <si>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</si>
  <si>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</si>
  <si>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</si>
  <si>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</si>
  <si>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</si>
  <si>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</si>
  <si>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</si>
  <si>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</si>
  <si>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</si>
  <si>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</si>
  <si>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</si>
  <si>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</si>
  <si>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</si>
  <si>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</si>
  <si>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</si>
  <si>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</si>
  <si>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</si>
  <si>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</si>
  <si>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</si>
  <si>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</si>
  <si>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</si>
  <si>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</si>
  <si>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</si>
  <si>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</si>
  <si>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</si>
  <si>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</si>
  <si>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</si>
  <si>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</si>
  <si>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</si>
  <si>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</si>
  <si>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</si>
  <si>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</si>
  <si>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</si>
  <si>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</si>
  <si>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</si>
  <si>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</si>
  <si>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</si>
  <si>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</si>
  <si>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</si>
  <si>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</si>
  <si>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</si>
  <si>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</si>
  <si>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</si>
  <si>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</si>
  <si>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</si>
  <si>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</si>
  <si>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</si>
  <si>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</si>
  <si>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</si>
  <si>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</si>
  <si>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</si>
  <si>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</si>
  <si>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</si>
  <si>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</si>
  <si>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</si>
  <si>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</si>
  <si>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</si>
  <si>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</si>
  <si>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</si>
  <si>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</si>
  <si>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</si>
  <si>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</si>
  <si>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</si>
  <si>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</si>
  <si>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</si>
  <si>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</si>
  <si>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</si>
  <si>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</si>
  <si>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</si>
  <si>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</si>
  <si>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</si>
  <si>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</si>
  <si>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</si>
  <si>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</si>
  <si>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</si>
  <si>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</si>
  <si>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</si>
  <si>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</si>
  <si>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</si>
  <si>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</si>
  <si>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</si>
  <si>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</si>
  <si>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</si>
  <si>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</si>
  <si>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</si>
  <si>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</si>
  <si>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</si>
  <si>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</si>
  <si>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</si>
  <si>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</si>
  <si>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</si>
  <si>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</si>
  <si>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</si>
  <si>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</si>
  <si>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</si>
  <si>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</si>
  <si>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</si>
  <si>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</si>
  <si>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</si>
  <si>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</si>
  <si>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</si>
  <si>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</si>
  <si>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</si>
  <si>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</si>
  <si>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</si>
  <si>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</si>
  <si>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</si>
  <si>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</si>
  <si>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</si>
  <si>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</si>
  <si>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</si>
  <si>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</si>
  <si>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</si>
  <si>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</si>
  <si>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</si>
  <si>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</si>
  <si>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</si>
  <si>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</si>
  <si>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</si>
  <si>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</si>
  <si>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</si>
  <si>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</si>
  <si>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</si>
  <si>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</si>
  <si>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</si>
  <si>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</si>
  <si>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</si>
  <si>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</si>
  <si>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</si>
  <si>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</si>
  <si>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</si>
  <si>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</si>
  <si>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</si>
  <si>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</si>
  <si>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</si>
  <si>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</si>
  <si>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</si>
  <si>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</si>
  <si>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</si>
  <si>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</si>
  <si>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</si>
  <si>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</si>
  <si>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</si>
  <si>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</si>
  <si>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</si>
  <si>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</si>
  <si>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</si>
  <si>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</si>
  <si>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</si>
  <si>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</si>
  <si>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</si>
  <si>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</si>
  <si>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</si>
  <si>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</si>
  <si>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</si>
  <si>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</si>
  <si>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</si>
  <si>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</si>
  <si>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</si>
  <si>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</si>
  <si>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</si>
  <si>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</si>
  <si>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</si>
  <si>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</si>
  <si>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</si>
  <si>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</si>
  <si>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</si>
  <si>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</si>
  <si>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</si>
  <si>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</si>
  <si>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</si>
  <si>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</si>
  <si>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</si>
  <si>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</si>
  <si>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</si>
  <si>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</si>
  <si>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</si>
  <si>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</si>
  <si>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</si>
  <si>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</si>
  <si>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</si>
  <si>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</si>
  <si>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</si>
  <si>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</si>
  <si>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</si>
  <si>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</si>
  <si>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</si>
  <si>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</si>
  <si>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</si>
  <si>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</si>
  <si>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</si>
  <si>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</si>
  <si>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</si>
  <si>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</si>
  <si>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</si>
  <si>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</si>
  <si>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</si>
  <si>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</si>
  <si>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</si>
  <si>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</si>
  <si>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</si>
  <si>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</si>
  <si>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</si>
  <si>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</si>
  <si>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</si>
  <si>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</si>
  <si>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</si>
  <si>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</si>
  <si>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</si>
  <si>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</si>
  <si>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</si>
  <si>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</si>
  <si>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</si>
  <si>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</si>
  <si>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</si>
  <si>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</si>
  <si>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</si>
  <si>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</si>
  <si>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</si>
  <si>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</si>
  <si>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</si>
  <si>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</si>
  <si>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</si>
  <si>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</si>
  <si>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</si>
  <si>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</si>
  <si>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</si>
  <si>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</si>
  <si>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</si>
  <si>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</si>
  <si>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</si>
  <si>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</si>
  <si>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</si>
  <si>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</si>
  <si>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</si>
  <si>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</si>
  <si>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</si>
  <si>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</si>
  <si>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</si>
  <si>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</si>
  <si>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</si>
  <si>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</si>
  <si>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</si>
  <si>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</si>
  <si>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</si>
  <si>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</si>
  <si>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</si>
  <si>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</si>
  <si>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</si>
  <si>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</si>
  <si>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</si>
  <si>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</si>
  <si>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</si>
  <si>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</si>
  <si>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</si>
  <si>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</si>
  <si>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</si>
  <si>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</si>
  <si>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</si>
  <si>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</si>
  <si>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</si>
  <si>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</si>
  <si>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</si>
  <si>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</si>
  <si>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</si>
  <si>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</si>
  <si>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</si>
  <si>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</si>
  <si>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</si>
  <si>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</si>
  <si>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</si>
  <si>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</si>
  <si>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</si>
  <si>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</si>
  <si>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</si>
  <si>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</si>
  <si>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</si>
  <si>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</si>
  <si>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</si>
  <si>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</si>
  <si>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</si>
  <si>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</si>
  <si>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</si>
  <si>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</si>
  <si>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</si>
  <si>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</si>
  <si>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</si>
  <si>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</si>
  <si>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</si>
  <si>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</si>
  <si>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</si>
  <si>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</si>
  <si>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</si>
  <si>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</si>
  <si>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</si>
  <si>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</si>
  <si>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</si>
  <si>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</si>
  <si>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</si>
  <si>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</si>
  <si>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</si>
  <si>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</si>
  <si>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</si>
  <si>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</si>
  <si>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</si>
  <si>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</si>
  <si>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</si>
  <si>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</si>
  <si>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</si>
  <si>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</si>
  <si>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</si>
  <si>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</si>
  <si>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</si>
  <si>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</si>
  <si>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</si>
  <si>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</si>
  <si>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</si>
  <si>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</si>
  <si>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</si>
  <si>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</si>
  <si>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</si>
  <si>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</si>
  <si>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</si>
  <si>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</si>
  <si>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</si>
  <si>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</si>
  <si>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</si>
  <si>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</si>
  <si>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</si>
  <si>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</si>
  <si>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</si>
  <si>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</si>
  <si>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</si>
  <si>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</si>
  <si>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</si>
  <si>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</si>
  <si>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</si>
  <si>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</si>
  <si>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</si>
  <si>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</si>
  <si>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</si>
  <si>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</si>
  <si>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</si>
  <si>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</si>
  <si>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</si>
  <si>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</si>
  <si>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</si>
  <si>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</si>
  <si>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</si>
  <si>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</si>
  <si>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</si>
  <si>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</si>
  <si>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</si>
  <si>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</si>
  <si>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</si>
  <si>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</si>
  <si>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</si>
  <si>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</si>
  <si>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</si>
  <si>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</si>
  <si>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</si>
  <si>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</si>
  <si>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</si>
  <si>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</si>
  <si>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</si>
  <si>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</si>
  <si>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</si>
  <si>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</si>
  <si>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</si>
  <si>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</si>
  <si>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</si>
  <si>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</si>
  <si>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</si>
  <si>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</si>
  <si>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</si>
  <si>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</si>
  <si>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</si>
  <si>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</si>
  <si>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</si>
  <si>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</si>
  <si>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</si>
  <si>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</si>
  <si>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</si>
  <si>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</si>
  <si>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</si>
  <si>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</si>
  <si>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</si>
  <si>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</si>
  <si>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</si>
  <si>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</si>
  <si>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</si>
  <si>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</si>
  <si>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</si>
  <si>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</si>
  <si>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</si>
  <si>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</si>
  <si>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</si>
  <si>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</si>
  <si>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</si>
  <si>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</si>
  <si>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</si>
  <si>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</si>
  <si>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</si>
  <si>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</si>
  <si>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</si>
  <si>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</si>
  <si>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</si>
  <si>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</si>
  <si>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</si>
  <si>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</si>
  <si>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</si>
  <si>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</si>
  <si>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</si>
  <si>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</si>
  <si>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</si>
  <si>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</si>
  <si>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</si>
  <si>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</si>
  <si>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</si>
  <si>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</si>
  <si>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</si>
  <si>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</si>
  <si>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</si>
  <si>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</si>
  <si>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</si>
  <si>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</si>
  <si>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</si>
  <si>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</si>
  <si>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</si>
  <si>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</si>
  <si>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</si>
  <si>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</si>
  <si>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</si>
  <si>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</si>
  <si>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</si>
  <si>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</si>
  <si>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</si>
  <si>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</si>
  <si>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</si>
  <si>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</si>
  <si>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</si>
  <si>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</si>
  <si>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</si>
  <si>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</si>
  <si>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</si>
  <si>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</si>
  <si>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</si>
  <si>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</si>
  <si>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</si>
  <si>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</si>
  <si>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</si>
  <si>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</si>
  <si>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</si>
  <si>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</si>
  <si>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</si>
  <si>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</si>
  <si>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</si>
  <si>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</si>
  <si>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</si>
  <si>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</si>
  <si>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</si>
  <si>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</si>
  <si>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</si>
  <si>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</si>
  <si>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</si>
  <si>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</si>
  <si>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</si>
  <si>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</si>
  <si>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</si>
  <si>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</si>
  <si>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</si>
  <si>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</si>
  <si>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</si>
  <si>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</si>
  <si>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</si>
  <si>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</si>
  <si>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</si>
  <si>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</si>
  <si>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</si>
  <si>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</si>
  <si>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</si>
  <si>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</si>
  <si>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</si>
  <si>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</si>
  <si>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</si>
  <si>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</si>
  <si>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</si>
  <si>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</si>
  <si>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</si>
  <si>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</si>
  <si>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</si>
  <si>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</si>
  <si>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</si>
  <si>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</si>
  <si>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</si>
  <si>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</si>
  <si>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</si>
  <si>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</si>
  <si>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</si>
  <si>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</si>
  <si>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</si>
  <si>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</si>
  <si>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</si>
  <si>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</si>
  <si>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</si>
  <si>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</si>
  <si>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</si>
  <si>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</si>
  <si>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</si>
  <si>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</si>
  <si>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</si>
  <si>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</si>
  <si>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</si>
  <si>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</si>
  <si>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</si>
  <si>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</si>
  <si>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</si>
  <si>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</si>
  <si>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</si>
  <si>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</si>
  <si>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</si>
  <si>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</si>
  <si>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</si>
  <si>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</si>
  <si>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</si>
  <si>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</si>
  <si>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</si>
  <si>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</si>
  <si>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</si>
  <si>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</si>
  <si>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</si>
  <si>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</si>
  <si>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</si>
  <si>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</si>
  <si>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</si>
  <si>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</si>
  <si>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</si>
  <si>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</si>
  <si>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</si>
  <si>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</si>
  <si>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</si>
  <si>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</si>
  <si>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</si>
  <si>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</si>
  <si>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</si>
  <si>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</si>
  <si>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</si>
  <si>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</si>
  <si>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</si>
  <si>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</si>
  <si>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</si>
  <si>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</si>
  <si>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</si>
  <si>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</si>
  <si>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</si>
  <si>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</si>
  <si>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</si>
  <si>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</si>
  <si>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</si>
  <si>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</si>
  <si>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</si>
  <si>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</si>
  <si>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</si>
  <si>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</si>
  <si>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</si>
  <si>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</si>
  <si>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</si>
  <si>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</si>
  <si>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</si>
  <si>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</si>
  <si>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</si>
  <si>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</si>
  <si>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</si>
  <si>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</si>
  <si>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</si>
  <si>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</si>
  <si>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</si>
  <si>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</si>
  <si>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</si>
  <si>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</si>
  <si>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</si>
  <si>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</si>
  <si>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</si>
  <si>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</si>
  <si>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</si>
  <si>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</si>
  <si>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</si>
  <si>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</si>
  <si>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</si>
  <si>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</si>
  <si>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</si>
  <si>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</si>
  <si>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</si>
  <si>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</si>
  <si>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</si>
  <si>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</si>
  <si>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</si>
  <si>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</si>
  <si>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</si>
  <si>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</si>
  <si>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</si>
  <si>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</si>
  <si>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</si>
  <si>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</si>
  <si>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</si>
  <si>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</si>
  <si>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</si>
  <si>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</si>
  <si>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</si>
  <si>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</si>
  <si>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</si>
  <si>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</si>
  <si>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</si>
  <si>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</si>
  <si>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</si>
  <si>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</si>
  <si>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</si>
  <si>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</si>
  <si>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</si>
  <si>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</si>
  <si>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</si>
  <si>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</si>
  <si>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</si>
  <si>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</si>
  <si>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</si>
  <si>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</si>
  <si>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</si>
  <si>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</si>
  <si>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</si>
  <si>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</si>
  <si>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</si>
  <si>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</si>
  <si>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</si>
  <si>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</si>
  <si>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</si>
  <si>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</si>
  <si>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</si>
  <si>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</si>
  <si>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</si>
  <si>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</si>
  <si>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</si>
  <si>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</si>
  <si>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</si>
  <si>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</si>
  <si>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</si>
  <si>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</si>
  <si>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</si>
  <si>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</si>
  <si>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</si>
  <si>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</si>
  <si>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</si>
  <si>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</si>
  <si>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</si>
  <si>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</si>
  <si>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</si>
  <si>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</si>
  <si>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</si>
  <si>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</si>
  <si>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</si>
  <si>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</si>
  <si>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</si>
  <si>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</si>
  <si>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</si>
  <si>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</si>
  <si>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</si>
  <si>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</si>
  <si>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</si>
  <si>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</si>
  <si>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</si>
  <si>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</si>
  <si>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</si>
  <si>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</si>
  <si>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</si>
  <si>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</si>
  <si>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</si>
  <si>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</si>
  <si>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</si>
  <si>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</si>
  <si>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</si>
  <si>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</si>
  <si>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</si>
  <si>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</si>
  <si>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</si>
  <si>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</si>
  <si>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</si>
  <si>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</si>
  <si>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</si>
  <si>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</si>
  <si>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</si>
  <si>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</si>
  <si>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</si>
  <si>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</si>
  <si>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</si>
  <si>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</si>
  <si>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</si>
  <si>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</si>
  <si>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</si>
  <si>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</si>
  <si>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</si>
  <si>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</si>
  <si>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</si>
  <si>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</si>
  <si>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</si>
  <si>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</si>
  <si>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</si>
  <si>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</si>
  <si>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</si>
  <si>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</si>
  <si>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</si>
  <si>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</si>
  <si>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</si>
  <si>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</si>
  <si>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</si>
  <si>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</si>
  <si>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</si>
  <si>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</si>
  <si>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</si>
  <si>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</si>
  <si>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</si>
  <si>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</si>
  <si>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</si>
  <si>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</si>
  <si>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</si>
  <si>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</si>
  <si>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</si>
  <si>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</si>
  <si>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</si>
  <si>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</si>
  <si>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</si>
  <si>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</si>
  <si>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</si>
  <si>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</si>
  <si>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</si>
  <si>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</si>
  <si>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</si>
  <si>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</si>
  <si>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</si>
  <si>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</si>
  <si>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</si>
  <si>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</si>
  <si>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</si>
  <si>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</si>
  <si>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</si>
  <si>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</si>
  <si>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</si>
  <si>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</si>
  <si>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</si>
  <si>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</si>
  <si>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</si>
  <si>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</si>
  <si>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</si>
  <si>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</si>
  <si>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</si>
  <si>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</si>
  <si>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</si>
  <si>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</si>
  <si>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</si>
  <si>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</si>
  <si>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</si>
  <si>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</si>
  <si>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</si>
  <si>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</si>
  <si>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</si>
  <si>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</si>
  <si>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</si>
  <si>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</si>
  <si>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</si>
  <si>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</si>
  <si>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</si>
  <si>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</si>
  <si>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</si>
  <si>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</si>
  <si>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</si>
  <si>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</si>
  <si>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</si>
  <si>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</si>
  <si>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</si>
  <si>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</si>
  <si>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</si>
  <si>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</si>
  <si>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</si>
  <si>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</si>
  <si>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</si>
  <si>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</si>
  <si>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</si>
  <si>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</si>
  <si>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</si>
  <si>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</si>
  <si>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</si>
  <si>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</si>
  <si>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</si>
  <si>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</si>
  <si>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</si>
  <si>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</si>
  <si>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</si>
  <si>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</si>
  <si>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</si>
  <si>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</si>
  <si>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</si>
  <si>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</si>
  <si>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</si>
  <si>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</si>
  <si>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</si>
  <si>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</si>
  <si>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</si>
  <si>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</si>
  <si>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</si>
  <si>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</si>
  <si>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</si>
  <si>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</si>
  <si>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</si>
  <si>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</si>
  <si>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</si>
  <si>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</si>
  <si>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</si>
  <si>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</si>
  <si>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</si>
  <si>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</si>
  <si>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</si>
  <si>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</si>
  <si>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</si>
  <si>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</si>
  <si>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</si>
  <si>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</si>
  <si>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</si>
  <si>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</si>
  <si>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</si>
  <si>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</si>
  <si>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</si>
  <si>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</si>
  <si>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</si>
  <si>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</si>
  <si>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</si>
  <si>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</si>
  <si>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</si>
  <si>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</si>
  <si>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</si>
  <si>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</si>
  <si>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</si>
  <si>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</si>
  <si>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</si>
  <si>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</si>
  <si>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</si>
  <si>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</si>
  <si>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</si>
  <si>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</si>
  <si>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</si>
  <si>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</si>
  <si>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</si>
  <si>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</si>
  <si>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</si>
  <si>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</si>
  <si>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</si>
  <si>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</si>
  <si>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</si>
  <si>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</si>
  <si>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</si>
  <si>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</si>
  <si>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</si>
  <si>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</si>
  <si>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</si>
  <si>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</si>
  <si>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</si>
  <si>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</si>
  <si>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</si>
  <si>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</si>
  <si>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</si>
  <si>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</si>
  <si>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</si>
  <si>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</si>
  <si>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</si>
  <si>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</si>
  <si>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</si>
  <si>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</si>
  <si>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</si>
  <si>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</si>
  <si>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</si>
  <si>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</si>
  <si>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</si>
  <si>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</si>
  <si>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</si>
  <si>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</si>
  <si>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</si>
  <si>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</si>
  <si>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</si>
  <si>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</si>
  <si>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</si>
  <si>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</si>
  <si>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</si>
  <si>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</si>
  <si>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</si>
  <si>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</si>
  <si>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</si>
  <si>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</si>
  <si>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</si>
  <si>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</si>
  <si>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</si>
  <si>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</si>
  <si>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</si>
  <si>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</si>
  <si>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</si>
  <si>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</si>
  <si>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</si>
  <si>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</si>
  <si>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</si>
  <si>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</si>
  <si>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</si>
  <si>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</si>
  <si>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</si>
  <si>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</si>
  <si>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</si>
  <si>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</si>
  <si>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</si>
  <si>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</si>
  <si>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</si>
  <si>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</si>
  <si>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</si>
  <si>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</si>
  <si>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</si>
  <si>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</si>
  <si>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</si>
  <si>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</si>
  <si>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</si>
  <si>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</si>
  <si>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</si>
  <si>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</si>
  <si>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</si>
  <si>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</si>
  <si>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</si>
  <si>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</si>
  <si>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</si>
  <si>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</si>
  <si>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</si>
  <si>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</si>
  <si>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</si>
  <si>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</si>
  <si>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</si>
  <si>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</si>
  <si>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</si>
  <si>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</si>
  <si>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</si>
  <si>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</si>
  <si>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</si>
  <si>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</si>
  <si>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</si>
  <si>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</si>
  <si>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</si>
  <si>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</si>
  <si>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</si>
  <si>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</si>
  <si>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</si>
  <si>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</si>
  <si>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</si>
  <si>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</si>
  <si>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</si>
  <si>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</si>
  <si>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</si>
  <si>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</si>
  <si>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</si>
  <si>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</si>
  <si>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</si>
  <si>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</si>
  <si>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</si>
  <si>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</si>
  <si>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</si>
  <si>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</si>
  <si>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</si>
  <si>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</si>
  <si>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</si>
  <si>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</si>
  <si>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</si>
  <si>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</si>
  <si>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</si>
  <si>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</si>
  <si>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</si>
  <si>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</si>
  <si>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</si>
  <si>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</si>
  <si>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</si>
  <si>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</si>
  <si>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</si>
  <si>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</si>
  <si>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</si>
  <si>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</si>
  <si>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</si>
  <si>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</si>
  <si>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</si>
  <si>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</si>
  <si>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</si>
  <si>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</si>
  <si>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</si>
  <si>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</si>
  <si>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</si>
  <si>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</si>
  <si>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</si>
  <si>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</si>
  <si>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</si>
  <si>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</si>
  <si>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</si>
  <si>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</si>
  <si>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</si>
  <si>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</si>
  <si>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</si>
  <si>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</si>
  <si>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</si>
  <si>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</si>
  <si>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</si>
  <si>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</si>
  <si>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</si>
  <si>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</si>
  <si>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</si>
  <si>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</si>
  <si>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</si>
  <si>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</si>
  <si>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</si>
  <si>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</si>
  <si>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</si>
  <si>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</si>
  <si>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</si>
  <si>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</si>
  <si>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</si>
  <si>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</si>
  <si>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</si>
  <si>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</si>
  <si>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</si>
  <si>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</si>
  <si>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</si>
  <si>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</si>
  <si>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</si>
  <si>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</si>
  <si>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</si>
  <si>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</si>
  <si>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</si>
  <si>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</si>
  <si>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</si>
  <si>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</si>
  <si>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</si>
  <si>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</si>
  <si>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</si>
  <si>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</si>
  <si>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</si>
  <si>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</si>
  <si>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</si>
  <si>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</si>
  <si>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</si>
  <si>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</si>
  <si>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</si>
  <si>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</si>
  <si>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</si>
  <si>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</si>
  <si>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</si>
  <si>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</si>
  <si>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</si>
  <si>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</si>
  <si>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</si>
  <si>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</si>
  <si>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</si>
  <si>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</si>
  <si>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</si>
  <si>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</si>
  <si>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</si>
  <si>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</si>
  <si>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</si>
  <si>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</si>
  <si>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</si>
  <si>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</si>
  <si>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</si>
  <si>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</si>
  <si>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</si>
  <si>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</si>
  <si>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</si>
  <si>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</si>
  <si>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</si>
  <si>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</si>
  <si>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</si>
  <si>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</si>
  <si>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</si>
  <si>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</si>
  <si>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</si>
  <si>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</si>
  <si>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</si>
  <si>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</si>
  <si>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</si>
  <si>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Property Manager &amp; STR Owner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</si>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</sst>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</numFmts>
  <fonts count="6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75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8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7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6" fillId="0" borderId="0" xfId="0" applyFont="1"/>
    <xf numFmtId="0" fontId="6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5" fillId="0" borderId="0" xfId="0" applyFont="1"/>
    <xf numFmtId="165" fontId="6" fillId="0" borderId="0" xfId="0" applyNumberFormat="1" applyFont="1"/>
    <xf numFmtId="9" fontId="6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2" fontId="50" fillId="0" borderId="0" xfId="4" applyNumberFormat="1"/>
    <xf numFmtId="0" fontId="4" fillId="0" borderId="0" xfId="0" applyFont="1"/>
    <xf numFmtId="0" fontId="4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4" fillId="0" borderId="0" xfId="0" applyNumberFormat="1" applyFont="1"/>
    <xf numFmtId="0" fontId="53" fillId="0" borderId="0" xfId="0" applyFont="1" applyAlignment="1">
      <alignment horizontal="left" indent="1"/>
    </xf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59" fillId="0" borderId="0" xfId="0" applyNumberFormat="1" applyFont="1"/>
    <xf numFmtId="14" fontId="58" fillId="0" borderId="0" xfId="0" applyNumberFormat="1" applyFont="1"/>
    <xf numFmtId="0" fontId="27" fillId="9" borderId="15" xfId="0" applyFont="1" applyFill="1" applyBorder="1"/>
    <xf numFmtId="0" fontId="21" fillId="14" borderId="15" xfId="0" applyFont="1" applyFill="1" applyBorder="1" applyAlignment="1">
      <alignment horizontal="center"/>
    </xf>
    <xf numFmtId="0" fontId="27" fillId="9" borderId="15" xfId="0" applyFont="1" applyFill="1" applyBorder="1" applyAlignment="1">
      <alignment horizontal="centerContinuous"/>
    </xf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1" fillId="14" borderId="15" xfId="0" applyFont="1" applyFill="1" applyBorder="1"/>
    <xf numFmtId="0" fontId="3" fillId="0" borderId="0" xfId="0" applyFont="1"/>
    <xf numFmtId="0" fontId="2" fillId="0" borderId="0" xfId="0" applyFont="1"/>
    <xf numFmtId="9" fontId="6" fillId="0" borderId="0" xfId="2" applyFont="1" applyFill="1" applyBorder="1"/>
    <xf numFmtId="167" fontId="6" fillId="0" borderId="0" xfId="0" applyNumberFormat="1" applyFont="1"/>
    <xf numFmtId="167" fontId="25" fillId="0" borderId="0" xfId="2" applyNumberFormat="1" applyFont="1" applyFill="1" applyBorder="1"/>
    <xf numFmtId="165" fontId="25" fillId="0" borderId="0" xfId="2" applyNumberFormat="1" applyFont="1" applyFill="1" applyBorder="1" applyAlignment="1"/>
    <xf numFmtId="0" fontId="1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174" fontId="50" fillId="0" borderId="0" xfId="4" applyNumberFormat="1"/>
    <xf numFmtId="0" fontId="1" fillId="0" borderId="0" xfId="0" applyFont="1"/>
    <xf numFmtId="0" fontId="26" fillId="0" borderId="0" xfId="0" applyFont="1"/>
    <xf numFmtId="0" fontId="1" fillId="0" borderId="3" xfId="0" applyFont="1" applyBorder="1"/>
    <xf numFmtId="167" fontId="50" fillId="0" borderId="0" xfId="4" applyNumberFormat="1"/>
    <xf numFmtId="0" fontId="28" fillId="0" borderId="0" xfId="0" applyFont="1"/>
    <xf numFmtId="0" fontId="1" fillId="7" borderId="0" xfId="1" applyFont="1" applyFill="1"/>
    <xf numFmtId="165" fontId="1" fillId="0" borderId="0" xfId="0" applyNumberFormat="1" applyFont="1"/>
    <xf numFmtId="165" fontId="26" fillId="0" borderId="2" xfId="0" applyNumberFormat="1" applyFont="1" applyBorder="1"/>
    <xf numFmtId="165" fontId="26" fillId="0" borderId="0" xfId="0" applyNumberFormat="1" applyFont="1"/>
    <xf numFmtId="165" fontId="32" fillId="0" borderId="0" xfId="0" applyNumberFormat="1" applyFont="1"/>
    <xf numFmtId="167" fontId="1" fillId="0" borderId="0" xfId="0" applyNumberFormat="1" applyFont="1"/>
    <xf numFmtId="167" fontId="32" fillId="0" borderId="0" xfId="0" applyNumberFormat="1" applyFont="1"/>
    <xf numFmtId="0" fontId="1" fillId="0" borderId="0" xfId="4" applyFont="1"/>
    <xf numFmtId="174" fontId="1" fillId="0" borderId="0" xfId="4" applyNumberFormat="1" applyFont="1"/>
    <xf numFmtId="167" fontId="25" fillId="0" borderId="0" xfId="4" applyNumberFormat="1" applyFont="1"/>
    <xf numFmtId="165" fontId="26" fillId="8" borderId="7" xfId="0" applyNumberFormat="1" applyFont="1" applyFill="1" applyBorder="1"/>
    <xf numFmtId="164" fontId="1" fillId="0" borderId="0" xfId="0" applyNumberFormat="1" applyFont="1"/>
    <xf numFmtId="164" fontId="26" fillId="8" borderId="8" xfId="0" applyNumberFormat="1" applyFont="1" applyFill="1" applyBorder="1"/>
    <xf numFmtId="165" fontId="60" fillId="0" borderId="0" xfId="0" applyNumberFormat="1" applyFont="1"/>
    <xf numFmtId="0" fontId="60" fillId="0" borderId="0" xfId="0" applyFont="1"/>
    <xf numFmtId="0" fontId="55" fillId="8" borderId="10" xfId="0" applyFont="1" applyFill="1" applyBorder="1"/>
    <xf numFmtId="165" fontId="60" fillId="8" borderId="2" xfId="0" applyNumberFormat="1" applyFont="1" applyFill="1" applyBorder="1"/>
    <xf numFmtId="168" fontId="61" fillId="8" borderId="2" xfId="2" applyNumberFormat="1" applyFont="1" applyFill="1" applyBorder="1"/>
    <xf numFmtId="0" fontId="55" fillId="8" borderId="12" xfId="0" applyFont="1" applyFill="1" applyBorder="1"/>
    <xf numFmtId="165" fontId="60" fillId="8" borderId="3" xfId="0" applyNumberFormat="1" applyFont="1" applyFill="1" applyBorder="1"/>
    <xf numFmtId="168" fontId="61" fillId="8" borderId="3" xfId="2" applyNumberFormat="1" applyFont="1" applyFill="1" applyBorder="1"/>
    <xf numFmtId="168" fontId="61" fillId="8" borderId="13" xfId="2" applyNumberFormat="1" applyFont="1" applyFill="1" applyBorder="1"/>
    <xf numFmtId="168" fontId="61" fillId="8" borderId="12" xfId="2" applyNumberFormat="1" applyFont="1" applyFill="1" applyBorder="1"/>
    <xf numFmtId="168" fontId="61" fillId="8" borderId="18" xfId="2" applyNumberFormat="1" applyFont="1" applyFill="1" applyBorder="1"/>
    <xf numFmtId="0" fontId="62" fillId="0" borderId="0" xfId="0" applyFont="1"/>
    <xf numFmtId="165" fontId="56" fillId="0" borderId="5" xfId="0" applyNumberFormat="1" applyFont="1" applyBorder="1" applyAlignment="1">
      <alignment horizontal="center"/>
    </xf>
    <xf numFmtId="14" fontId="28" fillId="0" borderId="0" xfId="0" applyNumberFormat="1" applyFont="1"/>
    <xf numFmtId="168" fontId="61" fillId="8" borderId="10" xfId="2" applyNumberFormat="1" applyFont="1" applyFill="1" applyBorder="1"/>
    <xf numFmtId="168" fontId="61" fillId="8" borderId="11" xfId="2" applyNumberFormat="1" applyFont="1" applyFill="1" applyBorder="1"/>
    <xf numFmtId="168" fontId="53" fillId="0" borderId="0" xfId="0" applyNumberFormat="1" applyFont="1"/>
    <xf numFmtId="168" fontId="61" fillId="8" borderId="17" xfId="2" applyNumberFormat="1" applyFont="1" applyFill="1" applyBorder="1"/>
    <xf numFmtId="14" fontId="22" fillId="13" borderId="0" xfId="1" applyNumberFormat="1" applyFont="1" applyFill="1" applyAlignment="1">
      <alignment horizontal="center" vertical="center"/>
    </xf>
    <xf numFmtId="173" fontId="28" fillId="8" borderId="5" xfId="0" applyNumberFormat="1" applyFont="1" applyFill="1" applyBorder="1"/>
    <xf numFmtId="0" fontId="25" fillId="8" borderId="5" xfId="0" applyFont="1" applyFill="1" applyBorder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167" fontId="4" fillId="0" borderId="0" xfId="0" applyNumberFormat="1" applyFont="1"/>
    <xf numFmtId="0" fontId="27" fillId="9" borderId="0" xfId="0" applyFont="1" applyFill="1" applyBorder="1"/>
    <xf numFmtId="0" fontId="53" fillId="0" borderId="2" xfId="0" applyFont="1" applyBorder="1" applyAlignment="1">
      <alignment horizontal="left" indent="1"/>
    </xf>
    <xf numFmtId="165" fontId="58" fillId="0" borderId="2" xfId="0" applyNumberFormat="1" applyFont="1" applyBorder="1"/>
    <xf numFmtId="0" fontId="53" fillId="0" borderId="2" xfId="0" applyFont="1" applyBorder="1"/>
    <xf numFmtId="165" fontId="57" fillId="0" borderId="2" xfId="0" applyNumberFormat="1" applyFont="1" applyBorder="1"/>
    <xf numFmtId="0" fontId="55" fillId="8" borderId="6" xfId="0" applyFont="1" applyFill="1" applyBorder="1"/>
    <xf numFmtId="165" fontId="60" fillId="8" borderId="7" xfId="0" applyNumberFormat="1" applyFont="1" applyFill="1" applyBorder="1"/>
    <xf numFmtId="165" fontId="60" fillId="8" borderId="8" xfId="0" applyNumberFormat="1" applyFont="1" applyFill="1" applyBorder="1"/>
    <xf numFmtId="165" fontId="60" fillId="8" borderId="6" xfId="0" applyNumberFormat="1" applyFont="1" applyFill="1" applyBorder="1"/>
    <xf numFmtId="0" fontId="60" fillId="8" borderId="8" xfId="0" applyFont="1" applyFill="1" applyBorder="1"/>
    <xf numFmtId="165" fontId="60" fillId="8" borderId="5" xfId="0" applyNumberFormat="1" applyFont="1" applyFill="1" applyBorder="1"/>
    <xf numFmtId="0" fontId="53" fillId="0" borderId="0" xfId="0" applyFont="1" applyAlignment="1">
      <alignment horizontal="left" indent="2"/>
    </xf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57" t="s">
        <v>0</v>
      </c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</row>
    <row r="25" spans="2:17" ht="25.5">
      <c r="B25" s="259" t="s">
        <v>326</v>
      </c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</row>
    <row r="26" spans="2:17" ht="23.25">
      <c r="B26" s="260" t="str">
        <f ca="1">"As of "&amp;TEXT(TODAY(),"mm/dd/yy")</f>
        <v>As of 09/10/26</v>
      </c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9" zoomScale="140" zoomScaleNormal="100" zoomScaleSheetLayoutView="205" workbookViewId="0">
      <selection activeCell="B51" sqref="B5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Forecast'!C85</f>
        <v>18.234249999999999</v>
      </c>
      <c r="D51" s="53">
        <f>+'P&amp;L Forecast'!D85</f>
        <v>27.040950000000002</v>
      </c>
      <c r="F51" s="53">
        <f>+'P&amp;L Forecast'!F85</f>
        <v>12.014000000000001</v>
      </c>
      <c r="G51" s="53">
        <f>+'P&amp;L Forecast'!G85</f>
        <v>57.55</v>
      </c>
      <c r="I51" s="53">
        <f>+'P&amp;L Forecast'!I85</f>
        <v>21.74858</v>
      </c>
      <c r="J51" s="53">
        <f>+'P&amp;L Forecast'!J85</f>
        <v>72.576949999999997</v>
      </c>
      <c r="K51" s="53">
        <f>+'P&amp;L Forecast'!K85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Forecast'!B91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1333</v>
      </c>
    </row>
    <row r="61" spans="2:46">
      <c r="B61" s="146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1333</v>
      </c>
    </row>
    <row r="62" spans="2:46">
      <c r="B62" s="146" t="s">
        <v>278</v>
      </c>
      <c r="C62" s="53">
        <f>+'P&amp;L Forecast'!C97</f>
        <v>0</v>
      </c>
      <c r="D62" s="53">
        <f>+'P&amp;L Forecast'!D97</f>
        <v>19.149630000000002</v>
      </c>
      <c r="F62" s="53">
        <f>+'P&amp;L Forecast'!F97</f>
        <v>3.09945</v>
      </c>
      <c r="G62" s="53">
        <f>+'P&amp;L Forecast'!G97</f>
        <v>51.941310000000001</v>
      </c>
      <c r="I62" s="53">
        <f>+'P&amp;L Forecast'!I97</f>
        <v>3.09945</v>
      </c>
      <c r="J62" s="53">
        <f>+'P&amp;L Forecast'!J97</f>
        <v>67.991489999999999</v>
      </c>
      <c r="K62" s="53">
        <f>+'P&amp;L Forecast'!K97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1329</v>
      </c>
    </row>
    <row r="63" spans="2:46">
      <c r="B63" s="146" t="s">
        <v>42</v>
      </c>
      <c r="C63" s="53">
        <f>+'P&amp;L Forecast'!C98</f>
        <v>24.819999999999997</v>
      </c>
      <c r="D63" s="53">
        <f>+'P&amp;L Forecast'!D98</f>
        <v>27.153739999999999</v>
      </c>
      <c r="F63" s="53">
        <f>+'P&amp;L Forecast'!F98</f>
        <v>17.089500000000001</v>
      </c>
      <c r="G63" s="53">
        <f>+'P&amp;L Forecast'!G98</f>
        <v>20.62969</v>
      </c>
      <c r="I63" s="53">
        <f>+'P&amp;L Forecast'!I98</f>
        <v>26.209499999999998</v>
      </c>
      <c r="J63" s="53">
        <f>+'P&amp;L Forecast'!J98</f>
        <v>30.693929999999998</v>
      </c>
      <c r="K63" s="53">
        <f>+'P&amp;L Forecast'!K98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1330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Forecast'!B101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69"/>
  <sheetViews>
    <sheetView showGridLines="0" zoomScale="130" zoomScaleNormal="130" workbookViewId="0">
      <pane ySplit="5" topLeftCell="A6" activePane="bottomLeft" state="frozen"/>
      <selection pane="bottomLeft" activeCell="J29" sqref="A29:XFD2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SUMIFS($P7:$AT7,$P$5:$AT$5,"&gt;"&amp;C$168,$P$5:$AT$5,"&lt;"&amp;C$169)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SUMIFS($P7:$AT7,$P$5:$AT$5,"&gt;"&amp;F$168,$P$5:$AT$5,"&lt;"&amp;F$169)</f>
        <v>751.52859999999987</v>
      </c>
      <c r="G7" s="48">
        <f t="shared" si="2"/>
        <v>1261.47685</v>
      </c>
      <c r="H7" s="48"/>
      <c r="I7" s="48">
        <f t="shared" ref="I7:J14" si="3">SUMIFS($P7:$AT7,$P$5:$AT$5,"&gt;"&amp;I$168,$P$5:$AT$5,"&lt;"&amp;I$169)</f>
        <v>1152.3202500000002</v>
      </c>
      <c r="J7" s="48">
        <f t="shared" si="3"/>
        <v>1960.4406000000001</v>
      </c>
      <c r="K7" s="50">
        <f>+C106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+C108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+C107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+C109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+C111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+C110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+C112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+C113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SUMIFS($P17:$AT17,$P$5:$AT$5,"&gt;"&amp;C$168,$P$5:$AT$5,"&lt;"&amp;C$169)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SUMIFS($P17:$AT17,$P$5:$AT$5,"&gt;"&amp;F$168,$P$5:$AT$5,"&lt;"&amp;F$169)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SUMIFS($P17:$AT17,$P$5:$AT$5,"&gt;"&amp;I$168,$P$5:$AT$5,"&lt;"&amp;I$169)</f>
        <v>18.329350000000002</v>
      </c>
      <c r="J17" s="23">
        <f t="shared" si="9"/>
        <v>16.836220000000001</v>
      </c>
      <c r="K17" s="65">
        <f>+C118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+C116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+C117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+C119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+C120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SUMIFS($P27:$AT27,$P$5:$AT$5,"&gt;"&amp;C$168,$P$5:$AT$5,"&lt;"&amp;C$169)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SUMIFS($P27:$AT27,$P$5:$AT$5,"&gt;"&amp;F$168,$P$5:$AT$5,"&lt;"&amp;F$169)</f>
        <v>136.29648</v>
      </c>
      <c r="G27" s="23">
        <f t="shared" si="46"/>
        <v>357.27472</v>
      </c>
      <c r="H27" s="23"/>
      <c r="I27" s="23">
        <f t="shared" ref="I27:J35" si="47">SUMIFS($P27:$AT27,$P$5:$AT$5,"&gt;"&amp;I$168,$P$5:$AT$5,"&lt;"&amp;I$169)</f>
        <v>202.41598000000002</v>
      </c>
      <c r="J27" s="23">
        <f t="shared" si="47"/>
        <v>502.21877999999998</v>
      </c>
      <c r="K27" s="65">
        <f>+C124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+C125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+C127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+C131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+C126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+C128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+C129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+C130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+C132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SUMIFS($P38:$AT38,$P$5:$AT$5,"&gt;"&amp;C$168,$P$5:$AT$5,"&lt;"&amp;C$169)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SUMIFS($P38:$AT38,$P$5:$AT$5,"&gt;"&amp;F$168,$P$5:$AT$5,"&lt;"&amp;F$169)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SUMIFS($P38:$AT38,$P$5:$AT$5,"&gt;"&amp;I$168,$P$5:$AT$5,"&lt;"&amp;I$169)</f>
        <v>142.28344999999999</v>
      </c>
      <c r="J38" s="23">
        <f t="shared" si="54"/>
        <v>224.80769000000001</v>
      </c>
      <c r="K38" s="65">
        <f>+C136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+C137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+C138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+C139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SUMIFS($P44:$AT44,$P$5:$AT$5,"&gt;"&amp;C$168,$P$5:$AT$5,"&lt;"&amp;C$169)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SUMIFS($P44:$AT44,$P$5:$AT$5,"&gt;"&amp;F$168,$P$5:$AT$5,"&lt;"&amp;F$169)</f>
        <v>12.014000000000001</v>
      </c>
      <c r="G44" s="23">
        <f t="shared" si="63"/>
        <v>57.55</v>
      </c>
      <c r="H44" s="23"/>
      <c r="I44" s="23">
        <f t="shared" ref="I44:J61" si="64">SUMIFS($P44:$AT44,$P$5:$AT$5,"&gt;"&amp;I$168,$P$5:$AT$5,"&lt;"&amp;I$169)</f>
        <v>21.74858</v>
      </c>
      <c r="J44" s="23">
        <f t="shared" si="64"/>
        <v>72.576949999999997</v>
      </c>
      <c r="K44" s="65">
        <f t="shared" ref="K44:K49" si="65">+C143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+C149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+C150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+C151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+C158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+C157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+C159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+C160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SUMIFS($P78:$AT78,$P$5:$AT$5,"&gt;"&amp;C$168,$P$5:$AT$5,"&lt;"&amp;C$169)</f>
        <v>0</v>
      </c>
      <c r="D78" s="23">
        <f>SUMIFS($P78:$AT78,$P$5:$AT$5,"&gt;"&amp;D$168,$P$5:$AT$5,"&lt;"&amp;D$169)</f>
        <v>2.7040000000000002</v>
      </c>
      <c r="E78" s="23"/>
      <c r="F78" s="23">
        <f>SUMIFS($P78:$AT78,$P$5:$AT$5,"&gt;"&amp;F$168,$P$5:$AT$5,"&lt;"&amp;F$169)</f>
        <v>0</v>
      </c>
      <c r="G78" s="23">
        <f>SUMIFS($P78:$AT78,$P$5:$AT$5,"&gt;"&amp;G$168,$P$5:$AT$5,"&lt;"&amp;G$169)</f>
        <v>0</v>
      </c>
      <c r="H78" s="23"/>
      <c r="I78" s="23">
        <f>SUMIFS($P78:$AT78,$P$5:$AT$5,"&gt;"&amp;I$168,$P$5:$AT$5,"&lt;"&amp;I$169)</f>
        <v>0</v>
      </c>
      <c r="J78" s="23">
        <f>SUMIFS($P78:$AT78,$P$5:$AT$5,"&gt;"&amp;J$168,$P$5:$AT$5,"&lt;"&amp;J$169)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1338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-$C$163+C$31</f>
        <v>-200</v>
      </c>
      <c r="D84" s="65">
        <f>-$C$163+D$31</f>
        <v>-109.33296</v>
      </c>
      <c r="E84" s="23"/>
      <c r="F84" s="65">
        <f>-$C$163/12*7+F$31</f>
        <v>-71.200546666666668</v>
      </c>
      <c r="G84" s="65">
        <f>-$C$163/12*7+G$31</f>
        <v>-53.523646666666679</v>
      </c>
      <c r="H84" s="23"/>
      <c r="I84" s="65">
        <f>-$C$163+I$31</f>
        <v>-154.53388000000001</v>
      </c>
      <c r="J84" s="65">
        <f>-$C$163+J$31</f>
        <v>-91.656059999999997</v>
      </c>
      <c r="K84" s="65">
        <f>-$C$163+K$31</f>
        <v>-91.656059999999997</v>
      </c>
      <c r="L84" s="65"/>
      <c r="M84" s="23">
        <f t="shared" ref="M84:M88" si="134">K84-J84</f>
        <v>0</v>
      </c>
      <c r="N84" s="66">
        <f t="shared" ref="N84" si="135">IFERROR(K84/J84-1,0)</f>
        <v>0</v>
      </c>
      <c r="P84" s="65">
        <f t="shared" ref="P84:AT84" si="136">-$C$163/12+P$31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6" t="s">
        <v>325</v>
      </c>
      <c r="C85" s="65">
        <f>+C44</f>
        <v>18.234249999999999</v>
      </c>
      <c r="D85" s="65">
        <f>+D44</f>
        <v>27.040950000000002</v>
      </c>
      <c r="F85" s="65">
        <f>+F44</f>
        <v>12.014000000000001</v>
      </c>
      <c r="G85" s="65">
        <f>+G44</f>
        <v>57.55</v>
      </c>
      <c r="I85" s="65">
        <f>+I44</f>
        <v>21.74858</v>
      </c>
      <c r="J85" s="65">
        <f>+J44</f>
        <v>72.576949999999997</v>
      </c>
      <c r="K85" s="65">
        <f>+C164</f>
        <v>72.576949999999997</v>
      </c>
      <c r="M85" s="23">
        <f t="shared" si="134"/>
        <v>0</v>
      </c>
      <c r="N85" s="66"/>
      <c r="P85" s="65">
        <f t="shared" ref="P85:AT85" si="137">+P44-$C$164/12</f>
        <v>-6.0480791666666667</v>
      </c>
      <c r="Q85" s="65">
        <f t="shared" si="137"/>
        <v>-4.8815791666666666</v>
      </c>
      <c r="R85" s="65">
        <f t="shared" si="137"/>
        <v>-4.8815791666666666</v>
      </c>
      <c r="S85" s="65">
        <f t="shared" si="137"/>
        <v>-4.8814091666666668</v>
      </c>
      <c r="T85" s="65">
        <f t="shared" si="137"/>
        <v>-4.8814091666666668</v>
      </c>
      <c r="U85" s="65">
        <f t="shared" si="137"/>
        <v>-3.3814191666666669</v>
      </c>
      <c r="V85" s="65">
        <f t="shared" si="137"/>
        <v>-4.8814091666666668</v>
      </c>
      <c r="W85" s="65">
        <f t="shared" si="137"/>
        <v>-4.8814091666666668</v>
      </c>
      <c r="X85" s="65">
        <f t="shared" si="137"/>
        <v>-2.9801691666666668</v>
      </c>
      <c r="Y85" s="65">
        <f t="shared" si="137"/>
        <v>-4.8814091666666668</v>
      </c>
      <c r="Z85" s="65">
        <f t="shared" si="137"/>
        <v>-3.8814091666666668</v>
      </c>
      <c r="AA85" s="65">
        <f t="shared" si="137"/>
        <v>-3.8814191666666669</v>
      </c>
      <c r="AB85" s="65">
        <f t="shared" si="137"/>
        <v>-3.8814091666666668</v>
      </c>
      <c r="AC85" s="65">
        <f t="shared" si="137"/>
        <v>-3.8814091666666668</v>
      </c>
      <c r="AD85" s="65">
        <f t="shared" si="137"/>
        <v>-3.8814191666666669</v>
      </c>
      <c r="AE85" s="65">
        <f t="shared" si="137"/>
        <v>-3.2874091666666665</v>
      </c>
      <c r="AF85" s="65">
        <f t="shared" si="137"/>
        <v>-4.4614091666666669</v>
      </c>
      <c r="AG85" s="65">
        <f t="shared" si="137"/>
        <v>-4.8814191666666664</v>
      </c>
      <c r="AH85" s="65">
        <f t="shared" si="137"/>
        <v>-6.0480791666666667</v>
      </c>
      <c r="AI85" s="65">
        <f t="shared" si="137"/>
        <v>-5.8480791666666665</v>
      </c>
      <c r="AJ85" s="65">
        <f t="shared" si="137"/>
        <v>-4.7211291666666666</v>
      </c>
      <c r="AK85" s="65">
        <f t="shared" si="137"/>
        <v>-6.0480791666666667</v>
      </c>
      <c r="AL85" s="65">
        <f t="shared" si="137"/>
        <v>-4.8079166666666673E-2</v>
      </c>
      <c r="AM85" s="65">
        <f t="shared" si="137"/>
        <v>1.4519208333333333</v>
      </c>
      <c r="AN85" s="65">
        <f t="shared" si="137"/>
        <v>-6.0480791666666667</v>
      </c>
      <c r="AO85" s="65">
        <f t="shared" si="137"/>
        <v>-6.0480791666666667</v>
      </c>
      <c r="AP85" s="65">
        <f t="shared" si="137"/>
        <v>0.55192083333333297</v>
      </c>
      <c r="AQ85" s="65">
        <f t="shared" si="137"/>
        <v>7.9519208333333333</v>
      </c>
      <c r="AR85" s="65">
        <f t="shared" si="137"/>
        <v>11.951920833333332</v>
      </c>
      <c r="AS85" s="65">
        <f t="shared" si="137"/>
        <v>-6.0480791666666667</v>
      </c>
      <c r="AT85" s="65">
        <f t="shared" si="137"/>
        <v>12.901920833333332</v>
      </c>
    </row>
    <row r="86" spans="2:46">
      <c r="B86" s="115" t="s">
        <v>322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34"/>
        <v>0</v>
      </c>
      <c r="N86" s="66">
        <f t="shared" ref="N86" si="138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15" t="s">
        <v>1341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34"/>
        <v>0</v>
      </c>
      <c r="N87" s="66">
        <f t="shared" ref="N87" si="139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23" t="s">
        <v>323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:N91" si="140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92" t="s">
        <v>329</v>
      </c>
      <c r="C89" s="59">
        <f>SUM(C84:C88)</f>
        <v>-181.76575</v>
      </c>
      <c r="D89" s="59">
        <f>SUM(D84:D88)</f>
        <v>-82.292010000000005</v>
      </c>
      <c r="F89" s="59">
        <f>SUM(F84:F88)</f>
        <v>-59.186546666666665</v>
      </c>
      <c r="G89" s="59">
        <f>SUM(G84:G88)</f>
        <v>4.0263533333333186</v>
      </c>
      <c r="I89" s="59">
        <f>SUM(I84:I88)</f>
        <v>-132.78530000000001</v>
      </c>
      <c r="J89" s="59">
        <f>SUM(J84:J88)</f>
        <v>-19.07911</v>
      </c>
      <c r="K89" s="59">
        <f>SUM(K84:K88)</f>
        <v>-19.07911</v>
      </c>
      <c r="L89" s="71"/>
      <c r="M89" s="59">
        <f>SUM(M84:M88)</f>
        <v>0</v>
      </c>
      <c r="N89" s="90">
        <f t="shared" si="140"/>
        <v>0</v>
      </c>
      <c r="P89" s="59">
        <f t="shared" ref="P89:AT89" si="141">SUM(P84:P88)</f>
        <v>-22.714745833333335</v>
      </c>
      <c r="Q89" s="59">
        <f t="shared" si="141"/>
        <v>-21.548245833333333</v>
      </c>
      <c r="R89" s="59">
        <f t="shared" si="141"/>
        <v>-21.548245833333333</v>
      </c>
      <c r="S89" s="59">
        <f t="shared" si="141"/>
        <v>-21.548075833333336</v>
      </c>
      <c r="T89" s="59">
        <f t="shared" si="141"/>
        <v>-21.548075833333336</v>
      </c>
      <c r="U89" s="59">
        <f t="shared" si="141"/>
        <v>-20.048085833333335</v>
      </c>
      <c r="V89" s="59">
        <f t="shared" si="141"/>
        <v>-21.548075833333336</v>
      </c>
      <c r="W89" s="59">
        <f t="shared" si="141"/>
        <v>-21.548075833333336</v>
      </c>
      <c r="X89" s="59">
        <f t="shared" si="141"/>
        <v>-19.646835833333334</v>
      </c>
      <c r="Y89" s="59">
        <f t="shared" si="141"/>
        <v>-21.548075833333336</v>
      </c>
      <c r="Z89" s="59">
        <f t="shared" si="141"/>
        <v>-20.548075833333336</v>
      </c>
      <c r="AA89" s="59">
        <f t="shared" si="141"/>
        <v>-20.548085833333335</v>
      </c>
      <c r="AB89" s="59">
        <f t="shared" si="141"/>
        <v>-20.548075833333336</v>
      </c>
      <c r="AC89" s="59">
        <f t="shared" si="141"/>
        <v>-20.548075833333336</v>
      </c>
      <c r="AD89" s="59">
        <f t="shared" si="141"/>
        <v>-11.641695833333335</v>
      </c>
      <c r="AE89" s="59">
        <f t="shared" si="141"/>
        <v>-10.720845833333335</v>
      </c>
      <c r="AF89" s="59">
        <f t="shared" si="141"/>
        <v>-12.019235833333333</v>
      </c>
      <c r="AG89" s="59">
        <f t="shared" si="141"/>
        <v>-12.853295833333334</v>
      </c>
      <c r="AH89" s="59">
        <f t="shared" si="141"/>
        <v>-13.191875833333334</v>
      </c>
      <c r="AI89" s="59">
        <f t="shared" si="141"/>
        <v>-13.819935833333334</v>
      </c>
      <c r="AJ89" s="59">
        <f t="shared" si="141"/>
        <v>-12.278955833333335</v>
      </c>
      <c r="AK89" s="59">
        <f t="shared" si="141"/>
        <v>-13.191875833333334</v>
      </c>
      <c r="AL89" s="59">
        <f t="shared" si="141"/>
        <v>-8.4339858333333346</v>
      </c>
      <c r="AM89" s="59">
        <f t="shared" si="141"/>
        <v>-5.6211058333333357</v>
      </c>
      <c r="AN89" s="59">
        <f t="shared" si="141"/>
        <v>-13.438535833333336</v>
      </c>
      <c r="AO89" s="59">
        <f t="shared" si="141"/>
        <v>-14.392115833333335</v>
      </c>
      <c r="AP89" s="59">
        <f t="shared" si="141"/>
        <v>-7.0059158333333356</v>
      </c>
      <c r="AQ89" s="59">
        <f t="shared" si="141"/>
        <v>0.39408416666666479</v>
      </c>
      <c r="AR89" s="59">
        <f t="shared" si="141"/>
        <v>3.980064166666665</v>
      </c>
      <c r="AS89" s="59">
        <f t="shared" si="141"/>
        <v>-13.605905833333335</v>
      </c>
      <c r="AT89" s="59">
        <f t="shared" si="141"/>
        <v>5.7581241666666649</v>
      </c>
    </row>
    <row r="90" spans="2:46" ht="3.95" customHeight="1">
      <c r="B90" s="123"/>
      <c r="C90" s="116"/>
      <c r="D90" s="116"/>
      <c r="F90" s="116"/>
      <c r="G90" s="116"/>
      <c r="I90" s="116"/>
      <c r="J90" s="116"/>
      <c r="K90" s="116"/>
      <c r="M90" s="23"/>
      <c r="N90" s="6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spans="2:46">
      <c r="B91" s="104" t="s">
        <v>469</v>
      </c>
      <c r="C91" s="105">
        <f>+C89+C80</f>
        <v>-20.98442999999989</v>
      </c>
      <c r="D91" s="106">
        <f>+D89+D80</f>
        <v>72.763099999999838</v>
      </c>
      <c r="F91" s="110">
        <f>+F89+F80</f>
        <v>53.646803333333061</v>
      </c>
      <c r="G91" s="106">
        <f>+G89+G80</f>
        <v>84.095883333333646</v>
      </c>
      <c r="I91" s="110">
        <f>+I89+I80</f>
        <v>17.181709999999924</v>
      </c>
      <c r="J91" s="105">
        <f>+J89+J80</f>
        <v>103.21217999999995</v>
      </c>
      <c r="K91" s="106">
        <f>+K89+K80</f>
        <v>-25.245329999999715</v>
      </c>
      <c r="L91" s="71"/>
      <c r="M91" s="110">
        <f>+M89+M80</f>
        <v>-128.45750999999984</v>
      </c>
      <c r="N91" s="112">
        <f t="shared" si="140"/>
        <v>-1.2445964226315125</v>
      </c>
      <c r="P91" s="110">
        <f t="shared" ref="P91:AT91" si="142">+P89+P80</f>
        <v>9.6607941666666655</v>
      </c>
      <c r="Q91" s="105">
        <f t="shared" si="142"/>
        <v>2.1923241666666797</v>
      </c>
      <c r="R91" s="105">
        <f t="shared" si="142"/>
        <v>-3.442205833333329</v>
      </c>
      <c r="S91" s="105">
        <f t="shared" si="142"/>
        <v>-11.885545833333353</v>
      </c>
      <c r="T91" s="105">
        <f t="shared" si="142"/>
        <v>-20.491495833333314</v>
      </c>
      <c r="U91" s="105">
        <f t="shared" si="142"/>
        <v>-7.4637858333333362</v>
      </c>
      <c r="V91" s="105">
        <f t="shared" si="142"/>
        <v>4.5740241666666783</v>
      </c>
      <c r="W91" s="105">
        <f t="shared" si="142"/>
        <v>7.4007441666666622</v>
      </c>
      <c r="X91" s="105">
        <f t="shared" si="142"/>
        <v>-6.2540658333333301</v>
      </c>
      <c r="Y91" s="105">
        <f t="shared" si="142"/>
        <v>-9.5760258333333539</v>
      </c>
      <c r="Z91" s="105">
        <f t="shared" si="142"/>
        <v>-31.95540583333333</v>
      </c>
      <c r="AA91" s="105">
        <f t="shared" si="142"/>
        <v>-26.320735833333313</v>
      </c>
      <c r="AB91" s="105">
        <f t="shared" si="142"/>
        <v>2.498364166666633</v>
      </c>
      <c r="AC91" s="105">
        <f t="shared" si="142"/>
        <v>-12.742155833333339</v>
      </c>
      <c r="AD91" s="105">
        <f t="shared" si="142"/>
        <v>9.7528041666666692</v>
      </c>
      <c r="AE91" s="105">
        <f t="shared" si="142"/>
        <v>-10.000025833333321</v>
      </c>
      <c r="AF91" s="105">
        <f t="shared" si="142"/>
        <v>4.0011041666666749</v>
      </c>
      <c r="AG91" s="105">
        <f t="shared" si="142"/>
        <v>14.716264166666644</v>
      </c>
      <c r="AH91" s="105">
        <f t="shared" si="142"/>
        <v>3.0838941666666528</v>
      </c>
      <c r="AI91" s="105">
        <f t="shared" si="142"/>
        <v>4.741214166666639</v>
      </c>
      <c r="AJ91" s="105">
        <f t="shared" si="142"/>
        <v>-7.1413058333333241</v>
      </c>
      <c r="AK91" s="105">
        <f t="shared" si="142"/>
        <v>-10.330245833333327</v>
      </c>
      <c r="AL91" s="105">
        <f t="shared" si="142"/>
        <v>5.3488841666667035</v>
      </c>
      <c r="AM91" s="105">
        <f t="shared" si="142"/>
        <v>-3.7426458333333463</v>
      </c>
      <c r="AN91" s="105">
        <f t="shared" si="142"/>
        <v>18.748934166666611</v>
      </c>
      <c r="AO91" s="105">
        <f t="shared" si="142"/>
        <v>56.347364166666637</v>
      </c>
      <c r="AP91" s="105">
        <f t="shared" si="142"/>
        <v>-15.474045833333356</v>
      </c>
      <c r="AQ91" s="105">
        <f t="shared" si="142"/>
        <v>-8.5614058333333567</v>
      </c>
      <c r="AR91" s="105">
        <f t="shared" si="142"/>
        <v>4.2060341666666643</v>
      </c>
      <c r="AS91" s="105">
        <f t="shared" si="142"/>
        <v>-3.3658358333332661</v>
      </c>
      <c r="AT91" s="106">
        <f t="shared" si="142"/>
        <v>-10.141715833333333</v>
      </c>
    </row>
    <row r="92" spans="2:46" s="97" customFormat="1">
      <c r="B92" s="107" t="s">
        <v>305</v>
      </c>
      <c r="C92" s="108">
        <f>C91/C$24</f>
        <v>-1.8489040881714536E-2</v>
      </c>
      <c r="D92" s="109">
        <f>D91/D$24</f>
        <v>3.8716480337886106E-2</v>
      </c>
      <c r="F92" s="111">
        <f>F91/F$24</f>
        <v>5.3761147918841651E-2</v>
      </c>
      <c r="G92" s="109">
        <f>G91/G$24</f>
        <v>5.0326042143171885E-2</v>
      </c>
      <c r="I92" s="111">
        <f>I91/I$24</f>
        <v>1.1271050881204434E-2</v>
      </c>
      <c r="J92" s="108">
        <f>J91/J$24</f>
        <v>4.0435227113754038E-2</v>
      </c>
      <c r="K92" s="109">
        <f>K91/K$24</f>
        <v>-8.4649373866707272E-3</v>
      </c>
      <c r="L92" s="103"/>
      <c r="M92" s="111">
        <v>0</v>
      </c>
      <c r="N92" s="113">
        <v>0</v>
      </c>
      <c r="P92" s="111">
        <f t="shared" ref="P92:AT92" si="143">P91/P$24</f>
        <v>0.11939715777379269</v>
      </c>
      <c r="Q92" s="108">
        <f t="shared" si="143"/>
        <v>2.698055849210184E-2</v>
      </c>
      <c r="R92" s="108">
        <f t="shared" si="143"/>
        <v>-4.4067454678441129E-2</v>
      </c>
      <c r="S92" s="108">
        <f t="shared" si="143"/>
        <v>-0.1425923848645867</v>
      </c>
      <c r="T92" s="108">
        <f t="shared" si="143"/>
        <v>-0.22718814310071228</v>
      </c>
      <c r="U92" s="108">
        <f t="shared" si="143"/>
        <v>-8.3008612872635681E-2</v>
      </c>
      <c r="V92" s="108">
        <f t="shared" si="143"/>
        <v>4.3694445864087286E-2</v>
      </c>
      <c r="W92" s="108">
        <f t="shared" si="143"/>
        <v>7.1081206113969772E-2</v>
      </c>
      <c r="X92" s="108">
        <f t="shared" si="143"/>
        <v>-6.3575185540033496E-2</v>
      </c>
      <c r="Y92" s="108">
        <f t="shared" si="143"/>
        <v>-9.6670019890523276E-2</v>
      </c>
      <c r="Z92" s="108">
        <f t="shared" si="143"/>
        <v>-0.29253199990601497</v>
      </c>
      <c r="AA92" s="108">
        <f t="shared" si="143"/>
        <v>-0.22738933186237031</v>
      </c>
      <c r="AB92" s="108">
        <f t="shared" si="143"/>
        <v>1.8017584175876136E-2</v>
      </c>
      <c r="AC92" s="108">
        <f t="shared" si="143"/>
        <v>-9.9701851396867811E-2</v>
      </c>
      <c r="AD92" s="108">
        <f t="shared" si="143"/>
        <v>7.2417100629763489E-2</v>
      </c>
      <c r="AE92" s="108">
        <f t="shared" si="143"/>
        <v>-7.354279615852638E-2</v>
      </c>
      <c r="AF92" s="108">
        <f t="shared" si="143"/>
        <v>2.6314203845829449E-2</v>
      </c>
      <c r="AG92" s="108">
        <f t="shared" si="143"/>
        <v>9.5980839700308823E-2</v>
      </c>
      <c r="AH92" s="108">
        <f t="shared" si="143"/>
        <v>1.9847333541939054E-2</v>
      </c>
      <c r="AI92" s="108">
        <f t="shared" si="143"/>
        <v>2.9656068734086712E-2</v>
      </c>
      <c r="AJ92" s="108">
        <f t="shared" si="143"/>
        <v>-4.3544757522510774E-2</v>
      </c>
      <c r="AK92" s="108">
        <f t="shared" si="143"/>
        <v>-5.7632233165949023E-2</v>
      </c>
      <c r="AL92" s="108">
        <f t="shared" si="143"/>
        <v>2.9439523868913305E-2</v>
      </c>
      <c r="AM92" s="108">
        <f t="shared" si="143"/>
        <v>-1.9026918358882282E-2</v>
      </c>
      <c r="AN92" s="108">
        <f t="shared" si="143"/>
        <v>8.8360844573471459E-2</v>
      </c>
      <c r="AO92" s="108">
        <f t="shared" si="143"/>
        <v>0.2329400885067674</v>
      </c>
      <c r="AP92" s="108">
        <f t="shared" si="143"/>
        <v>-6.6843873249865959E-2</v>
      </c>
      <c r="AQ92" s="108">
        <f t="shared" si="143"/>
        <v>-3.5625102840537042E-2</v>
      </c>
      <c r="AR92" s="108">
        <f t="shared" si="143"/>
        <v>1.7083890386436269E-2</v>
      </c>
      <c r="AS92" s="108">
        <f t="shared" si="143"/>
        <v>-1.3599375163215677E-2</v>
      </c>
      <c r="AT92" s="109">
        <f t="shared" si="143"/>
        <v>-4.0336806391758573E-2</v>
      </c>
    </row>
    <row r="93" spans="2:46" ht="3.95" customHeight="1"/>
    <row r="94" spans="2:46">
      <c r="B94" s="42" t="s">
        <v>309</v>
      </c>
      <c r="C94" s="43"/>
      <c r="D94" s="43"/>
      <c r="E94" s="6"/>
      <c r="F94" s="43"/>
      <c r="G94" s="43"/>
      <c r="H94" s="6"/>
      <c r="I94" s="43"/>
      <c r="J94" s="43"/>
      <c r="K94" s="43"/>
      <c r="L94" s="6"/>
      <c r="M94" s="43"/>
      <c r="N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8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93" t="s">
        <v>313</v>
      </c>
      <c r="C97" s="83">
        <f>+C32</f>
        <v>0</v>
      </c>
      <c r="D97" s="83">
        <f>+D32</f>
        <v>19.149630000000002</v>
      </c>
      <c r="F97" s="83">
        <f>+F32</f>
        <v>3.09945</v>
      </c>
      <c r="G97" s="83">
        <f>+G32</f>
        <v>51.941310000000001</v>
      </c>
      <c r="I97" s="83">
        <f>+I32</f>
        <v>3.09945</v>
      </c>
      <c r="J97" s="83">
        <f>+J32</f>
        <v>67.991489999999999</v>
      </c>
      <c r="K97" s="83">
        <f>+K32</f>
        <v>98.349119999999999</v>
      </c>
      <c r="M97" s="23">
        <f t="shared" si="144"/>
        <v>30.35763</v>
      </c>
      <c r="N97" s="66">
        <f t="shared" ref="N97" si="149">IFERROR(K97/J97-1,0)</f>
        <v>0.44649161240619972</v>
      </c>
      <c r="P97" s="83">
        <f t="shared" ref="P97:AT97" si="150">+P32</f>
        <v>0</v>
      </c>
      <c r="Q97" s="83">
        <f t="shared" si="150"/>
        <v>0</v>
      </c>
      <c r="R97" s="83">
        <f t="shared" si="150"/>
        <v>0</v>
      </c>
      <c r="S97" s="83">
        <f t="shared" si="150"/>
        <v>0</v>
      </c>
      <c r="T97" s="83">
        <f t="shared" si="150"/>
        <v>0</v>
      </c>
      <c r="U97" s="83">
        <f t="shared" si="150"/>
        <v>0</v>
      </c>
      <c r="V97" s="83">
        <f t="shared" si="150"/>
        <v>0</v>
      </c>
      <c r="W97" s="83">
        <f t="shared" si="150"/>
        <v>0</v>
      </c>
      <c r="X97" s="83">
        <f t="shared" si="150"/>
        <v>0</v>
      </c>
      <c r="Y97" s="83">
        <f t="shared" si="150"/>
        <v>0</v>
      </c>
      <c r="Z97" s="83">
        <f t="shared" si="150"/>
        <v>0</v>
      </c>
      <c r="AA97" s="83">
        <f t="shared" si="150"/>
        <v>0</v>
      </c>
      <c r="AB97" s="83">
        <f t="shared" si="150"/>
        <v>0</v>
      </c>
      <c r="AC97" s="83">
        <f t="shared" si="150"/>
        <v>0</v>
      </c>
      <c r="AD97" s="83">
        <f t="shared" si="150"/>
        <v>0</v>
      </c>
      <c r="AE97" s="83">
        <f t="shared" si="150"/>
        <v>0</v>
      </c>
      <c r="AF97" s="83">
        <f t="shared" si="150"/>
        <v>0</v>
      </c>
      <c r="AG97" s="83">
        <f t="shared" si="150"/>
        <v>1.4667999999999999</v>
      </c>
      <c r="AH97" s="83">
        <f t="shared" si="150"/>
        <v>1.6326500000000002</v>
      </c>
      <c r="AI97" s="83">
        <f t="shared" si="150"/>
        <v>1.7180499999999999</v>
      </c>
      <c r="AJ97" s="83">
        <f t="shared" si="150"/>
        <v>1.9145999999999999</v>
      </c>
      <c r="AK97" s="83">
        <f t="shared" si="150"/>
        <v>2.3529</v>
      </c>
      <c r="AL97" s="83">
        <f t="shared" si="150"/>
        <v>2.2452399999999999</v>
      </c>
      <c r="AM97" s="83">
        <f t="shared" si="150"/>
        <v>7.8193900000000003</v>
      </c>
      <c r="AN97" s="83">
        <f t="shared" si="150"/>
        <v>5.6533999999999995</v>
      </c>
      <c r="AO97" s="83">
        <f t="shared" si="150"/>
        <v>5.9568900000000005</v>
      </c>
      <c r="AP97" s="83">
        <f t="shared" si="150"/>
        <v>7.7827999999999999</v>
      </c>
      <c r="AQ97" s="83">
        <f t="shared" si="150"/>
        <v>8.1370100000000001</v>
      </c>
      <c r="AR97" s="83">
        <f t="shared" si="150"/>
        <v>7.8082500000000001</v>
      </c>
      <c r="AS97" s="83">
        <f t="shared" si="150"/>
        <v>8.4072000000000013</v>
      </c>
      <c r="AT97" s="83">
        <f t="shared" si="150"/>
        <v>8.1957599999999999</v>
      </c>
    </row>
    <row r="98" spans="1:46">
      <c r="B98" s="93" t="s">
        <v>314</v>
      </c>
      <c r="C98" s="83">
        <f>+C45</f>
        <v>24.819999999999997</v>
      </c>
      <c r="D98" s="83">
        <f>+D45</f>
        <v>27.153739999999999</v>
      </c>
      <c r="F98" s="83">
        <f>+F45</f>
        <v>17.089500000000001</v>
      </c>
      <c r="G98" s="83">
        <f>+G45</f>
        <v>20.62969</v>
      </c>
      <c r="I98" s="83">
        <f>+I45</f>
        <v>26.209499999999998</v>
      </c>
      <c r="J98" s="83">
        <f>+J45</f>
        <v>30.693929999999998</v>
      </c>
      <c r="K98" s="83">
        <f>+K45</f>
        <v>30.693929999999998</v>
      </c>
      <c r="M98" s="23">
        <f t="shared" si="144"/>
        <v>0</v>
      </c>
      <c r="N98" s="66">
        <f t="shared" ref="N98" si="151">IFERROR(K98/J98-1,0)</f>
        <v>0</v>
      </c>
      <c r="P98" s="83">
        <f t="shared" ref="P98:AT98" si="152">+P45</f>
        <v>2.21</v>
      </c>
      <c r="Q98" s="83">
        <f t="shared" si="152"/>
        <v>2.7349999999999999</v>
      </c>
      <c r="R98" s="83">
        <f t="shared" si="152"/>
        <v>2.7149999999999999</v>
      </c>
      <c r="S98" s="83">
        <f t="shared" si="152"/>
        <v>2.7349999999999999</v>
      </c>
      <c r="T98" s="83">
        <f t="shared" si="152"/>
        <v>0.78</v>
      </c>
      <c r="U98" s="83">
        <f t="shared" si="152"/>
        <v>3.2450000000000001</v>
      </c>
      <c r="V98" s="83">
        <f t="shared" si="152"/>
        <v>1.28</v>
      </c>
      <c r="W98" s="83">
        <f t="shared" si="152"/>
        <v>1.3</v>
      </c>
      <c r="X98" s="83">
        <f t="shared" si="152"/>
        <v>1.81</v>
      </c>
      <c r="Y98" s="83">
        <f t="shared" si="152"/>
        <v>1.82</v>
      </c>
      <c r="Z98" s="83">
        <f t="shared" si="152"/>
        <v>1.835</v>
      </c>
      <c r="AA98" s="83">
        <f t="shared" si="152"/>
        <v>2.355</v>
      </c>
      <c r="AB98" s="83">
        <f t="shared" si="152"/>
        <v>1.4702500000000001</v>
      </c>
      <c r="AC98" s="83">
        <f t="shared" si="152"/>
        <v>1.665</v>
      </c>
      <c r="AD98" s="83">
        <f t="shared" si="152"/>
        <v>2.6277499999999998</v>
      </c>
      <c r="AE98" s="83">
        <f t="shared" si="152"/>
        <v>1.24875</v>
      </c>
      <c r="AF98" s="83">
        <f t="shared" si="152"/>
        <v>2.1539999999999999</v>
      </c>
      <c r="AG98" s="83">
        <f t="shared" si="152"/>
        <v>4.1539999999999999</v>
      </c>
      <c r="AH98" s="83">
        <f t="shared" si="152"/>
        <v>3.7697500000000002</v>
      </c>
      <c r="AI98" s="83">
        <f t="shared" si="152"/>
        <v>1.696</v>
      </c>
      <c r="AJ98" s="83">
        <f t="shared" si="152"/>
        <v>2.2275</v>
      </c>
      <c r="AK98" s="83">
        <f t="shared" si="152"/>
        <v>1.6645000000000001</v>
      </c>
      <c r="AL98" s="83">
        <f t="shared" si="152"/>
        <v>1.71879</v>
      </c>
      <c r="AM98" s="83">
        <f t="shared" si="152"/>
        <v>2.75745</v>
      </c>
      <c r="AN98" s="83">
        <f t="shared" si="152"/>
        <v>1.8688</v>
      </c>
      <c r="AO98" s="83">
        <f t="shared" si="152"/>
        <v>4.4399100000000002</v>
      </c>
      <c r="AP98" s="83">
        <f t="shared" si="152"/>
        <v>2.3936100000000002</v>
      </c>
      <c r="AQ98" s="83">
        <f t="shared" si="152"/>
        <v>3.6578600000000003</v>
      </c>
      <c r="AR98" s="83">
        <f t="shared" si="152"/>
        <v>2.9337900000000001</v>
      </c>
      <c r="AS98" s="83">
        <f t="shared" si="152"/>
        <v>1.5662</v>
      </c>
      <c r="AT98" s="83">
        <f t="shared" si="152"/>
        <v>3.76952</v>
      </c>
    </row>
    <row r="99" spans="1:46">
      <c r="B99" s="92" t="s">
        <v>315</v>
      </c>
      <c r="C99" s="59">
        <f>SUM(C95:C98)</f>
        <v>103.57404999999997</v>
      </c>
      <c r="D99" s="59">
        <f>SUM(D95:D98)</f>
        <v>123.95379000000003</v>
      </c>
      <c r="F99" s="59">
        <f>SUM(F95:F98)</f>
        <v>51.884519999999995</v>
      </c>
      <c r="G99" s="59">
        <f>SUM(G95:G98)</f>
        <v>124.79598999999999</v>
      </c>
      <c r="I99" s="59">
        <f>SUM(I95:I98)</f>
        <v>93.123750000000001</v>
      </c>
      <c r="J99" s="59">
        <f>SUM(J95:J98)</f>
        <v>196.86526000000001</v>
      </c>
      <c r="K99" s="59">
        <f>SUM(K95:K98)</f>
        <v>222.62498999999997</v>
      </c>
      <c r="L99" s="71"/>
      <c r="M99" s="59">
        <f>SUM(M95:M98)</f>
        <v>25.759729999999976</v>
      </c>
      <c r="N99" s="90">
        <f t="shared" ref="N99" si="153">IFERROR(K99/J99-1,0)</f>
        <v>0.13084954653756564</v>
      </c>
      <c r="P99" s="59">
        <f t="shared" ref="P99:AT99" si="154">SUM(P95:P98)</f>
        <v>5.8822800000000006</v>
      </c>
      <c r="Q99" s="59">
        <f t="shared" si="154"/>
        <v>7.797959999999998</v>
      </c>
      <c r="R99" s="59">
        <f t="shared" si="154"/>
        <v>10.155840000000001</v>
      </c>
      <c r="S99" s="59">
        <f t="shared" si="154"/>
        <v>14.277290000000001</v>
      </c>
      <c r="T99" s="59">
        <f t="shared" si="154"/>
        <v>12.758439999999998</v>
      </c>
      <c r="U99" s="59">
        <f t="shared" si="154"/>
        <v>6.8029899999999994</v>
      </c>
      <c r="V99" s="59">
        <f t="shared" si="154"/>
        <v>4.6600200000000003</v>
      </c>
      <c r="W99" s="59">
        <f t="shared" si="154"/>
        <v>2.464739999999999</v>
      </c>
      <c r="X99" s="59">
        <f t="shared" si="154"/>
        <v>7.4586300000000012</v>
      </c>
      <c r="Y99" s="59">
        <f t="shared" si="154"/>
        <v>7.9701699999999995</v>
      </c>
      <c r="Z99" s="59">
        <f t="shared" si="154"/>
        <v>11.445219999999999</v>
      </c>
      <c r="AA99" s="59">
        <f t="shared" si="154"/>
        <v>11.90047</v>
      </c>
      <c r="AB99" s="59">
        <f t="shared" si="154"/>
        <v>8.7368099999999984</v>
      </c>
      <c r="AC99" s="59">
        <f t="shared" si="154"/>
        <v>9.0529799999999998</v>
      </c>
      <c r="AD99" s="59">
        <f t="shared" si="154"/>
        <v>1.942070000000002</v>
      </c>
      <c r="AE99" s="59">
        <f t="shared" si="154"/>
        <v>7.2287499999999998</v>
      </c>
      <c r="AF99" s="59">
        <f t="shared" si="154"/>
        <v>2.1503199999999989</v>
      </c>
      <c r="AG99" s="59">
        <f t="shared" si="154"/>
        <v>10.332619999999999</v>
      </c>
      <c r="AH99" s="59">
        <f t="shared" si="154"/>
        <v>12.44097</v>
      </c>
      <c r="AI99" s="59">
        <f t="shared" si="154"/>
        <v>12.153119999999999</v>
      </c>
      <c r="AJ99" s="59">
        <f t="shared" si="154"/>
        <v>14.920940000000002</v>
      </c>
      <c r="AK99" s="59">
        <f t="shared" si="154"/>
        <v>10.423959999999999</v>
      </c>
      <c r="AL99" s="59">
        <f t="shared" si="154"/>
        <v>13.053890000000001</v>
      </c>
      <c r="AM99" s="59">
        <f t="shared" si="154"/>
        <v>21.51736</v>
      </c>
      <c r="AN99" s="59">
        <f t="shared" si="154"/>
        <v>13.865639999999997</v>
      </c>
      <c r="AO99" s="59">
        <f t="shared" si="154"/>
        <v>15.24841</v>
      </c>
      <c r="AP99" s="59">
        <f t="shared" si="154"/>
        <v>16.01624</v>
      </c>
      <c r="AQ99" s="59">
        <f t="shared" si="154"/>
        <v>18.42389</v>
      </c>
      <c r="AR99" s="59">
        <f t="shared" si="154"/>
        <v>17.739440000000002</v>
      </c>
      <c r="AS99" s="59">
        <f t="shared" si="154"/>
        <v>21.206469999999999</v>
      </c>
      <c r="AT99" s="59">
        <f t="shared" si="154"/>
        <v>22.295899999999996</v>
      </c>
    </row>
    <row r="100" spans="1:46" ht="3.95" customHeight="1"/>
    <row r="101" spans="1:46">
      <c r="B101" s="104" t="s">
        <v>468</v>
      </c>
      <c r="C101" s="105">
        <f>+C91+C99</f>
        <v>82.589620000000082</v>
      </c>
      <c r="D101" s="106">
        <f>+D91+D99</f>
        <v>196.71688999999986</v>
      </c>
      <c r="F101" s="110">
        <f>+F91+F99</f>
        <v>105.53132333333306</v>
      </c>
      <c r="G101" s="106">
        <f>+G91+G99</f>
        <v>208.89187333333365</v>
      </c>
      <c r="I101" s="110">
        <f>+I91+I99</f>
        <v>110.30545999999993</v>
      </c>
      <c r="J101" s="105">
        <f>+J91+J99</f>
        <v>300.07743999999997</v>
      </c>
      <c r="K101" s="106">
        <f>+K91+K99</f>
        <v>197.37966000000026</v>
      </c>
      <c r="L101" s="71"/>
      <c r="M101" s="110">
        <f>+M91+M99</f>
        <v>-102.69777999999987</v>
      </c>
      <c r="N101" s="112">
        <f t="shared" ref="N101" si="155">IFERROR(K101/J101-1,0)</f>
        <v>-0.34223759040332957</v>
      </c>
      <c r="P101" s="110">
        <f t="shared" ref="P101:AT101" si="156">+P91+P99</f>
        <v>15.543074166666667</v>
      </c>
      <c r="Q101" s="105">
        <f t="shared" si="156"/>
        <v>9.9902841666666777</v>
      </c>
      <c r="R101" s="105">
        <f t="shared" si="156"/>
        <v>6.7136341666666723</v>
      </c>
      <c r="S101" s="105">
        <f t="shared" si="156"/>
        <v>2.3917441666666477</v>
      </c>
      <c r="T101" s="105">
        <f t="shared" si="156"/>
        <v>-7.7330558333333155</v>
      </c>
      <c r="U101" s="105">
        <f t="shared" si="156"/>
        <v>-0.6607958333333368</v>
      </c>
      <c r="V101" s="105">
        <f t="shared" si="156"/>
        <v>9.2340441666666777</v>
      </c>
      <c r="W101" s="105">
        <f t="shared" si="156"/>
        <v>9.8654841666666613</v>
      </c>
      <c r="X101" s="105">
        <f t="shared" si="156"/>
        <v>1.2045641666666711</v>
      </c>
      <c r="Y101" s="105">
        <f t="shared" si="156"/>
        <v>-1.6058558333333544</v>
      </c>
      <c r="Z101" s="105">
        <f t="shared" si="156"/>
        <v>-20.510185833333331</v>
      </c>
      <c r="AA101" s="105">
        <f t="shared" si="156"/>
        <v>-14.420265833333312</v>
      </c>
      <c r="AB101" s="105">
        <f t="shared" si="156"/>
        <v>11.235174166666631</v>
      </c>
      <c r="AC101" s="105">
        <f t="shared" si="156"/>
        <v>-3.6891758333333389</v>
      </c>
      <c r="AD101" s="105">
        <f t="shared" si="156"/>
        <v>11.694874166666672</v>
      </c>
      <c r="AE101" s="105">
        <f t="shared" si="156"/>
        <v>-2.7712758333333216</v>
      </c>
      <c r="AF101" s="105">
        <f t="shared" si="156"/>
        <v>6.1514241666666738</v>
      </c>
      <c r="AG101" s="105">
        <f t="shared" si="156"/>
        <v>25.048884166666642</v>
      </c>
      <c r="AH101" s="105">
        <f t="shared" si="156"/>
        <v>15.524864166666653</v>
      </c>
      <c r="AI101" s="105">
        <f t="shared" si="156"/>
        <v>16.894334166666638</v>
      </c>
      <c r="AJ101" s="105">
        <f t="shared" si="156"/>
        <v>7.7796341666666775</v>
      </c>
      <c r="AK101" s="105">
        <f t="shared" si="156"/>
        <v>9.3714166666671872E-2</v>
      </c>
      <c r="AL101" s="105">
        <f t="shared" si="156"/>
        <v>18.402774166666703</v>
      </c>
      <c r="AM101" s="105">
        <f t="shared" si="156"/>
        <v>17.774714166666655</v>
      </c>
      <c r="AN101" s="105">
        <f t="shared" si="156"/>
        <v>32.614574166666607</v>
      </c>
      <c r="AO101" s="105">
        <f t="shared" si="156"/>
        <v>71.595774166666644</v>
      </c>
      <c r="AP101" s="105">
        <f t="shared" si="156"/>
        <v>0.54219416666664344</v>
      </c>
      <c r="AQ101" s="105">
        <f t="shared" si="156"/>
        <v>9.8624841666666434</v>
      </c>
      <c r="AR101" s="105">
        <f t="shared" si="156"/>
        <v>21.945474166666667</v>
      </c>
      <c r="AS101" s="105">
        <f t="shared" si="156"/>
        <v>17.840634166666732</v>
      </c>
      <c r="AT101" s="106">
        <f t="shared" si="156"/>
        <v>12.154184166666663</v>
      </c>
    </row>
    <row r="102" spans="1:46" s="97" customFormat="1">
      <c r="B102" s="107" t="s">
        <v>305</v>
      </c>
      <c r="C102" s="108">
        <f>C101/C$24</f>
        <v>7.276837448457156E-2</v>
      </c>
      <c r="D102" s="109">
        <f>D101/D$24</f>
        <v>0.10467098850674469</v>
      </c>
      <c r="F102" s="111">
        <f>F101/F$24</f>
        <v>0.1057562563148892</v>
      </c>
      <c r="G102" s="109">
        <f>G101/G$24</f>
        <v>0.1250085117611516</v>
      </c>
      <c r="I102" s="111">
        <f>I101/I$24</f>
        <v>7.2359413127952049E-2</v>
      </c>
      <c r="J102" s="108">
        <f>J101/J$24</f>
        <v>0.11756073205811471</v>
      </c>
      <c r="K102" s="109">
        <f>K101/K$24</f>
        <v>6.6182793542503809E-2</v>
      </c>
      <c r="L102" s="103"/>
      <c r="M102" s="111">
        <v>0</v>
      </c>
      <c r="N102" s="113">
        <v>0</v>
      </c>
      <c r="P102" s="111">
        <f t="shared" ref="P102" si="157">P101/P$24</f>
        <v>0.1920958925892923</v>
      </c>
      <c r="Q102" s="108">
        <f t="shared" ref="Q102" si="158">Q101/Q$24</f>
        <v>0.12294871826427779</v>
      </c>
      <c r="R102" s="108">
        <f t="shared" ref="R102" si="159">R101/R$24</f>
        <v>8.5948599151818433E-2</v>
      </c>
      <c r="S102" s="108">
        <f t="shared" ref="S102" si="160">S101/S$24</f>
        <v>2.8694054904444672E-2</v>
      </c>
      <c r="T102" s="108">
        <f t="shared" ref="T102" si="161">T101/T$24</f>
        <v>-8.573598577470673E-2</v>
      </c>
      <c r="U102" s="108">
        <f t="shared" ref="U102" si="162">U101/U$24</f>
        <v>-7.3490513717648816E-3</v>
      </c>
      <c r="V102" s="108">
        <f t="shared" ref="V102" si="163">V101/V$24</f>
        <v>8.8210387231303533E-2</v>
      </c>
      <c r="W102" s="108">
        <f t="shared" ref="W102" si="164">W101/W$24</f>
        <v>9.4754054142745153E-2</v>
      </c>
      <c r="X102" s="108">
        <f t="shared" ref="X102" si="165">X101/X$24</f>
        <v>1.2244896749015058E-2</v>
      </c>
      <c r="Y102" s="108">
        <f t="shared" ref="Y102" si="166">Y101/Y$24</f>
        <v>-1.6211121194898738E-2</v>
      </c>
      <c r="Z102" s="108">
        <f t="shared" ref="Z102" si="167">Z101/Z$24</f>
        <v>-0.1877580811072164</v>
      </c>
      <c r="AA102" s="108">
        <f t="shared" ref="AA102" si="168">AA101/AA$24</f>
        <v>-0.12457913919590322</v>
      </c>
      <c r="AB102" s="108">
        <f t="shared" ref="AB102" si="169">AB101/AB$24</f>
        <v>8.1025296063476637E-2</v>
      </c>
      <c r="AC102" s="108">
        <f t="shared" ref="AC102" si="170">AC101/AC$24</f>
        <v>-2.8866203295811969E-2</v>
      </c>
      <c r="AD102" s="108">
        <f t="shared" ref="AD102" si="171">AD101/AD$24</f>
        <v>8.6837474115855226E-2</v>
      </c>
      <c r="AE102" s="108">
        <f t="shared" ref="AE102" si="172">AE101/AE$24</f>
        <v>-2.0380684720886111E-2</v>
      </c>
      <c r="AF102" s="108">
        <f t="shared" ref="AF102" si="173">AF101/AF$24</f>
        <v>4.045628974430885E-2</v>
      </c>
      <c r="AG102" s="108">
        <f t="shared" ref="AG102" si="174">AG101/AG$24</f>
        <v>0.16337114560080698</v>
      </c>
      <c r="AH102" s="108">
        <f t="shared" ref="AH102" si="175">AH101/AH$24</f>
        <v>9.9914958379451135E-2</v>
      </c>
      <c r="AI102" s="108">
        <f t="shared" ref="AI102" si="176">AI101/AI$24</f>
        <v>0.1056732553415832</v>
      </c>
      <c r="AJ102" s="108">
        <f t="shared" ref="AJ102" si="177">AJ101/AJ$24</f>
        <v>4.7437022206794029E-2</v>
      </c>
      <c r="AK102" s="108">
        <f t="shared" ref="AK102" si="178">AK101/AK$24</f>
        <v>5.2282944582582888E-4</v>
      </c>
      <c r="AL102" s="108">
        <f t="shared" ref="AL102" si="179">AL101/AL$24</f>
        <v>0.10128634168412418</v>
      </c>
      <c r="AM102" s="108">
        <f t="shared" ref="AM102" si="180">AM101/AM$24</f>
        <v>9.0363355327271883E-2</v>
      </c>
      <c r="AN102" s="108">
        <f t="shared" ref="AN102" si="181">AN101/AN$24</f>
        <v>0.15370747441709923</v>
      </c>
      <c r="AO102" s="108">
        <f t="shared" ref="AO102" si="182">AO101/AO$24</f>
        <v>0.2959770384602971</v>
      </c>
      <c r="AP102" s="108">
        <f t="shared" ref="AP102" si="183">AP101/AP$24</f>
        <v>2.3421384777994178E-3</v>
      </c>
      <c r="AQ102" s="108">
        <f t="shared" ref="AQ102" si="184">AQ101/AQ$24</f>
        <v>4.103905591447353E-2</v>
      </c>
      <c r="AR102" s="108">
        <f t="shared" ref="AR102" si="185">AR101/AR$24</f>
        <v>8.9137192016399219E-2</v>
      </c>
      <c r="AS102" s="108">
        <f t="shared" ref="AS102" si="186">AS101/AS$24</f>
        <v>7.2083574243105866E-2</v>
      </c>
      <c r="AT102" s="109">
        <f t="shared" ref="AT102" si="187">AT101/AT$24</f>
        <v>4.8341028445033248E-2</v>
      </c>
    </row>
    <row r="104" spans="1:46">
      <c r="A104" s="117" t="s">
        <v>294</v>
      </c>
      <c r="B104" s="118" t="s">
        <v>324</v>
      </c>
      <c r="C104" s="119"/>
      <c r="D104" s="120" t="s">
        <v>287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</row>
    <row r="105" spans="1:46">
      <c r="A105" s="117"/>
      <c r="B105" s="42" t="s">
        <v>279</v>
      </c>
      <c r="C105" s="122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46">
      <c r="B106" s="57" t="str">
        <f>+B7</f>
        <v>STR Subscription</v>
      </c>
      <c r="C106" s="46">
        <f>+AT7*12</f>
        <v>2410.0500000000002</v>
      </c>
      <c r="D106" s="95" t="s">
        <v>288</v>
      </c>
      <c r="E106" s="45"/>
      <c r="F106" s="86"/>
      <c r="G106" s="86"/>
      <c r="H106" s="45"/>
      <c r="I106" s="86"/>
      <c r="J106" s="86"/>
      <c r="K106" s="86"/>
      <c r="L106" s="86"/>
      <c r="M106" s="86"/>
      <c r="N106" s="86"/>
    </row>
    <row r="107" spans="1:46">
      <c r="B107" s="57" t="str">
        <f>+B9</f>
        <v>SMB Subscription</v>
      </c>
      <c r="C107" s="82">
        <v>0</v>
      </c>
      <c r="D107" s="95" t="s">
        <v>1331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+B8</f>
        <v>Occupancy Taxes</v>
      </c>
      <c r="C108" s="82">
        <f>+AT8*12</f>
        <v>192.82980000000001</v>
      </c>
      <c r="D108" s="95" t="s">
        <v>288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+B10</f>
        <v>Onboarding</v>
      </c>
      <c r="C109" s="82">
        <f>AVERAGE(AM10:AT10)*12</f>
        <v>103.5675</v>
      </c>
      <c r="D109" s="95" t="s">
        <v>289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+B12</f>
        <v>STR Bill Pay</v>
      </c>
      <c r="C110" s="82">
        <f>+AT12*12</f>
        <v>83.460000000000008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+B11</f>
        <v>Topkey Subscription</v>
      </c>
      <c r="C111" s="82">
        <f>+AT11*12</f>
        <v>94.835999999999999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+B13</f>
        <v>Controller Services</v>
      </c>
      <c r="C112" s="82">
        <f>+AT13*12</f>
        <v>42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+B14</f>
        <v>Historical Cleanup</v>
      </c>
      <c r="C113" s="82">
        <f>+AT14*12</f>
        <v>0</v>
      </c>
      <c r="D113" s="95" t="s">
        <v>290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8" t="str">
        <f>+B15</f>
        <v>Total Recurring Revenue</v>
      </c>
      <c r="C114" s="59">
        <f>SUM(C106:C113)</f>
        <v>2926.7433000000001</v>
      </c>
      <c r="D114" s="71"/>
      <c r="F114" s="71"/>
      <c r="G114" s="71"/>
      <c r="I114" s="71"/>
      <c r="J114" s="71"/>
      <c r="K114" s="71"/>
      <c r="L114" s="71"/>
      <c r="M114" s="71"/>
      <c r="N114" s="71"/>
    </row>
    <row r="115" spans="2:14" ht="3.95" customHeight="1"/>
    <row r="116" spans="2:14">
      <c r="B116" s="57" t="str">
        <f>+B18</f>
        <v>1099 Filing</v>
      </c>
      <c r="C116" s="82">
        <f>+J18</f>
        <v>38.761499999999998</v>
      </c>
      <c r="D116" s="95" t="s">
        <v>1332</v>
      </c>
    </row>
    <row r="117" spans="2:14">
      <c r="B117" s="57" t="str">
        <f>+B19</f>
        <v>Income Tax</v>
      </c>
      <c r="C117" s="82">
        <v>0</v>
      </c>
      <c r="D117" s="95" t="s">
        <v>291</v>
      </c>
    </row>
    <row r="118" spans="2:14">
      <c r="B118" s="57" t="str">
        <f>+B17</f>
        <v>Profit Share</v>
      </c>
      <c r="C118" s="82">
        <f>AVERAGE(AI17:AT17)*12</f>
        <v>16.836220000000001</v>
      </c>
      <c r="D118" s="95" t="s">
        <v>292</v>
      </c>
    </row>
    <row r="119" spans="2:14">
      <c r="B119" s="57" t="str">
        <f>+B20</f>
        <v>Billable Expense Income</v>
      </c>
      <c r="C119" s="82">
        <v>0</v>
      </c>
      <c r="D119" s="95" t="s">
        <v>291</v>
      </c>
    </row>
    <row r="120" spans="2:14">
      <c r="B120" s="57" t="str">
        <f>+B21</f>
        <v>Offshore Recruiting</v>
      </c>
      <c r="C120" s="82">
        <v>0</v>
      </c>
      <c r="D120" s="95" t="s">
        <v>291</v>
      </c>
    </row>
    <row r="121" spans="2:14">
      <c r="B121" s="58" t="str">
        <f>+B22</f>
        <v>Total Nonrecurring Revenue</v>
      </c>
      <c r="C121" s="59">
        <f>SUM(C116:C120)</f>
        <v>55.597719999999995</v>
      </c>
    </row>
    <row r="123" spans="2:14">
      <c r="B123" s="42" t="s">
        <v>280</v>
      </c>
      <c r="C123" s="4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>
      <c r="B124" s="56" t="s">
        <v>63</v>
      </c>
      <c r="C124" s="82">
        <f>AT27*12</f>
        <v>694.74455999999998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57" t="s">
        <v>34</v>
      </c>
      <c r="C125" s="82">
        <f>AT28*12</f>
        <v>533.85120000000006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93" t="s">
        <v>277</v>
      </c>
      <c r="C126" s="83">
        <f>+J31</f>
        <v>108.34394</v>
      </c>
      <c r="D126" s="95" t="s">
        <v>320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35</v>
      </c>
      <c r="C127" s="82">
        <f>AT29*12</f>
        <v>392.92452000000003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278</v>
      </c>
      <c r="C128" s="82">
        <f>AT32*12</f>
        <v>98.349119999999999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36</v>
      </c>
      <c r="C129" s="82">
        <f>AT33*12</f>
        <v>68.113200000000006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38</v>
      </c>
      <c r="C130" s="82">
        <f>AT34*12</f>
        <v>33.081240000000001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37</v>
      </c>
      <c r="C131" s="82">
        <f>AT30*12</f>
        <v>197.14943999999997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6" t="str">
        <f>+B35</f>
        <v>Employee Benefits</v>
      </c>
      <c r="C132" s="82">
        <f>+AT35*12</f>
        <v>32.178359999999998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8" t="str">
        <f>+B36</f>
        <v>Total Payroll Expenses</v>
      </c>
      <c r="C133" s="59">
        <f>SUM(C124:C132)</f>
        <v>2158.73558</v>
      </c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42" t="s">
        <v>303</v>
      </c>
      <c r="C135" s="43"/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+B38</f>
        <v>Software &amp; Apps - COGS</v>
      </c>
      <c r="C136" s="82">
        <f>+AT38*12</f>
        <v>335.70816000000002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Software &amp; Apps - G&amp;A</v>
      </c>
      <c r="C137" s="82">
        <f>+AT39*12</f>
        <v>155.82264000000001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+B40</f>
        <v>Software &amp; Apps - Topkey</v>
      </c>
      <c r="C138" s="82">
        <f>AT40*12</f>
        <v>60.84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+B41</f>
        <v>Software &amp; Apps - AI tools</v>
      </c>
      <c r="C139" s="82">
        <f>+AT41*12</f>
        <v>15.743759999999998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8" t="str">
        <f>+B42</f>
        <v>Total Software Expenses</v>
      </c>
      <c r="C140" s="59">
        <f>SUM(C136:C139)</f>
        <v>568.11455999999998</v>
      </c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/>
      <c r="C141" s="82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42" t="s">
        <v>283</v>
      </c>
      <c r="C142" s="43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Other Professional Fees</v>
      </c>
      <c r="C143" s="83">
        <f t="shared" ref="C143:C148" si="188">+J44</f>
        <v>72.576949999999997</v>
      </c>
      <c r="D143" s="95" t="s">
        <v>293</v>
      </c>
      <c r="F143" s="83"/>
      <c r="G143" s="83"/>
      <c r="I143" s="83"/>
      <c r="J143" s="83"/>
      <c r="K143" s="114"/>
      <c r="L143" s="83"/>
      <c r="M143" s="83"/>
      <c r="N143" s="83"/>
    </row>
    <row r="144" spans="2:14">
      <c r="B144" s="57" t="s">
        <v>42</v>
      </c>
      <c r="C144" s="83">
        <f t="shared" si="188"/>
        <v>30.693929999999998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ref="B145:B150" si="189">+B46</f>
        <v>Travel, Meals &amp; Entertainment</v>
      </c>
      <c r="C145" s="83">
        <f t="shared" si="188"/>
        <v>28.151060000000001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89"/>
        <v>Payment Collection Fees</v>
      </c>
      <c r="C146" s="83">
        <f t="shared" si="188"/>
        <v>15.573919999999999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Professional Organizations</v>
      </c>
      <c r="C147" s="83">
        <f t="shared" si="188"/>
        <v>11.61077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S&amp;M Events</v>
      </c>
      <c r="C148" s="83">
        <f t="shared" si="188"/>
        <v>23.343780000000002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Contract Labor - Tax</v>
      </c>
      <c r="C149" s="83">
        <f>+C116</f>
        <v>38.761499999999998</v>
      </c>
      <c r="D149" s="95" t="s">
        <v>321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Recruiting Fees</v>
      </c>
      <c r="C150" s="83">
        <f>+J51</f>
        <v>8.86876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ref="B151:B156" si="190">+B52</f>
        <v>Amortization</v>
      </c>
      <c r="C151" s="83">
        <f>+J52</f>
        <v>6.673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0"/>
        <v>Website</v>
      </c>
      <c r="C152" s="83">
        <f>+J53</f>
        <v>4.9035700000000002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State Taxes</v>
      </c>
      <c r="C153" s="83">
        <f>+J54</f>
        <v>5.2619999999999996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Insurance</v>
      </c>
      <c r="C154" s="83">
        <f>+J55</f>
        <v>4.8890399999999996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Occupancy Tax Filing Fees</v>
      </c>
      <c r="C155" s="82">
        <f>+AT57*12</f>
        <v>3.516</v>
      </c>
      <c r="D155" s="95" t="s">
        <v>288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Utilities</v>
      </c>
      <c r="C156" s="83">
        <f>+J57</f>
        <v>3.2080000000000002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+B59</f>
        <v>1099 Filing Fees</v>
      </c>
      <c r="C157" s="83">
        <f>+J59</f>
        <v>3.31806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+B58</f>
        <v>Interest</v>
      </c>
      <c r="C158" s="83">
        <f>+J58</f>
        <v>1.1564699999999999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+B60</f>
        <v>Other Income</v>
      </c>
      <c r="C159" s="83">
        <f>+J60</f>
        <v>-0.25575999999999999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+B61</f>
        <v>Other Expenses</v>
      </c>
      <c r="C160" s="83">
        <f>+J61</f>
        <v>18.409520000000001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/>
      <c r="C161" s="8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42" t="str">
        <f>+B83</f>
        <v>Near-Term Adjustments</v>
      </c>
      <c r="C162" s="4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93" t="s">
        <v>277</v>
      </c>
      <c r="C163" s="82">
        <v>200</v>
      </c>
      <c r="D163" s="124" t="s">
        <v>319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215" t="s">
        <v>1339</v>
      </c>
      <c r="C164" s="83">
        <f>+C143</f>
        <v>72.576949999999997</v>
      </c>
      <c r="D164" s="95" t="s">
        <v>1340</v>
      </c>
    </row>
    <row r="168" spans="1:14">
      <c r="C168" s="33">
        <v>45291</v>
      </c>
      <c r="D168" s="35">
        <f>C169</f>
        <v>45657</v>
      </c>
      <c r="E168" s="35"/>
      <c r="F168" s="33">
        <v>45657</v>
      </c>
      <c r="G168" s="33">
        <v>46022</v>
      </c>
      <c r="H168" s="33"/>
      <c r="I168" s="33">
        <v>45504</v>
      </c>
      <c r="J168" s="35">
        <f>I169</f>
        <v>45869</v>
      </c>
    </row>
    <row r="169" spans="1:14">
      <c r="A169" s="141" t="s">
        <v>294</v>
      </c>
      <c r="C169" s="34">
        <f>EOMONTH(C168,12)</f>
        <v>45657</v>
      </c>
      <c r="D169" s="34">
        <f>EOMONTH(D168,12)</f>
        <v>46022</v>
      </c>
      <c r="E169" s="34"/>
      <c r="F169" s="34">
        <v>45869</v>
      </c>
      <c r="G169" s="34">
        <f>EOMONTH(G168,12)</f>
        <v>46387</v>
      </c>
      <c r="H169" s="34"/>
      <c r="I169" s="34">
        <f>EOMONTH(I168,12)</f>
        <v>45869</v>
      </c>
      <c r="J169" s="34">
        <f>EOMONTH(J168,12)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1517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1523</v>
      </c>
      <c r="C5" s="178" t="s">
        <v>1069</v>
      </c>
      <c r="D5" s="178" t="s">
        <v>1530</v>
      </c>
      <c r="E5" s="178" t="s">
        <v>1529</v>
      </c>
      <c r="F5" s="178" t="s">
        <v>1326</v>
      </c>
      <c r="G5" s="178" t="s">
        <v>1540</v>
      </c>
      <c r="H5" s="178" t="s">
        <v>1541</v>
      </c>
      <c r="I5" s="222" t="s">
        <v>502</v>
      </c>
    </row>
    <row r="6" spans="2:10">
      <c r="B6" s="42" t="s">
        <v>1531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1375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1534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1532</v>
      </c>
      <c r="C12" s="223"/>
      <c r="D12" s="223"/>
      <c r="E12" s="223"/>
      <c r="F12" s="223"/>
      <c r="G12" s="223"/>
      <c r="H12" s="223"/>
    </row>
    <row r="13" spans="2:10">
      <c r="B13" s="215" t="s">
        <v>1528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1527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1533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1537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1526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1525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1514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1538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1539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1536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1522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1518</v>
      </c>
      <c r="C38" s="223"/>
      <c r="D38" s="223"/>
      <c r="E38" s="223"/>
      <c r="F38" s="223"/>
      <c r="G38" s="223"/>
      <c r="H38" s="223"/>
    </row>
    <row r="39" spans="2:8">
      <c r="B39" s="218" t="s">
        <v>1354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1360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1375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1381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1385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1412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1419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1421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1424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1427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1441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1458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1461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1466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1478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1484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1491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1496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1505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1510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1512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1514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2" priority="12">
      <formula>$Y$3=1</formula>
    </cfRule>
  </conditionalFormatting>
  <conditionalFormatting sqref="D9:E9">
    <cfRule type="expression" dxfId="31" priority="5">
      <formula>$Y$3=1</formula>
    </cfRule>
  </conditionalFormatting>
  <conditionalFormatting sqref="D13:E14">
    <cfRule type="expression" dxfId="30" priority="6">
      <formula>$Y$3=1</formula>
    </cfRule>
  </conditionalFormatting>
  <conditionalFormatting sqref="D18:E22">
    <cfRule type="expression" dxfId="29" priority="2">
      <formula>$Y$3=1</formula>
    </cfRule>
  </conditionalFormatting>
  <conditionalFormatting sqref="E33">
    <cfRule type="expression" dxfId="28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1342</v>
      </c>
      <c r="B1" s="230" t="s">
        <v>1343</v>
      </c>
      <c r="C1" s="230" t="s">
        <v>1519</v>
      </c>
      <c r="D1" s="230" t="s">
        <v>1344</v>
      </c>
      <c r="E1" s="230" t="s">
        <v>1524</v>
      </c>
      <c r="F1" s="230" t="s">
        <v>1535</v>
      </c>
      <c r="G1" s="230" t="s">
        <v>1345</v>
      </c>
      <c r="H1" s="230" t="s">
        <v>116</v>
      </c>
      <c r="I1" s="230" t="s">
        <v>1346</v>
      </c>
      <c r="J1" s="230" t="s">
        <v>1347</v>
      </c>
      <c r="K1" s="230" t="s">
        <v>1348</v>
      </c>
      <c r="L1" s="230" t="s">
        <v>1349</v>
      </c>
      <c r="M1" s="230" t="s">
        <v>1350</v>
      </c>
      <c r="N1" s="230" t="s">
        <v>1351</v>
      </c>
      <c r="O1" s="230" t="s">
        <v>1254</v>
      </c>
    </row>
    <row r="2" spans="1:15">
      <c r="A2" s="230" t="s">
        <v>1356</v>
      </c>
      <c r="B2" s="230" t="s">
        <v>1423</v>
      </c>
      <c r="C2" s="230" t="s">
        <v>502</v>
      </c>
      <c r="D2" s="230" t="s">
        <v>1424</v>
      </c>
      <c r="E2" s="230" t="s">
        <v>1526</v>
      </c>
      <c r="F2" s="14" t="s">
        <v>32</v>
      </c>
      <c r="G2" s="230" t="s">
        <v>1355</v>
      </c>
      <c r="H2" s="230" t="s">
        <v>736</v>
      </c>
      <c r="I2" s="230" t="s">
        <v>1373</v>
      </c>
      <c r="J2" s="231">
        <v>1800</v>
      </c>
      <c r="K2" s="230" t="s">
        <v>600</v>
      </c>
      <c r="L2" s="231">
        <v>21600</v>
      </c>
      <c r="M2" s="230" t="s">
        <v>509</v>
      </c>
      <c r="N2" s="230" t="s">
        <v>509</v>
      </c>
      <c r="O2" s="230" t="s">
        <v>343</v>
      </c>
    </row>
    <row r="3" spans="1:15">
      <c r="A3" s="230" t="s">
        <v>1417</v>
      </c>
      <c r="B3" s="230" t="s">
        <v>1418</v>
      </c>
      <c r="C3" s="230" t="s">
        <v>502</v>
      </c>
      <c r="D3" s="230" t="s">
        <v>1419</v>
      </c>
      <c r="E3" s="230" t="s">
        <v>1526</v>
      </c>
      <c r="F3" s="14" t="s">
        <v>32</v>
      </c>
      <c r="G3" s="230" t="s">
        <v>1355</v>
      </c>
      <c r="H3" s="230" t="s">
        <v>736</v>
      </c>
      <c r="I3" s="230" t="s">
        <v>1356</v>
      </c>
      <c r="J3" s="231">
        <v>850</v>
      </c>
      <c r="K3" s="230" t="s">
        <v>600</v>
      </c>
      <c r="L3" s="231">
        <v>10200</v>
      </c>
      <c r="M3" s="230" t="s">
        <v>509</v>
      </c>
      <c r="N3" s="230" t="s">
        <v>509</v>
      </c>
      <c r="O3" s="230" t="s">
        <v>343</v>
      </c>
    </row>
    <row r="4" spans="1:15">
      <c r="A4" s="230" t="s">
        <v>1408</v>
      </c>
      <c r="B4" s="230" t="s">
        <v>1409</v>
      </c>
      <c r="C4" s="230" t="s">
        <v>502</v>
      </c>
      <c r="D4" s="230" t="s">
        <v>1354</v>
      </c>
      <c r="E4" s="230" t="s">
        <v>1526</v>
      </c>
      <c r="F4" s="230" t="s">
        <v>34</v>
      </c>
      <c r="G4" s="230" t="s">
        <v>1355</v>
      </c>
      <c r="H4" s="230" t="s">
        <v>736</v>
      </c>
      <c r="I4" s="230" t="s">
        <v>1356</v>
      </c>
      <c r="J4" s="231">
        <v>1100</v>
      </c>
      <c r="K4" s="230" t="s">
        <v>600</v>
      </c>
      <c r="L4" s="231">
        <v>13200</v>
      </c>
      <c r="M4" s="230" t="s">
        <v>509</v>
      </c>
      <c r="N4" s="230" t="s">
        <v>509</v>
      </c>
      <c r="O4" s="230" t="s">
        <v>343</v>
      </c>
    </row>
    <row r="5" spans="1:15">
      <c r="A5" s="230" t="s">
        <v>1352</v>
      </c>
      <c r="B5" s="230" t="s">
        <v>1353</v>
      </c>
      <c r="C5" s="230" t="s">
        <v>502</v>
      </c>
      <c r="D5" s="230" t="s">
        <v>1354</v>
      </c>
      <c r="E5" s="230" t="s">
        <v>1526</v>
      </c>
      <c r="F5" s="230" t="s">
        <v>34</v>
      </c>
      <c r="G5" s="230" t="s">
        <v>1355</v>
      </c>
      <c r="H5" s="230" t="s">
        <v>736</v>
      </c>
      <c r="I5" s="230" t="s">
        <v>1356</v>
      </c>
      <c r="J5" s="231">
        <v>1100</v>
      </c>
      <c r="K5" s="230" t="s">
        <v>600</v>
      </c>
      <c r="L5" s="231">
        <v>13200</v>
      </c>
      <c r="M5" s="230" t="s">
        <v>510</v>
      </c>
      <c r="N5" s="230" t="s">
        <v>509</v>
      </c>
      <c r="O5" s="230" t="s">
        <v>1357</v>
      </c>
    </row>
    <row r="6" spans="1:15">
      <c r="A6" s="230" t="s">
        <v>1456</v>
      </c>
      <c r="B6" s="230" t="s">
        <v>1457</v>
      </c>
      <c r="C6" s="230" t="s">
        <v>502</v>
      </c>
      <c r="D6" s="230" t="s">
        <v>1458</v>
      </c>
      <c r="E6" s="230" t="s">
        <v>81</v>
      </c>
      <c r="F6" s="230" t="s">
        <v>278</v>
      </c>
      <c r="G6" s="230" t="s">
        <v>1386</v>
      </c>
      <c r="H6" s="230" t="s">
        <v>736</v>
      </c>
      <c r="I6" s="230" t="s">
        <v>1378</v>
      </c>
      <c r="J6" s="231">
        <v>1500</v>
      </c>
      <c r="K6" s="230" t="s">
        <v>600</v>
      </c>
      <c r="L6" s="231">
        <v>18000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1425</v>
      </c>
      <c r="B7" s="230" t="s">
        <v>1426</v>
      </c>
      <c r="C7" s="230" t="s">
        <v>502</v>
      </c>
      <c r="D7" s="230" t="s">
        <v>1427</v>
      </c>
      <c r="E7" s="230" t="s">
        <v>81</v>
      </c>
      <c r="F7" s="230" t="s">
        <v>278</v>
      </c>
      <c r="G7" s="230" t="s">
        <v>1428</v>
      </c>
      <c r="H7" s="230" t="s">
        <v>736</v>
      </c>
      <c r="I7" s="230" t="s">
        <v>1378</v>
      </c>
      <c r="J7" s="231">
        <v>2350</v>
      </c>
      <c r="K7" s="230" t="s">
        <v>600</v>
      </c>
      <c r="L7" s="231">
        <v>28200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721</v>
      </c>
      <c r="B8" s="230" t="s">
        <v>1498</v>
      </c>
      <c r="C8" s="230" t="s">
        <v>502</v>
      </c>
      <c r="D8" s="230" t="s">
        <v>1441</v>
      </c>
      <c r="E8" s="230" t="s">
        <v>1528</v>
      </c>
      <c r="F8" s="230" t="s">
        <v>37</v>
      </c>
      <c r="G8" s="230" t="s">
        <v>1355</v>
      </c>
      <c r="H8" s="230" t="s">
        <v>736</v>
      </c>
      <c r="I8" s="230" t="s">
        <v>1378</v>
      </c>
      <c r="J8" s="231">
        <v>950</v>
      </c>
      <c r="K8" s="230" t="s">
        <v>600</v>
      </c>
      <c r="L8" s="231">
        <v>11400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1440</v>
      </c>
      <c r="B9" s="230" t="s">
        <v>1438</v>
      </c>
      <c r="C9" s="230" t="s">
        <v>502</v>
      </c>
      <c r="D9" s="230" t="s">
        <v>1441</v>
      </c>
      <c r="E9" s="230" t="s">
        <v>1528</v>
      </c>
      <c r="F9" s="230" t="s">
        <v>37</v>
      </c>
      <c r="G9" s="230" t="s">
        <v>1355</v>
      </c>
      <c r="H9" s="230" t="s">
        <v>736</v>
      </c>
      <c r="I9" s="230" t="s">
        <v>1378</v>
      </c>
      <c r="J9" s="231">
        <v>925</v>
      </c>
      <c r="K9" s="230" t="s">
        <v>600</v>
      </c>
      <c r="L9" s="231">
        <v>11100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656</v>
      </c>
      <c r="B10" s="230" t="s">
        <v>1434</v>
      </c>
      <c r="C10" s="230" t="s">
        <v>502</v>
      </c>
      <c r="D10" s="230" t="s">
        <v>1412</v>
      </c>
      <c r="E10" s="230" t="s">
        <v>1528</v>
      </c>
      <c r="F10" s="230" t="s">
        <v>37</v>
      </c>
      <c r="G10" s="230" t="s">
        <v>1355</v>
      </c>
      <c r="H10" s="230" t="s">
        <v>736</v>
      </c>
      <c r="I10" s="230" t="s">
        <v>1396</v>
      </c>
      <c r="J10" s="231">
        <v>950</v>
      </c>
      <c r="K10" s="230" t="s">
        <v>600</v>
      </c>
      <c r="L10" s="231">
        <v>11400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720</v>
      </c>
      <c r="B11" s="230" t="s">
        <v>1411</v>
      </c>
      <c r="C11" s="230" t="s">
        <v>502</v>
      </c>
      <c r="D11" s="230" t="s">
        <v>1412</v>
      </c>
      <c r="E11" s="230" t="s">
        <v>1528</v>
      </c>
      <c r="F11" s="230" t="s">
        <v>37</v>
      </c>
      <c r="G11" s="230" t="s">
        <v>1355</v>
      </c>
      <c r="H11" s="230" t="s">
        <v>736</v>
      </c>
      <c r="I11" s="230" t="s">
        <v>1396</v>
      </c>
      <c r="J11" s="231">
        <v>950</v>
      </c>
      <c r="K11" s="230" t="s">
        <v>600</v>
      </c>
      <c r="L11" s="231">
        <v>11400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1502</v>
      </c>
      <c r="B12" s="230" t="s">
        <v>1503</v>
      </c>
      <c r="C12" s="230" t="s">
        <v>502</v>
      </c>
      <c r="D12" s="230" t="s">
        <v>1484</v>
      </c>
      <c r="E12" s="230" t="s">
        <v>1527</v>
      </c>
      <c r="F12" s="230" t="s">
        <v>37</v>
      </c>
      <c r="G12" s="230" t="s">
        <v>1355</v>
      </c>
      <c r="H12" s="230" t="s">
        <v>736</v>
      </c>
      <c r="I12" s="230" t="s">
        <v>1378</v>
      </c>
      <c r="J12" s="231">
        <v>2100</v>
      </c>
      <c r="K12" s="230" t="s">
        <v>600</v>
      </c>
      <c r="L12" s="231">
        <v>25200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1387</v>
      </c>
      <c r="B13" s="230" t="s">
        <v>1490</v>
      </c>
      <c r="C13" s="230" t="s">
        <v>502</v>
      </c>
      <c r="D13" s="230" t="s">
        <v>1385</v>
      </c>
      <c r="E13" s="230" t="s">
        <v>1527</v>
      </c>
      <c r="F13" s="230" t="s">
        <v>37</v>
      </c>
      <c r="G13" s="230" t="s">
        <v>1386</v>
      </c>
      <c r="H13" s="230" t="s">
        <v>736</v>
      </c>
      <c r="I13" s="230" t="s">
        <v>1378</v>
      </c>
      <c r="J13" s="231">
        <v>1800</v>
      </c>
      <c r="K13" s="230" t="s">
        <v>600</v>
      </c>
      <c r="L13" s="231">
        <v>21600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1396</v>
      </c>
      <c r="B14" s="230" t="s">
        <v>1483</v>
      </c>
      <c r="C14" s="230" t="s">
        <v>502</v>
      </c>
      <c r="D14" s="230" t="s">
        <v>1484</v>
      </c>
      <c r="E14" s="230" t="s">
        <v>1527</v>
      </c>
      <c r="F14" s="230" t="s">
        <v>37</v>
      </c>
      <c r="G14" s="230" t="s">
        <v>1355</v>
      </c>
      <c r="H14" s="230" t="s">
        <v>736</v>
      </c>
      <c r="I14" s="230" t="s">
        <v>1378</v>
      </c>
      <c r="J14" s="231">
        <v>2000</v>
      </c>
      <c r="K14" s="230" t="s">
        <v>600</v>
      </c>
      <c r="L14" s="231">
        <v>24000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1383</v>
      </c>
      <c r="B15" s="230" t="s">
        <v>1384</v>
      </c>
      <c r="C15" s="230" t="s">
        <v>502</v>
      </c>
      <c r="D15" s="230" t="s">
        <v>1385</v>
      </c>
      <c r="E15" s="230" t="s">
        <v>1527</v>
      </c>
      <c r="F15" s="230" t="s">
        <v>37</v>
      </c>
      <c r="G15" s="230" t="s">
        <v>1386</v>
      </c>
      <c r="H15" s="230" t="s">
        <v>736</v>
      </c>
      <c r="I15" s="230" t="s">
        <v>1387</v>
      </c>
      <c r="J15" s="231">
        <v>1500</v>
      </c>
      <c r="K15" s="230" t="s">
        <v>600</v>
      </c>
      <c r="L15" s="231">
        <v>18000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1382</v>
      </c>
      <c r="B16" s="230" t="s">
        <v>1511</v>
      </c>
      <c r="C16" s="230" t="s">
        <v>502</v>
      </c>
      <c r="D16" s="230" t="s">
        <v>1512</v>
      </c>
      <c r="E16" s="230" t="s">
        <v>1525</v>
      </c>
      <c r="F16" s="230" t="s">
        <v>63</v>
      </c>
      <c r="G16" s="230" t="s">
        <v>1355</v>
      </c>
      <c r="H16" s="230" t="s">
        <v>736</v>
      </c>
      <c r="I16" s="230" t="s">
        <v>1378</v>
      </c>
      <c r="J16" s="231">
        <v>2500</v>
      </c>
      <c r="K16" s="230" t="s">
        <v>600</v>
      </c>
      <c r="L16" s="231">
        <v>30000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1508</v>
      </c>
      <c r="B17" s="230" t="s">
        <v>1509</v>
      </c>
      <c r="C17" s="230" t="s">
        <v>502</v>
      </c>
      <c r="D17" s="230" t="s">
        <v>1510</v>
      </c>
      <c r="E17" s="230" t="s">
        <v>1525</v>
      </c>
      <c r="F17" s="230" t="s">
        <v>63</v>
      </c>
      <c r="G17" s="230" t="s">
        <v>1355</v>
      </c>
      <c r="H17" s="230" t="s">
        <v>736</v>
      </c>
      <c r="I17" s="230" t="s">
        <v>1378</v>
      </c>
      <c r="J17" s="231">
        <v>3700</v>
      </c>
      <c r="K17" s="230" t="s">
        <v>600</v>
      </c>
      <c r="L17" s="231">
        <v>44400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1467</v>
      </c>
      <c r="B18" s="230" t="s">
        <v>1504</v>
      </c>
      <c r="C18" s="230" t="s">
        <v>502</v>
      </c>
      <c r="D18" s="230" t="s">
        <v>1505</v>
      </c>
      <c r="E18" s="230" t="s">
        <v>1525</v>
      </c>
      <c r="F18" s="230" t="s">
        <v>63</v>
      </c>
      <c r="G18" s="230" t="s">
        <v>1355</v>
      </c>
      <c r="H18" s="230" t="s">
        <v>736</v>
      </c>
      <c r="I18" s="230" t="s">
        <v>1378</v>
      </c>
      <c r="J18" s="231">
        <v>2450</v>
      </c>
      <c r="K18" s="230" t="s">
        <v>600</v>
      </c>
      <c r="L18" s="231">
        <v>29400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1370</v>
      </c>
      <c r="B19" s="230" t="s">
        <v>1507</v>
      </c>
      <c r="C19" s="230" t="s">
        <v>502</v>
      </c>
      <c r="D19" s="230" t="s">
        <v>496</v>
      </c>
      <c r="E19" s="230" t="s">
        <v>496</v>
      </c>
      <c r="F19" s="230" t="s">
        <v>35</v>
      </c>
      <c r="G19" s="230" t="s">
        <v>1355</v>
      </c>
      <c r="H19" s="230" t="s">
        <v>736</v>
      </c>
      <c r="I19" s="230" t="s">
        <v>1390</v>
      </c>
      <c r="J19" s="231">
        <v>1925</v>
      </c>
      <c r="K19" s="230" t="s">
        <v>600</v>
      </c>
      <c r="L19" s="231">
        <v>23100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586</v>
      </c>
      <c r="B20" s="230" t="s">
        <v>1506</v>
      </c>
      <c r="C20" s="230" t="s">
        <v>502</v>
      </c>
      <c r="D20" s="230" t="s">
        <v>496</v>
      </c>
      <c r="E20" s="230" t="s">
        <v>496</v>
      </c>
      <c r="F20" s="230" t="s">
        <v>35</v>
      </c>
      <c r="G20" s="230" t="s">
        <v>1355</v>
      </c>
      <c r="H20" s="230" t="s">
        <v>736</v>
      </c>
      <c r="I20" s="230" t="s">
        <v>515</v>
      </c>
      <c r="J20" s="231">
        <v>1925</v>
      </c>
      <c r="K20" s="230" t="s">
        <v>600</v>
      </c>
      <c r="L20" s="231">
        <v>23100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1497</v>
      </c>
      <c r="B21" s="230" t="s">
        <v>1498</v>
      </c>
      <c r="C21" s="230" t="s">
        <v>502</v>
      </c>
      <c r="D21" s="230" t="s">
        <v>1491</v>
      </c>
      <c r="E21" s="230" t="s">
        <v>496</v>
      </c>
      <c r="F21" s="230" t="s">
        <v>38</v>
      </c>
      <c r="G21" s="230" t="s">
        <v>1355</v>
      </c>
      <c r="H21" s="230" t="s">
        <v>736</v>
      </c>
      <c r="I21" s="230" t="s">
        <v>1390</v>
      </c>
      <c r="J21" s="231">
        <v>2500</v>
      </c>
      <c r="K21" s="230" t="s">
        <v>600</v>
      </c>
      <c r="L21" s="231">
        <v>30000</v>
      </c>
      <c r="M21" s="230" t="s">
        <v>509</v>
      </c>
      <c r="N21" s="230" t="s">
        <v>509</v>
      </c>
      <c r="O21" s="230" t="s">
        <v>343</v>
      </c>
    </row>
    <row r="22" spans="1:15">
      <c r="A22" s="230" t="s">
        <v>882</v>
      </c>
      <c r="B22" s="230" t="s">
        <v>1493</v>
      </c>
      <c r="C22" s="230" t="s">
        <v>502</v>
      </c>
      <c r="D22" s="230" t="s">
        <v>1491</v>
      </c>
      <c r="E22" s="230" t="s">
        <v>496</v>
      </c>
      <c r="F22" s="230" t="s">
        <v>38</v>
      </c>
      <c r="G22" s="230" t="s">
        <v>1355</v>
      </c>
      <c r="H22" s="230" t="s">
        <v>736</v>
      </c>
      <c r="I22" s="230" t="s">
        <v>515</v>
      </c>
      <c r="J22" s="231">
        <v>2300</v>
      </c>
      <c r="K22" s="230" t="s">
        <v>600</v>
      </c>
      <c r="L22" s="231">
        <v>27600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1403</v>
      </c>
      <c r="B23" s="230" t="s">
        <v>1492</v>
      </c>
      <c r="C23" s="230" t="s">
        <v>502</v>
      </c>
      <c r="D23" s="230" t="s">
        <v>496</v>
      </c>
      <c r="E23" s="230" t="s">
        <v>496</v>
      </c>
      <c r="F23" s="230" t="s">
        <v>35</v>
      </c>
      <c r="G23" s="230" t="s">
        <v>1355</v>
      </c>
      <c r="H23" s="230" t="s">
        <v>736</v>
      </c>
      <c r="I23" s="230" t="s">
        <v>515</v>
      </c>
      <c r="J23" s="231">
        <v>1800</v>
      </c>
      <c r="K23" s="230" t="s">
        <v>600</v>
      </c>
      <c r="L23" s="231">
        <v>21600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774</v>
      </c>
      <c r="B24" s="230" t="s">
        <v>1490</v>
      </c>
      <c r="C24" s="230" t="s">
        <v>502</v>
      </c>
      <c r="D24" s="230" t="s">
        <v>1491</v>
      </c>
      <c r="E24" s="230" t="s">
        <v>496</v>
      </c>
      <c r="F24" s="230" t="s">
        <v>38</v>
      </c>
      <c r="G24" s="230" t="s">
        <v>1355</v>
      </c>
      <c r="H24" s="230" t="s">
        <v>736</v>
      </c>
      <c r="I24" s="230" t="s">
        <v>538</v>
      </c>
      <c r="J24" s="231">
        <v>2300</v>
      </c>
      <c r="K24" s="230" t="s">
        <v>600</v>
      </c>
      <c r="L24" s="231">
        <v>27600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541</v>
      </c>
      <c r="B25" s="230" t="s">
        <v>1489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1355</v>
      </c>
      <c r="H25" s="230" t="s">
        <v>736</v>
      </c>
      <c r="I25" s="230" t="s">
        <v>1390</v>
      </c>
      <c r="J25" s="231">
        <v>2150</v>
      </c>
      <c r="K25" s="230" t="s">
        <v>600</v>
      </c>
      <c r="L25" s="231">
        <v>25800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562</v>
      </c>
      <c r="B26" s="230" t="s">
        <v>1474</v>
      </c>
      <c r="C26" s="230" t="s">
        <v>502</v>
      </c>
      <c r="D26" s="230" t="s">
        <v>496</v>
      </c>
      <c r="E26" s="230" t="s">
        <v>496</v>
      </c>
      <c r="F26" s="230" t="s">
        <v>35</v>
      </c>
      <c r="G26" s="230" t="s">
        <v>1355</v>
      </c>
      <c r="H26" s="230" t="s">
        <v>736</v>
      </c>
      <c r="I26" s="230" t="s">
        <v>515</v>
      </c>
      <c r="J26" s="231">
        <v>2000</v>
      </c>
      <c r="K26" s="230" t="s">
        <v>600</v>
      </c>
      <c r="L26" s="231">
        <v>24000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551</v>
      </c>
      <c r="B27" s="230" t="s">
        <v>1471</v>
      </c>
      <c r="C27" s="230" t="s">
        <v>502</v>
      </c>
      <c r="D27" s="230" t="s">
        <v>496</v>
      </c>
      <c r="E27" s="230" t="s">
        <v>496</v>
      </c>
      <c r="F27" s="230" t="s">
        <v>35</v>
      </c>
      <c r="G27" s="230" t="s">
        <v>1355</v>
      </c>
      <c r="H27" s="230" t="s">
        <v>736</v>
      </c>
      <c r="I27" s="230" t="s">
        <v>538</v>
      </c>
      <c r="J27" s="231">
        <v>2000</v>
      </c>
      <c r="K27" s="230" t="s">
        <v>600</v>
      </c>
      <c r="L27" s="231">
        <v>24000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1436</v>
      </c>
      <c r="B28" s="230" t="s">
        <v>1470</v>
      </c>
      <c r="C28" s="230" t="s">
        <v>502</v>
      </c>
      <c r="D28" s="230" t="s">
        <v>496</v>
      </c>
      <c r="E28" s="230" t="s">
        <v>496</v>
      </c>
      <c r="F28" s="230" t="s">
        <v>35</v>
      </c>
      <c r="G28" s="230" t="s">
        <v>1355</v>
      </c>
      <c r="H28" s="230" t="s">
        <v>736</v>
      </c>
      <c r="I28" s="230" t="s">
        <v>1390</v>
      </c>
      <c r="J28" s="231">
        <v>2000</v>
      </c>
      <c r="K28" s="230" t="s">
        <v>600</v>
      </c>
      <c r="L28" s="231">
        <v>24000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1392</v>
      </c>
      <c r="B29" s="230" t="s">
        <v>1469</v>
      </c>
      <c r="C29" s="230" t="s">
        <v>502</v>
      </c>
      <c r="D29" s="230" t="s">
        <v>496</v>
      </c>
      <c r="E29" s="230" t="s">
        <v>496</v>
      </c>
      <c r="F29" s="230" t="s">
        <v>35</v>
      </c>
      <c r="G29" s="230" t="s">
        <v>1355</v>
      </c>
      <c r="H29" s="230" t="s">
        <v>736</v>
      </c>
      <c r="I29" s="230" t="s">
        <v>538</v>
      </c>
      <c r="J29" s="231">
        <v>1800</v>
      </c>
      <c r="K29" s="230" t="s">
        <v>600</v>
      </c>
      <c r="L29" s="231">
        <v>21600</v>
      </c>
      <c r="M29" s="230" t="s">
        <v>509</v>
      </c>
      <c r="N29" s="230" t="s">
        <v>509</v>
      </c>
      <c r="O29" s="230" t="s">
        <v>343</v>
      </c>
    </row>
    <row r="30" spans="1:15">
      <c r="A30" s="230" t="s">
        <v>686</v>
      </c>
      <c r="B30" s="230" t="s">
        <v>1432</v>
      </c>
      <c r="C30" s="230" t="s">
        <v>502</v>
      </c>
      <c r="D30" s="230" t="s">
        <v>496</v>
      </c>
      <c r="E30" s="230" t="s">
        <v>496</v>
      </c>
      <c r="F30" s="230" t="s">
        <v>35</v>
      </c>
      <c r="G30" s="230" t="s">
        <v>1355</v>
      </c>
      <c r="H30" s="230" t="s">
        <v>736</v>
      </c>
      <c r="I30" s="230" t="s">
        <v>1373</v>
      </c>
      <c r="J30" s="231">
        <v>1800</v>
      </c>
      <c r="K30" s="230" t="s">
        <v>600</v>
      </c>
      <c r="L30" s="231">
        <v>21600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1418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1355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1414</v>
      </c>
      <c r="B32" s="230" t="s">
        <v>1415</v>
      </c>
      <c r="C32" s="230" t="s">
        <v>510</v>
      </c>
      <c r="D32" s="230" t="s">
        <v>496</v>
      </c>
      <c r="E32" s="230" t="s">
        <v>496</v>
      </c>
      <c r="F32" s="230" t="s">
        <v>35</v>
      </c>
      <c r="G32" s="230" t="s">
        <v>1355</v>
      </c>
      <c r="H32" s="230" t="s">
        <v>736</v>
      </c>
      <c r="I32" s="230" t="s">
        <v>343</v>
      </c>
      <c r="J32" s="230"/>
      <c r="K32" s="230" t="s">
        <v>343</v>
      </c>
      <c r="L32" s="230"/>
      <c r="M32" s="230" t="s">
        <v>509</v>
      </c>
      <c r="N32" s="230" t="s">
        <v>510</v>
      </c>
      <c r="O32" s="230" t="s">
        <v>1416</v>
      </c>
    </row>
    <row r="33" spans="1:15">
      <c r="A33" s="230" t="s">
        <v>1364</v>
      </c>
      <c r="B33" s="230" t="s">
        <v>1410</v>
      </c>
      <c r="C33" s="230" t="s">
        <v>502</v>
      </c>
      <c r="D33" s="230" t="s">
        <v>496</v>
      </c>
      <c r="E33" s="230" t="s">
        <v>496</v>
      </c>
      <c r="F33" s="230" t="s">
        <v>35</v>
      </c>
      <c r="G33" s="230" t="s">
        <v>1355</v>
      </c>
      <c r="H33" s="230" t="s">
        <v>736</v>
      </c>
      <c r="I33" s="230" t="s">
        <v>538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653</v>
      </c>
      <c r="B34" s="230" t="s">
        <v>1404</v>
      </c>
      <c r="C34" s="230" t="s">
        <v>510</v>
      </c>
      <c r="D34" s="230" t="s">
        <v>496</v>
      </c>
      <c r="E34" s="230" t="s">
        <v>496</v>
      </c>
      <c r="F34" s="230" t="s">
        <v>35</v>
      </c>
      <c r="G34" s="230" t="s">
        <v>1355</v>
      </c>
      <c r="H34" s="230" t="s">
        <v>736</v>
      </c>
      <c r="I34" s="230" t="s">
        <v>343</v>
      </c>
      <c r="J34" s="230"/>
      <c r="K34" s="230" t="s">
        <v>343</v>
      </c>
      <c r="L34" s="230"/>
      <c r="M34" s="230" t="s">
        <v>509</v>
      </c>
      <c r="N34" s="230" t="s">
        <v>510</v>
      </c>
      <c r="O34" s="230" t="s">
        <v>1405</v>
      </c>
    </row>
    <row r="35" spans="1:15">
      <c r="A35" s="230" t="s">
        <v>1388</v>
      </c>
      <c r="B35" s="230" t="s">
        <v>1389</v>
      </c>
      <c r="C35" s="230" t="s">
        <v>502</v>
      </c>
      <c r="D35" s="230" t="s">
        <v>496</v>
      </c>
      <c r="E35" s="230" t="s">
        <v>496</v>
      </c>
      <c r="F35" s="230" t="s">
        <v>35</v>
      </c>
      <c r="G35" s="230" t="s">
        <v>1355</v>
      </c>
      <c r="H35" s="230" t="s">
        <v>736</v>
      </c>
      <c r="I35" s="230" t="s">
        <v>1390</v>
      </c>
      <c r="J35" s="231">
        <v>1800</v>
      </c>
      <c r="K35" s="230" t="s">
        <v>600</v>
      </c>
      <c r="L35" s="231">
        <v>21600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527</v>
      </c>
      <c r="B36" s="230" t="s">
        <v>1372</v>
      </c>
      <c r="C36" s="230" t="s">
        <v>502</v>
      </c>
      <c r="D36" s="230" t="s">
        <v>496</v>
      </c>
      <c r="E36" s="230" t="s">
        <v>496</v>
      </c>
      <c r="F36" s="230" t="s">
        <v>35</v>
      </c>
      <c r="G36" s="230" t="s">
        <v>1355</v>
      </c>
      <c r="H36" s="230" t="s">
        <v>736</v>
      </c>
      <c r="I36" s="230" t="s">
        <v>515</v>
      </c>
      <c r="J36" s="231">
        <v>1800</v>
      </c>
      <c r="K36" s="230" t="s">
        <v>600</v>
      </c>
      <c r="L36" s="231">
        <v>21600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1378</v>
      </c>
      <c r="B37" s="230" t="s">
        <v>1513</v>
      </c>
      <c r="C37" s="230" t="s">
        <v>502</v>
      </c>
      <c r="D37" s="230" t="s">
        <v>1514</v>
      </c>
      <c r="E37" s="230" t="s">
        <v>1514</v>
      </c>
      <c r="F37" s="230" t="s">
        <v>80</v>
      </c>
      <c r="G37" s="230" t="s">
        <v>1376</v>
      </c>
      <c r="H37" s="230" t="s">
        <v>1377</v>
      </c>
      <c r="I37" s="230" t="s">
        <v>343</v>
      </c>
      <c r="J37" s="230"/>
      <c r="K37" s="230" t="s">
        <v>343</v>
      </c>
      <c r="L37" s="232">
        <v>200000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526</v>
      </c>
      <c r="B38" s="230" t="s">
        <v>1506</v>
      </c>
      <c r="C38" s="230" t="s">
        <v>502</v>
      </c>
      <c r="D38" s="230" t="s">
        <v>1421</v>
      </c>
      <c r="E38" s="230" t="s">
        <v>495</v>
      </c>
      <c r="F38" s="230" t="s">
        <v>34</v>
      </c>
      <c r="G38" s="230" t="s">
        <v>1355</v>
      </c>
      <c r="H38" s="230" t="s">
        <v>736</v>
      </c>
      <c r="I38" s="230" t="s">
        <v>527</v>
      </c>
      <c r="J38" s="231">
        <v>1200</v>
      </c>
      <c r="K38" s="230" t="s">
        <v>600</v>
      </c>
      <c r="L38" s="231">
        <v>14400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558</v>
      </c>
      <c r="B39" s="230" t="s">
        <v>1501</v>
      </c>
      <c r="C39" s="230" t="s">
        <v>502</v>
      </c>
      <c r="D39" s="230" t="s">
        <v>1360</v>
      </c>
      <c r="E39" s="230" t="s">
        <v>495</v>
      </c>
      <c r="F39" s="230" t="s">
        <v>34</v>
      </c>
      <c r="G39" s="230" t="s">
        <v>1355</v>
      </c>
      <c r="H39" s="230" t="s">
        <v>736</v>
      </c>
      <c r="I39" s="230" t="s">
        <v>541</v>
      </c>
      <c r="J39" s="231">
        <v>1100</v>
      </c>
      <c r="K39" s="230" t="s">
        <v>600</v>
      </c>
      <c r="L39" s="231">
        <v>13200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710</v>
      </c>
      <c r="B40" s="230" t="s">
        <v>1501</v>
      </c>
      <c r="C40" s="230" t="s">
        <v>502</v>
      </c>
      <c r="D40" s="230" t="s">
        <v>1421</v>
      </c>
      <c r="E40" s="230" t="s">
        <v>495</v>
      </c>
      <c r="F40" s="230" t="s">
        <v>34</v>
      </c>
      <c r="G40" s="230" t="s">
        <v>1355</v>
      </c>
      <c r="H40" s="230" t="s">
        <v>736</v>
      </c>
      <c r="I40" s="230" t="s">
        <v>686</v>
      </c>
      <c r="J40" s="231">
        <v>1250</v>
      </c>
      <c r="K40" s="230" t="s">
        <v>600</v>
      </c>
      <c r="L40" s="231">
        <v>15000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1499</v>
      </c>
      <c r="B41" s="230" t="s">
        <v>1500</v>
      </c>
      <c r="C41" s="230" t="s">
        <v>502</v>
      </c>
      <c r="D41" s="230" t="s">
        <v>1360</v>
      </c>
      <c r="E41" s="230" t="s">
        <v>495</v>
      </c>
      <c r="F41" s="230" t="s">
        <v>34</v>
      </c>
      <c r="G41" s="230" t="s">
        <v>1355</v>
      </c>
      <c r="H41" s="230" t="s">
        <v>736</v>
      </c>
      <c r="I41" s="230" t="s">
        <v>1378</v>
      </c>
      <c r="J41" s="231">
        <v>1125</v>
      </c>
      <c r="K41" s="230" t="s">
        <v>600</v>
      </c>
      <c r="L41" s="231">
        <v>13500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1488</v>
      </c>
      <c r="B42" s="230" t="s">
        <v>1489</v>
      </c>
      <c r="C42" s="230" t="s">
        <v>502</v>
      </c>
      <c r="D42" s="230" t="s">
        <v>1360</v>
      </c>
      <c r="E42" s="230" t="s">
        <v>495</v>
      </c>
      <c r="F42" s="230" t="s">
        <v>34</v>
      </c>
      <c r="G42" s="230" t="s">
        <v>1355</v>
      </c>
      <c r="H42" s="230" t="s">
        <v>736</v>
      </c>
      <c r="I42" s="230" t="s">
        <v>555</v>
      </c>
      <c r="J42" s="231">
        <v>1025</v>
      </c>
      <c r="K42" s="230" t="s">
        <v>600</v>
      </c>
      <c r="L42" s="231">
        <v>12300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1486</v>
      </c>
      <c r="B43" s="230" t="s">
        <v>1487</v>
      </c>
      <c r="C43" s="230" t="s">
        <v>502</v>
      </c>
      <c r="D43" s="230" t="s">
        <v>1421</v>
      </c>
      <c r="E43" s="230" t="s">
        <v>495</v>
      </c>
      <c r="F43" s="230" t="s">
        <v>34</v>
      </c>
      <c r="G43" s="230" t="s">
        <v>1355</v>
      </c>
      <c r="H43" s="230" t="s">
        <v>736</v>
      </c>
      <c r="I43" s="230" t="s">
        <v>541</v>
      </c>
      <c r="J43" s="231">
        <v>1100</v>
      </c>
      <c r="K43" s="230" t="s">
        <v>600</v>
      </c>
      <c r="L43" s="231">
        <v>13200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613</v>
      </c>
      <c r="B44" s="230" t="s">
        <v>1485</v>
      </c>
      <c r="C44" s="230" t="s">
        <v>502</v>
      </c>
      <c r="D44" s="230" t="s">
        <v>1360</v>
      </c>
      <c r="E44" s="230" t="s">
        <v>495</v>
      </c>
      <c r="F44" s="230" t="s">
        <v>34</v>
      </c>
      <c r="G44" s="230" t="s">
        <v>1355</v>
      </c>
      <c r="H44" s="230" t="s">
        <v>736</v>
      </c>
      <c r="I44" s="230" t="s">
        <v>1392</v>
      </c>
      <c r="J44" s="231">
        <v>975</v>
      </c>
      <c r="K44" s="230" t="s">
        <v>600</v>
      </c>
      <c r="L44" s="231">
        <v>11700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1479</v>
      </c>
      <c r="B45" s="230" t="s">
        <v>1480</v>
      </c>
      <c r="C45" s="230" t="s">
        <v>502</v>
      </c>
      <c r="D45" s="230" t="s">
        <v>1360</v>
      </c>
      <c r="E45" s="230" t="s">
        <v>495</v>
      </c>
      <c r="F45" s="230" t="s">
        <v>34</v>
      </c>
      <c r="G45" s="230" t="s">
        <v>1355</v>
      </c>
      <c r="H45" s="230" t="s">
        <v>736</v>
      </c>
      <c r="I45" s="230" t="s">
        <v>1436</v>
      </c>
      <c r="J45" s="231">
        <v>1000</v>
      </c>
      <c r="K45" s="230" t="s">
        <v>600</v>
      </c>
      <c r="L45" s="231">
        <v>12000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585</v>
      </c>
      <c r="B46" s="230" t="s">
        <v>1475</v>
      </c>
      <c r="C46" s="230" t="s">
        <v>502</v>
      </c>
      <c r="D46" s="230" t="s">
        <v>1421</v>
      </c>
      <c r="E46" s="230" t="s">
        <v>495</v>
      </c>
      <c r="F46" s="230" t="s">
        <v>34</v>
      </c>
      <c r="G46" s="230" t="s">
        <v>1355</v>
      </c>
      <c r="H46" s="230" t="s">
        <v>736</v>
      </c>
      <c r="I46" s="230" t="s">
        <v>586</v>
      </c>
      <c r="J46" s="231">
        <v>1200</v>
      </c>
      <c r="K46" s="230" t="s">
        <v>600</v>
      </c>
      <c r="L46" s="231">
        <v>14400</v>
      </c>
      <c r="M46" s="230" t="s">
        <v>509</v>
      </c>
      <c r="N46" s="230" t="s">
        <v>509</v>
      </c>
      <c r="O46" s="230" t="s">
        <v>343</v>
      </c>
    </row>
    <row r="47" spans="1:15">
      <c r="A47" s="230" t="s">
        <v>550</v>
      </c>
      <c r="B47" s="230" t="s">
        <v>1463</v>
      </c>
      <c r="C47" s="230" t="s">
        <v>502</v>
      </c>
      <c r="D47" s="230" t="s">
        <v>1360</v>
      </c>
      <c r="E47" s="230" t="s">
        <v>495</v>
      </c>
      <c r="F47" s="230" t="s">
        <v>34</v>
      </c>
      <c r="G47" s="230" t="s">
        <v>1355</v>
      </c>
      <c r="H47" s="230" t="s">
        <v>736</v>
      </c>
      <c r="I47" s="230" t="s">
        <v>551</v>
      </c>
      <c r="J47" s="231">
        <v>1500</v>
      </c>
      <c r="K47" s="230" t="s">
        <v>600</v>
      </c>
      <c r="L47" s="231">
        <v>18000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565</v>
      </c>
      <c r="B48" s="230" t="s">
        <v>1462</v>
      </c>
      <c r="C48" s="230" t="s">
        <v>502</v>
      </c>
      <c r="D48" s="230" t="s">
        <v>1360</v>
      </c>
      <c r="E48" s="230" t="s">
        <v>495</v>
      </c>
      <c r="F48" s="230" t="s">
        <v>34</v>
      </c>
      <c r="G48" s="230" t="s">
        <v>1355</v>
      </c>
      <c r="H48" s="230" t="s">
        <v>736</v>
      </c>
      <c r="I48" s="230" t="s">
        <v>562</v>
      </c>
      <c r="J48" s="231">
        <v>975</v>
      </c>
      <c r="K48" s="230" t="s">
        <v>600</v>
      </c>
      <c r="L48" s="231">
        <v>11700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1454</v>
      </c>
      <c r="B49" s="230" t="s">
        <v>1455</v>
      </c>
      <c r="C49" s="230" t="s">
        <v>502</v>
      </c>
      <c r="D49" s="230" t="s">
        <v>1360</v>
      </c>
      <c r="E49" s="230" t="s">
        <v>495</v>
      </c>
      <c r="F49" s="230" t="s">
        <v>34</v>
      </c>
      <c r="G49" s="230" t="s">
        <v>1355</v>
      </c>
      <c r="H49" s="230" t="s">
        <v>736</v>
      </c>
      <c r="I49" s="230" t="s">
        <v>551</v>
      </c>
      <c r="J49" s="231">
        <v>950</v>
      </c>
      <c r="K49" s="230" t="s">
        <v>600</v>
      </c>
      <c r="L49" s="231">
        <v>11400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1452</v>
      </c>
      <c r="B50" s="230" t="s">
        <v>1453</v>
      </c>
      <c r="C50" s="230" t="s">
        <v>502</v>
      </c>
      <c r="D50" s="230" t="s">
        <v>1360</v>
      </c>
      <c r="E50" s="230" t="s">
        <v>495</v>
      </c>
      <c r="F50" s="230" t="s">
        <v>34</v>
      </c>
      <c r="G50" s="230" t="s">
        <v>1355</v>
      </c>
      <c r="H50" s="230" t="s">
        <v>736</v>
      </c>
      <c r="I50" s="230" t="s">
        <v>562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1450</v>
      </c>
      <c r="B51" s="230" t="s">
        <v>1451</v>
      </c>
      <c r="C51" s="230" t="s">
        <v>502</v>
      </c>
      <c r="D51" s="230" t="s">
        <v>1360</v>
      </c>
      <c r="E51" s="230" t="s">
        <v>495</v>
      </c>
      <c r="F51" s="230" t="s">
        <v>34</v>
      </c>
      <c r="G51" s="230" t="s">
        <v>1355</v>
      </c>
      <c r="H51" s="230" t="s">
        <v>736</v>
      </c>
      <c r="I51" s="230" t="s">
        <v>586</v>
      </c>
      <c r="J51" s="231">
        <v>1000</v>
      </c>
      <c r="K51" s="230" t="s">
        <v>600</v>
      </c>
      <c r="L51" s="231">
        <v>12000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1448</v>
      </c>
      <c r="B52" s="230" t="s">
        <v>1449</v>
      </c>
      <c r="C52" s="230" t="s">
        <v>502</v>
      </c>
      <c r="D52" s="230" t="s">
        <v>1360</v>
      </c>
      <c r="E52" s="230" t="s">
        <v>495</v>
      </c>
      <c r="F52" s="230" t="s">
        <v>34</v>
      </c>
      <c r="G52" s="230" t="s">
        <v>1355</v>
      </c>
      <c r="H52" s="230" t="s">
        <v>736</v>
      </c>
      <c r="I52" s="230" t="s">
        <v>686</v>
      </c>
      <c r="J52" s="231">
        <v>1050</v>
      </c>
      <c r="K52" s="230" t="s">
        <v>600</v>
      </c>
      <c r="L52" s="231">
        <v>12600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1446</v>
      </c>
      <c r="B53" s="230" t="s">
        <v>1447</v>
      </c>
      <c r="C53" s="230" t="s">
        <v>502</v>
      </c>
      <c r="D53" s="230" t="s">
        <v>1360</v>
      </c>
      <c r="E53" s="230" t="s">
        <v>495</v>
      </c>
      <c r="F53" s="230" t="s">
        <v>34</v>
      </c>
      <c r="G53" s="230" t="s">
        <v>1355</v>
      </c>
      <c r="H53" s="230" t="s">
        <v>736</v>
      </c>
      <c r="I53" s="230" t="s">
        <v>1436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589</v>
      </c>
      <c r="B54" s="230" t="s">
        <v>1445</v>
      </c>
      <c r="C54" s="230" t="s">
        <v>502</v>
      </c>
      <c r="D54" s="230" t="s">
        <v>1360</v>
      </c>
      <c r="E54" s="230" t="s">
        <v>495</v>
      </c>
      <c r="F54" s="230" t="s">
        <v>34</v>
      </c>
      <c r="G54" s="230" t="s">
        <v>1355</v>
      </c>
      <c r="H54" s="230" t="s">
        <v>736</v>
      </c>
      <c r="I54" s="230" t="s">
        <v>586</v>
      </c>
      <c r="J54" s="231">
        <v>1025</v>
      </c>
      <c r="K54" s="230" t="s">
        <v>600</v>
      </c>
      <c r="L54" s="231">
        <v>12300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548</v>
      </c>
      <c r="B55" s="230" t="s">
        <v>1444</v>
      </c>
      <c r="C55" s="230" t="s">
        <v>502</v>
      </c>
      <c r="D55" s="230" t="s">
        <v>1421</v>
      </c>
      <c r="E55" s="230" t="s">
        <v>495</v>
      </c>
      <c r="F55" s="230" t="s">
        <v>34</v>
      </c>
      <c r="G55" s="230" t="s">
        <v>1355</v>
      </c>
      <c r="H55" s="230" t="s">
        <v>736</v>
      </c>
      <c r="I55" s="230" t="s">
        <v>1370</v>
      </c>
      <c r="J55" s="231">
        <v>1400</v>
      </c>
      <c r="K55" s="230" t="s">
        <v>600</v>
      </c>
      <c r="L55" s="231">
        <v>16800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1442</v>
      </c>
      <c r="B56" s="230" t="s">
        <v>1443</v>
      </c>
      <c r="C56" s="230" t="s">
        <v>502</v>
      </c>
      <c r="D56" s="230" t="s">
        <v>1360</v>
      </c>
      <c r="E56" s="230" t="s">
        <v>495</v>
      </c>
      <c r="F56" s="230" t="s">
        <v>34</v>
      </c>
      <c r="G56" s="230" t="s">
        <v>1355</v>
      </c>
      <c r="H56" s="230" t="s">
        <v>736</v>
      </c>
      <c r="I56" s="230" t="s">
        <v>1403</v>
      </c>
      <c r="J56" s="231">
        <v>950</v>
      </c>
      <c r="K56" s="230" t="s">
        <v>600</v>
      </c>
      <c r="L56" s="231">
        <v>11400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570</v>
      </c>
      <c r="B57" s="230" t="s">
        <v>1438</v>
      </c>
      <c r="C57" s="230" t="s">
        <v>502</v>
      </c>
      <c r="D57" s="230" t="s">
        <v>1421</v>
      </c>
      <c r="E57" s="230" t="s">
        <v>495</v>
      </c>
      <c r="F57" s="230" t="s">
        <v>34</v>
      </c>
      <c r="G57" s="230" t="s">
        <v>1355</v>
      </c>
      <c r="H57" s="230" t="s">
        <v>736</v>
      </c>
      <c r="I57" s="230" t="s">
        <v>551</v>
      </c>
      <c r="J57" s="231">
        <v>1100</v>
      </c>
      <c r="K57" s="230" t="s">
        <v>600</v>
      </c>
      <c r="L57" s="231">
        <v>13200</v>
      </c>
      <c r="M57" s="230" t="s">
        <v>509</v>
      </c>
      <c r="N57" s="230" t="s">
        <v>509</v>
      </c>
      <c r="O57" s="230" t="s">
        <v>1439</v>
      </c>
    </row>
    <row r="58" spans="1:15">
      <c r="A58" s="230" t="s">
        <v>1399</v>
      </c>
      <c r="B58" s="230" t="s">
        <v>1435</v>
      </c>
      <c r="C58" s="230" t="s">
        <v>502</v>
      </c>
      <c r="D58" s="230" t="s">
        <v>1360</v>
      </c>
      <c r="E58" s="230" t="s">
        <v>495</v>
      </c>
      <c r="F58" s="230" t="s">
        <v>34</v>
      </c>
      <c r="G58" s="230" t="s">
        <v>1355</v>
      </c>
      <c r="H58" s="230" t="s">
        <v>736</v>
      </c>
      <c r="I58" s="230" t="s">
        <v>1436</v>
      </c>
      <c r="J58" s="231">
        <v>950</v>
      </c>
      <c r="K58" s="230" t="s">
        <v>600</v>
      </c>
      <c r="L58" s="231">
        <v>11400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1433</v>
      </c>
      <c r="B59" s="230" t="s">
        <v>1434</v>
      </c>
      <c r="C59" s="230" t="s">
        <v>502</v>
      </c>
      <c r="D59" s="230" t="s">
        <v>1360</v>
      </c>
      <c r="E59" s="230" t="s">
        <v>495</v>
      </c>
      <c r="F59" s="230" t="s">
        <v>34</v>
      </c>
      <c r="G59" s="230" t="s">
        <v>1355</v>
      </c>
      <c r="H59" s="230" t="s">
        <v>736</v>
      </c>
      <c r="I59" s="230" t="s">
        <v>1370</v>
      </c>
      <c r="J59" s="231">
        <v>950</v>
      </c>
      <c r="K59" s="230" t="s">
        <v>600</v>
      </c>
      <c r="L59" s="231">
        <v>11400</v>
      </c>
      <c r="M59" s="230" t="s">
        <v>509</v>
      </c>
      <c r="N59" s="230" t="s">
        <v>509</v>
      </c>
      <c r="O59" s="230" t="s">
        <v>343</v>
      </c>
    </row>
    <row r="60" spans="1:15">
      <c r="A60" s="230" t="s">
        <v>561</v>
      </c>
      <c r="B60" s="230" t="s">
        <v>1432</v>
      </c>
      <c r="C60" s="230" t="s">
        <v>502</v>
      </c>
      <c r="D60" s="230" t="s">
        <v>1360</v>
      </c>
      <c r="E60" s="230" t="s">
        <v>495</v>
      </c>
      <c r="F60" s="230" t="s">
        <v>34</v>
      </c>
      <c r="G60" s="230" t="s">
        <v>1355</v>
      </c>
      <c r="H60" s="230" t="s">
        <v>736</v>
      </c>
      <c r="I60" s="230" t="s">
        <v>562</v>
      </c>
      <c r="J60" s="231">
        <v>950</v>
      </c>
      <c r="K60" s="230" t="s">
        <v>600</v>
      </c>
      <c r="L60" s="231">
        <v>11400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645</v>
      </c>
      <c r="B61" s="230" t="s">
        <v>1431</v>
      </c>
      <c r="C61" s="230" t="s">
        <v>502</v>
      </c>
      <c r="D61" s="230" t="s">
        <v>1360</v>
      </c>
      <c r="E61" s="230" t="s">
        <v>495</v>
      </c>
      <c r="F61" s="230" t="s">
        <v>34</v>
      </c>
      <c r="G61" s="230" t="s">
        <v>1355</v>
      </c>
      <c r="H61" s="230" t="s">
        <v>736</v>
      </c>
      <c r="I61" s="230" t="s">
        <v>541</v>
      </c>
      <c r="J61" s="231">
        <v>950</v>
      </c>
      <c r="K61" s="230" t="s">
        <v>600</v>
      </c>
      <c r="L61" s="231">
        <v>11400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1429</v>
      </c>
      <c r="B62" s="230" t="s">
        <v>1430</v>
      </c>
      <c r="C62" s="230" t="s">
        <v>502</v>
      </c>
      <c r="D62" s="230" t="s">
        <v>1360</v>
      </c>
      <c r="E62" s="230" t="s">
        <v>495</v>
      </c>
      <c r="F62" s="230" t="s">
        <v>34</v>
      </c>
      <c r="G62" s="230" t="s">
        <v>1355</v>
      </c>
      <c r="H62" s="230" t="s">
        <v>736</v>
      </c>
      <c r="I62" s="230" t="s">
        <v>1403</v>
      </c>
      <c r="J62" s="231">
        <v>950</v>
      </c>
      <c r="K62" s="230" t="s">
        <v>600</v>
      </c>
      <c r="L62" s="231">
        <v>11400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771</v>
      </c>
      <c r="B63" s="230" t="s">
        <v>1426</v>
      </c>
      <c r="C63" s="230" t="s">
        <v>502</v>
      </c>
      <c r="D63" s="230" t="s">
        <v>1360</v>
      </c>
      <c r="E63" s="230" t="s">
        <v>495</v>
      </c>
      <c r="F63" s="230" t="s">
        <v>34</v>
      </c>
      <c r="G63" s="230" t="s">
        <v>1355</v>
      </c>
      <c r="H63" s="230" t="s">
        <v>736</v>
      </c>
      <c r="I63" s="230" t="s">
        <v>686</v>
      </c>
      <c r="J63" s="231">
        <v>950</v>
      </c>
      <c r="K63" s="230" t="s">
        <v>600</v>
      </c>
      <c r="L63" s="231">
        <v>11400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607</v>
      </c>
      <c r="B64" s="230" t="s">
        <v>1420</v>
      </c>
      <c r="C64" s="230" t="s">
        <v>502</v>
      </c>
      <c r="D64" s="230" t="s">
        <v>1421</v>
      </c>
      <c r="E64" s="230" t="s">
        <v>495</v>
      </c>
      <c r="F64" s="230" t="s">
        <v>34</v>
      </c>
      <c r="G64" s="230" t="s">
        <v>1355</v>
      </c>
      <c r="H64" s="230" t="s">
        <v>736</v>
      </c>
      <c r="I64" s="230" t="s">
        <v>541</v>
      </c>
      <c r="J64" s="231">
        <v>1200</v>
      </c>
      <c r="K64" s="230" t="s">
        <v>600</v>
      </c>
      <c r="L64" s="231">
        <v>14400</v>
      </c>
      <c r="M64" s="230" t="s">
        <v>509</v>
      </c>
      <c r="N64" s="230" t="s">
        <v>509</v>
      </c>
      <c r="O64" s="230" t="s">
        <v>1422</v>
      </c>
    </row>
    <row r="65" spans="1:15">
      <c r="A65" s="230" t="s">
        <v>629</v>
      </c>
      <c r="B65" s="230" t="s">
        <v>1409</v>
      </c>
      <c r="C65" s="230" t="s">
        <v>502</v>
      </c>
      <c r="D65" s="230" t="s">
        <v>1360</v>
      </c>
      <c r="E65" s="230" t="s">
        <v>495</v>
      </c>
      <c r="F65" s="230" t="s">
        <v>34</v>
      </c>
      <c r="G65" s="230" t="s">
        <v>1355</v>
      </c>
      <c r="H65" s="230" t="s">
        <v>736</v>
      </c>
      <c r="I65" s="230" t="s">
        <v>555</v>
      </c>
      <c r="J65" s="231">
        <v>950</v>
      </c>
      <c r="K65" s="230" t="s">
        <v>600</v>
      </c>
      <c r="L65" s="231">
        <v>11400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1406</v>
      </c>
      <c r="B66" s="230" t="s">
        <v>1407</v>
      </c>
      <c r="C66" s="230" t="s">
        <v>502</v>
      </c>
      <c r="D66" s="230" t="s">
        <v>1360</v>
      </c>
      <c r="E66" s="230" t="s">
        <v>495</v>
      </c>
      <c r="F66" s="230" t="s">
        <v>34</v>
      </c>
      <c r="G66" s="230" t="s">
        <v>1355</v>
      </c>
      <c r="H66" s="230" t="s">
        <v>736</v>
      </c>
      <c r="I66" s="230" t="s">
        <v>1392</v>
      </c>
      <c r="J66" s="231">
        <v>950</v>
      </c>
      <c r="K66" s="230" t="s">
        <v>600</v>
      </c>
      <c r="L66" s="231">
        <v>11400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631</v>
      </c>
      <c r="B67" s="230" t="s">
        <v>1402</v>
      </c>
      <c r="C67" s="230" t="s">
        <v>502</v>
      </c>
      <c r="D67" s="230" t="s">
        <v>1360</v>
      </c>
      <c r="E67" s="230" t="s">
        <v>495</v>
      </c>
      <c r="F67" s="230" t="s">
        <v>34</v>
      </c>
      <c r="G67" s="230" t="s">
        <v>1355</v>
      </c>
      <c r="H67" s="230" t="s">
        <v>736</v>
      </c>
      <c r="I67" s="230" t="s">
        <v>1403</v>
      </c>
      <c r="J67" s="231">
        <v>950</v>
      </c>
      <c r="K67" s="230" t="s">
        <v>600</v>
      </c>
      <c r="L67" s="231">
        <v>11400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1400</v>
      </c>
      <c r="B68" s="230" t="s">
        <v>1401</v>
      </c>
      <c r="C68" s="230" t="s">
        <v>502</v>
      </c>
      <c r="D68" s="230" t="s">
        <v>1360</v>
      </c>
      <c r="E68" s="230" t="s">
        <v>495</v>
      </c>
      <c r="F68" s="230" t="s">
        <v>34</v>
      </c>
      <c r="G68" s="230" t="s">
        <v>1355</v>
      </c>
      <c r="H68" s="230" t="s">
        <v>736</v>
      </c>
      <c r="I68" s="230" t="s">
        <v>527</v>
      </c>
      <c r="J68" s="231">
        <v>950</v>
      </c>
      <c r="K68" s="230" t="s">
        <v>600</v>
      </c>
      <c r="L68" s="231">
        <v>11400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669</v>
      </c>
      <c r="B69" s="230" t="s">
        <v>1398</v>
      </c>
      <c r="C69" s="230" t="s">
        <v>502</v>
      </c>
      <c r="D69" s="230" t="s">
        <v>1360</v>
      </c>
      <c r="E69" s="230" t="s">
        <v>495</v>
      </c>
      <c r="F69" s="230" t="s">
        <v>34</v>
      </c>
      <c r="G69" s="230" t="s">
        <v>1355</v>
      </c>
      <c r="H69" s="230" t="s">
        <v>736</v>
      </c>
      <c r="I69" s="230" t="s">
        <v>1399</v>
      </c>
      <c r="J69" s="231">
        <v>950</v>
      </c>
      <c r="K69" s="230" t="s">
        <v>600</v>
      </c>
      <c r="L69" s="231">
        <v>11400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617</v>
      </c>
      <c r="B70" s="230" t="s">
        <v>1397</v>
      </c>
      <c r="C70" s="230" t="s">
        <v>502</v>
      </c>
      <c r="D70" s="230" t="s">
        <v>1360</v>
      </c>
      <c r="E70" s="230" t="s">
        <v>495</v>
      </c>
      <c r="F70" s="230" t="s">
        <v>34</v>
      </c>
      <c r="G70" s="230" t="s">
        <v>1355</v>
      </c>
      <c r="H70" s="230" t="s">
        <v>736</v>
      </c>
      <c r="I70" s="230" t="s">
        <v>1364</v>
      </c>
      <c r="J70" s="231">
        <v>950</v>
      </c>
      <c r="K70" s="230" t="s">
        <v>600</v>
      </c>
      <c r="L70" s="231">
        <v>11400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867</v>
      </c>
      <c r="B71" s="230" t="s">
        <v>1395</v>
      </c>
      <c r="C71" s="230" t="s">
        <v>502</v>
      </c>
      <c r="D71" s="230" t="s">
        <v>1360</v>
      </c>
      <c r="E71" s="230" t="s">
        <v>495</v>
      </c>
      <c r="F71" s="230" t="s">
        <v>34</v>
      </c>
      <c r="G71" s="230" t="s">
        <v>1355</v>
      </c>
      <c r="H71" s="230" t="s">
        <v>736</v>
      </c>
      <c r="I71" s="230" t="s">
        <v>1396</v>
      </c>
      <c r="J71" s="231">
        <v>950</v>
      </c>
      <c r="K71" s="230" t="s">
        <v>600</v>
      </c>
      <c r="L71" s="231">
        <v>11400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757</v>
      </c>
      <c r="B72" s="230" t="s">
        <v>1394</v>
      </c>
      <c r="C72" s="230" t="s">
        <v>502</v>
      </c>
      <c r="D72" s="230" t="s">
        <v>1360</v>
      </c>
      <c r="E72" s="230" t="s">
        <v>495</v>
      </c>
      <c r="F72" s="230" t="s">
        <v>34</v>
      </c>
      <c r="G72" s="230" t="s">
        <v>1355</v>
      </c>
      <c r="H72" s="230" t="s">
        <v>736</v>
      </c>
      <c r="I72" s="230" t="s">
        <v>527</v>
      </c>
      <c r="J72" s="231">
        <v>950</v>
      </c>
      <c r="K72" s="230" t="s">
        <v>600</v>
      </c>
      <c r="L72" s="231">
        <v>11400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581</v>
      </c>
      <c r="B73" s="230" t="s">
        <v>1393</v>
      </c>
      <c r="C73" s="230" t="s">
        <v>502</v>
      </c>
      <c r="D73" s="230" t="s">
        <v>1360</v>
      </c>
      <c r="E73" s="230" t="s">
        <v>495</v>
      </c>
      <c r="F73" s="230" t="s">
        <v>34</v>
      </c>
      <c r="G73" s="230" t="s">
        <v>1355</v>
      </c>
      <c r="H73" s="230" t="s">
        <v>736</v>
      </c>
      <c r="I73" s="230" t="s">
        <v>555</v>
      </c>
      <c r="J73" s="231">
        <v>950</v>
      </c>
      <c r="K73" s="230" t="s">
        <v>600</v>
      </c>
      <c r="L73" s="231">
        <v>11400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1391</v>
      </c>
      <c r="B74" s="230" t="s">
        <v>1389</v>
      </c>
      <c r="C74" s="230" t="s">
        <v>502</v>
      </c>
      <c r="D74" s="230" t="s">
        <v>1360</v>
      </c>
      <c r="E74" s="230" t="s">
        <v>495</v>
      </c>
      <c r="F74" s="230" t="s">
        <v>34</v>
      </c>
      <c r="G74" s="230" t="s">
        <v>1355</v>
      </c>
      <c r="H74" s="230" t="s">
        <v>736</v>
      </c>
      <c r="I74" s="230" t="s">
        <v>1392</v>
      </c>
      <c r="J74" s="231">
        <v>950</v>
      </c>
      <c r="K74" s="230" t="s">
        <v>600</v>
      </c>
      <c r="L74" s="231">
        <v>11400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907</v>
      </c>
      <c r="B75" s="230" t="s">
        <v>1371</v>
      </c>
      <c r="C75" s="230" t="s">
        <v>502</v>
      </c>
      <c r="D75" s="230" t="s">
        <v>495</v>
      </c>
      <c r="E75" s="230" t="s">
        <v>495</v>
      </c>
      <c r="F75" s="230" t="s">
        <v>34</v>
      </c>
      <c r="G75" s="230" t="s">
        <v>1355</v>
      </c>
      <c r="H75" s="230" t="s">
        <v>736</v>
      </c>
      <c r="I75" s="230" t="s">
        <v>538</v>
      </c>
      <c r="J75" s="231">
        <v>950</v>
      </c>
      <c r="K75" s="230" t="s">
        <v>600</v>
      </c>
      <c r="L75" s="231">
        <v>11400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1368</v>
      </c>
      <c r="B76" s="230" t="s">
        <v>1369</v>
      </c>
      <c r="C76" s="230" t="s">
        <v>502</v>
      </c>
      <c r="D76" s="230" t="s">
        <v>1360</v>
      </c>
      <c r="E76" s="230" t="s">
        <v>495</v>
      </c>
      <c r="F76" s="230" t="s">
        <v>34</v>
      </c>
      <c r="G76" s="230" t="s">
        <v>1355</v>
      </c>
      <c r="H76" s="230" t="s">
        <v>736</v>
      </c>
      <c r="I76" s="230" t="s">
        <v>1370</v>
      </c>
      <c r="J76" s="231">
        <v>950</v>
      </c>
      <c r="K76" s="230" t="s">
        <v>600</v>
      </c>
      <c r="L76" s="231">
        <v>11400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1365</v>
      </c>
      <c r="B77" s="230" t="s">
        <v>1366</v>
      </c>
      <c r="C77" s="230" t="s">
        <v>510</v>
      </c>
      <c r="D77" s="230" t="s">
        <v>1360</v>
      </c>
      <c r="E77" s="230" t="s">
        <v>495</v>
      </c>
      <c r="F77" s="230" t="s">
        <v>34</v>
      </c>
      <c r="G77" s="230" t="s">
        <v>1355</v>
      </c>
      <c r="H77" s="230" t="s">
        <v>736</v>
      </c>
      <c r="I77" s="230" t="s">
        <v>343</v>
      </c>
      <c r="J77" s="230"/>
      <c r="K77" s="230" t="s">
        <v>343</v>
      </c>
      <c r="L77" s="230"/>
      <c r="M77" s="230" t="s">
        <v>509</v>
      </c>
      <c r="N77" s="230" t="s">
        <v>510</v>
      </c>
      <c r="O77" s="230" t="s">
        <v>1367</v>
      </c>
    </row>
    <row r="78" spans="1:15">
      <c r="A78" s="230" t="s">
        <v>1362</v>
      </c>
      <c r="B78" s="230" t="s">
        <v>1363</v>
      </c>
      <c r="C78" s="230" t="s">
        <v>502</v>
      </c>
      <c r="D78" s="230" t="s">
        <v>1360</v>
      </c>
      <c r="E78" s="230" t="s">
        <v>495</v>
      </c>
      <c r="F78" s="230" t="s">
        <v>34</v>
      </c>
      <c r="G78" s="230" t="s">
        <v>1355</v>
      </c>
      <c r="H78" s="230" t="s">
        <v>736</v>
      </c>
      <c r="I78" s="230" t="s">
        <v>1364</v>
      </c>
      <c r="J78" s="231">
        <v>950</v>
      </c>
      <c r="K78" s="230" t="s">
        <v>600</v>
      </c>
      <c r="L78" s="231">
        <v>11400</v>
      </c>
      <c r="M78" s="230" t="s">
        <v>510</v>
      </c>
      <c r="N78" s="230" t="s">
        <v>509</v>
      </c>
      <c r="O78" s="230" t="s">
        <v>1361</v>
      </c>
    </row>
    <row r="79" spans="1:15">
      <c r="A79" s="230" t="s">
        <v>1358</v>
      </c>
      <c r="B79" s="230" t="s">
        <v>1359</v>
      </c>
      <c r="C79" s="230" t="s">
        <v>502</v>
      </c>
      <c r="D79" s="230" t="s">
        <v>1360</v>
      </c>
      <c r="E79" s="230" t="s">
        <v>495</v>
      </c>
      <c r="F79" s="230" t="s">
        <v>34</v>
      </c>
      <c r="G79" s="230" t="s">
        <v>1355</v>
      </c>
      <c r="H79" s="230" t="s">
        <v>736</v>
      </c>
      <c r="I79" s="230" t="s">
        <v>343</v>
      </c>
      <c r="J79" s="231">
        <v>950</v>
      </c>
      <c r="K79" s="230" t="s">
        <v>600</v>
      </c>
      <c r="L79" s="231">
        <v>11400</v>
      </c>
      <c r="M79" s="230" t="s">
        <v>510</v>
      </c>
      <c r="N79" s="230" t="s">
        <v>509</v>
      </c>
      <c r="O79" s="230" t="s">
        <v>1361</v>
      </c>
    </row>
    <row r="80" spans="1:15">
      <c r="A80" s="230" t="s">
        <v>1494</v>
      </c>
      <c r="B80" s="230" t="s">
        <v>1495</v>
      </c>
      <c r="C80" s="230" t="s">
        <v>502</v>
      </c>
      <c r="D80" s="230" t="s">
        <v>1496</v>
      </c>
      <c r="E80" s="230" t="s">
        <v>498</v>
      </c>
      <c r="F80" s="230" t="s">
        <v>63</v>
      </c>
      <c r="G80" s="230" t="s">
        <v>1355</v>
      </c>
      <c r="H80" s="230" t="s">
        <v>736</v>
      </c>
      <c r="I80" s="230" t="s">
        <v>1382</v>
      </c>
      <c r="J80" s="231">
        <v>1000</v>
      </c>
      <c r="K80" s="230" t="s">
        <v>600</v>
      </c>
      <c r="L80" s="231">
        <v>12000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1481</v>
      </c>
      <c r="B81" s="230" t="s">
        <v>1482</v>
      </c>
      <c r="C81" s="230" t="s">
        <v>502</v>
      </c>
      <c r="D81" s="230" t="s">
        <v>1381</v>
      </c>
      <c r="E81" s="230" t="s">
        <v>498</v>
      </c>
      <c r="F81" s="230" t="s">
        <v>63</v>
      </c>
      <c r="G81" s="230" t="s">
        <v>1355</v>
      </c>
      <c r="H81" s="230" t="s">
        <v>736</v>
      </c>
      <c r="I81" s="230" t="s">
        <v>1382</v>
      </c>
      <c r="J81" s="231">
        <v>900</v>
      </c>
      <c r="K81" s="230" t="s">
        <v>600</v>
      </c>
      <c r="L81" s="231">
        <v>10800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1476</v>
      </c>
      <c r="B82" s="230" t="s">
        <v>1477</v>
      </c>
      <c r="C82" s="230" t="s">
        <v>502</v>
      </c>
      <c r="D82" s="230" t="s">
        <v>1478</v>
      </c>
      <c r="E82" s="230" t="s">
        <v>498</v>
      </c>
      <c r="F82" s="230" t="s">
        <v>63</v>
      </c>
      <c r="G82" s="230" t="s">
        <v>1355</v>
      </c>
      <c r="H82" s="230" t="s">
        <v>736</v>
      </c>
      <c r="I82" s="230" t="s">
        <v>1467</v>
      </c>
      <c r="J82" s="231">
        <v>1800</v>
      </c>
      <c r="K82" s="230" t="s">
        <v>600</v>
      </c>
      <c r="L82" s="231">
        <v>21600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1472</v>
      </c>
      <c r="B83" s="230" t="s">
        <v>1473</v>
      </c>
      <c r="C83" s="230" t="s">
        <v>502</v>
      </c>
      <c r="D83" s="230" t="s">
        <v>1381</v>
      </c>
      <c r="E83" s="230" t="s">
        <v>498</v>
      </c>
      <c r="F83" s="230" t="s">
        <v>63</v>
      </c>
      <c r="G83" s="230" t="s">
        <v>1355</v>
      </c>
      <c r="H83" s="230" t="s">
        <v>736</v>
      </c>
      <c r="I83" s="230" t="s">
        <v>1382</v>
      </c>
      <c r="J83" s="231">
        <v>900</v>
      </c>
      <c r="K83" s="230" t="s">
        <v>600</v>
      </c>
      <c r="L83" s="231">
        <v>10800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1464</v>
      </c>
      <c r="B84" s="230" t="s">
        <v>1465</v>
      </c>
      <c r="C84" s="230" t="s">
        <v>502</v>
      </c>
      <c r="D84" s="230" t="s">
        <v>1466</v>
      </c>
      <c r="E84" s="230" t="s">
        <v>498</v>
      </c>
      <c r="F84" s="230" t="s">
        <v>63</v>
      </c>
      <c r="G84" s="230" t="s">
        <v>1355</v>
      </c>
      <c r="H84" s="230" t="s">
        <v>736</v>
      </c>
      <c r="I84" s="230" t="s">
        <v>1467</v>
      </c>
      <c r="J84" s="231">
        <v>950</v>
      </c>
      <c r="K84" s="230" t="s">
        <v>600</v>
      </c>
      <c r="L84" s="231">
        <v>11400</v>
      </c>
      <c r="M84" s="230" t="s">
        <v>510</v>
      </c>
      <c r="N84" s="230" t="s">
        <v>509</v>
      </c>
      <c r="O84" s="230" t="s">
        <v>1468</v>
      </c>
    </row>
    <row r="85" spans="1:15">
      <c r="A85" s="230" t="s">
        <v>1459</v>
      </c>
      <c r="B85" s="230" t="s">
        <v>1460</v>
      </c>
      <c r="C85" s="230" t="s">
        <v>502</v>
      </c>
      <c r="D85" s="230" t="s">
        <v>1461</v>
      </c>
      <c r="E85" s="230" t="s">
        <v>498</v>
      </c>
      <c r="F85" s="230" t="s">
        <v>63</v>
      </c>
      <c r="G85" s="230" t="s">
        <v>1355</v>
      </c>
      <c r="H85" s="230" t="s">
        <v>736</v>
      </c>
      <c r="I85" s="230" t="s">
        <v>1382</v>
      </c>
      <c r="J85" s="231">
        <v>1950</v>
      </c>
      <c r="K85" s="230" t="s">
        <v>600</v>
      </c>
      <c r="L85" s="231">
        <v>23400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528</v>
      </c>
      <c r="B86" s="230" t="s">
        <v>1426</v>
      </c>
      <c r="C86" s="230" t="s">
        <v>502</v>
      </c>
      <c r="D86" s="230" t="s">
        <v>1381</v>
      </c>
      <c r="E86" s="230" t="s">
        <v>498</v>
      </c>
      <c r="F86" s="230" t="s">
        <v>63</v>
      </c>
      <c r="G86" s="230" t="s">
        <v>1355</v>
      </c>
      <c r="H86" s="230" t="s">
        <v>736</v>
      </c>
      <c r="I86" s="230" t="s">
        <v>1382</v>
      </c>
      <c r="J86" s="231">
        <v>850</v>
      </c>
      <c r="K86" s="230" t="s">
        <v>600</v>
      </c>
      <c r="L86" s="231">
        <v>10200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687</v>
      </c>
      <c r="B87" s="230" t="s">
        <v>1380</v>
      </c>
      <c r="C87" s="230" t="s">
        <v>502</v>
      </c>
      <c r="D87" s="230" t="s">
        <v>1381</v>
      </c>
      <c r="E87" s="230" t="s">
        <v>498</v>
      </c>
      <c r="F87" s="230" t="s">
        <v>63</v>
      </c>
      <c r="G87" s="230" t="s">
        <v>1355</v>
      </c>
      <c r="H87" s="230" t="s">
        <v>736</v>
      </c>
      <c r="I87" s="230" t="s">
        <v>1382</v>
      </c>
      <c r="J87" s="231">
        <v>850</v>
      </c>
      <c r="K87" s="230" t="s">
        <v>600</v>
      </c>
      <c r="L87" s="231">
        <v>10200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515</v>
      </c>
      <c r="B88" s="230" t="s">
        <v>1437</v>
      </c>
      <c r="C88" s="230" t="s">
        <v>502</v>
      </c>
      <c r="D88" s="230" t="s">
        <v>1375</v>
      </c>
      <c r="E88" s="230" t="s">
        <v>1375</v>
      </c>
      <c r="F88" s="230" t="s">
        <v>63</v>
      </c>
      <c r="G88" s="230" t="s">
        <v>1376</v>
      </c>
      <c r="H88" s="230" t="s">
        <v>1377</v>
      </c>
      <c r="I88" s="230" t="s">
        <v>1378</v>
      </c>
      <c r="J88" s="231">
        <v>115000</v>
      </c>
      <c r="K88" s="230" t="s">
        <v>1379</v>
      </c>
      <c r="L88" s="231">
        <v>115000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538</v>
      </c>
      <c r="B89" s="230" t="s">
        <v>1413</v>
      </c>
      <c r="C89" s="230" t="s">
        <v>502</v>
      </c>
      <c r="D89" s="230" t="s">
        <v>1375</v>
      </c>
      <c r="E89" s="230" t="s">
        <v>1375</v>
      </c>
      <c r="F89" s="230" t="s">
        <v>63</v>
      </c>
      <c r="G89" s="230" t="s">
        <v>1376</v>
      </c>
      <c r="H89" s="230" t="s">
        <v>1377</v>
      </c>
      <c r="I89" s="230" t="s">
        <v>1378</v>
      </c>
      <c r="J89" s="231">
        <v>120000</v>
      </c>
      <c r="K89" s="230" t="s">
        <v>1379</v>
      </c>
      <c r="L89" s="231">
        <v>120000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1390</v>
      </c>
      <c r="B90" s="230" t="s">
        <v>1413</v>
      </c>
      <c r="C90" s="230" t="s">
        <v>502</v>
      </c>
      <c r="D90" s="230" t="s">
        <v>1375</v>
      </c>
      <c r="E90" s="230" t="s">
        <v>1375</v>
      </c>
      <c r="F90" s="230" t="s">
        <v>63</v>
      </c>
      <c r="G90" s="230" t="s">
        <v>1376</v>
      </c>
      <c r="H90" s="230" t="s">
        <v>1377</v>
      </c>
      <c r="I90" s="230" t="s">
        <v>1378</v>
      </c>
      <c r="J90" s="231">
        <v>120000</v>
      </c>
      <c r="K90" s="230" t="s">
        <v>1379</v>
      </c>
      <c r="L90" s="231">
        <v>120000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1373</v>
      </c>
      <c r="B91" s="230" t="s">
        <v>1374</v>
      </c>
      <c r="C91" s="230" t="s">
        <v>502</v>
      </c>
      <c r="D91" s="230" t="s">
        <v>1375</v>
      </c>
      <c r="E91" s="230" t="s">
        <v>1375</v>
      </c>
      <c r="F91" s="230" t="s">
        <v>63</v>
      </c>
      <c r="G91" s="230" t="s">
        <v>1376</v>
      </c>
      <c r="H91" s="230" t="s">
        <v>1377</v>
      </c>
      <c r="I91" s="230" t="s">
        <v>1378</v>
      </c>
      <c r="J91" s="231">
        <v>110000</v>
      </c>
      <c r="K91" s="230" t="s">
        <v>1379</v>
      </c>
      <c r="L91" s="231">
        <v>110000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1515</v>
      </c>
      <c r="K93" s="147" t="s">
        <v>1520</v>
      </c>
      <c r="L93" s="217">
        <v>1804200</v>
      </c>
      <c r="O93" s="147" t="s">
        <v>1516</v>
      </c>
    </row>
    <row r="94" spans="1:15">
      <c r="K94" s="147" t="s">
        <v>1521</v>
      </c>
      <c r="L94" s="221">
        <f>+L93+L91</f>
        <v>1914200</v>
      </c>
    </row>
  </sheetData>
  <autoFilter ref="A1:O91" xr:uid="{00000000-0009-0000-0000-000000000000}">
    <sortState xmlns:xlrd2="http://schemas.microsoft.com/office/spreadsheetml/2017/richdata2" ref="A2:O91">
      <sortCondition descending="1" ref="E1:E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61" t="s">
        <v>116</v>
      </c>
    </row>
    <row r="157" spans="3:6">
      <c r="D157" s="26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1337</v>
      </c>
      <c r="C5" s="178" t="s">
        <v>999</v>
      </c>
      <c r="D5" s="178" t="s">
        <v>1334</v>
      </c>
      <c r="E5" s="178" t="s">
        <v>1335</v>
      </c>
      <c r="F5" s="178" t="s">
        <v>1336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7" priority="1">
      <formula>$K$3=1</formula>
    </cfRule>
  </conditionalFormatting>
  <conditionalFormatting sqref="A15:XFD24 A25:B25 D25:XFD25 A26:XFD26">
    <cfRule type="expression" dxfId="26" priority="11">
      <formula>$K$3=1</formula>
    </cfRule>
  </conditionalFormatting>
  <conditionalFormatting sqref="B11:D11">
    <cfRule type="expression" dxfId="25" priority="2">
      <formula>$K$3=1</formula>
    </cfRule>
  </conditionalFormatting>
  <conditionalFormatting sqref="B14:D14">
    <cfRule type="expression" dxfId="24" priority="8">
      <formula>$V$3=1</formula>
    </cfRule>
  </conditionalFormatting>
  <conditionalFormatting sqref="B6:F6">
    <cfRule type="expression" dxfId="23" priority="7">
      <formula>$V$3=1</formula>
    </cfRule>
  </conditionalFormatting>
  <conditionalFormatting sqref="C7:C10">
    <cfRule type="expression" dxfId="22" priority="4">
      <formula>$V$3=1</formula>
    </cfRule>
  </conditionalFormatting>
  <conditionalFormatting sqref="C15 B15:B27 D15:D27 K15:K27 C25:C27 A36:A47 E36:XFD47">
    <cfRule type="expression" dxfId="21" priority="18">
      <formula>$K$3=1</formula>
    </cfRule>
  </conditionalFormatting>
  <conditionalFormatting sqref="C15:C25">
    <cfRule type="expression" dxfId="20" priority="10">
      <formula>$V$3=1</formula>
    </cfRule>
  </conditionalFormatting>
  <conditionalFormatting sqref="C27">
    <cfRule type="expression" dxfId="19" priority="20">
      <formula>$V$3=1</formula>
    </cfRule>
  </conditionalFormatting>
  <conditionalFormatting sqref="C7:D10">
    <cfRule type="expression" dxfId="18" priority="5">
      <formula>$K$3=1</formula>
    </cfRule>
  </conditionalFormatting>
  <conditionalFormatting sqref="C11:D11">
    <cfRule type="expression" dxfId="17" priority="3">
      <formula>$V$3=1</formula>
    </cfRule>
  </conditionalFormatting>
  <conditionalFormatting sqref="K15:K27">
    <cfRule type="expression" dxfId="1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>
      <selection activeCell="B18" sqref="B18"/>
    </sheetView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3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AK382"/>
  <sheetViews>
    <sheetView showGridLines="0" tabSelected="1" zoomScale="115" zoomScaleNormal="115" workbookViewId="0"/>
  </sheetViews>
  <sheetFormatPr defaultRowHeight="12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7" width="9.140625" style="175" customWidth="1"/>
    <col min="18" max="30" width="9.140625" style="175"/>
    <col min="31" max="31" width="4.7109375" style="175" customWidth="1"/>
    <col min="32" max="32" width="14.85546875" style="175" bestFit="1" customWidth="1"/>
    <col min="33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1325</v>
      </c>
      <c r="D5" s="178" t="s">
        <v>3</v>
      </c>
      <c r="E5" s="178" t="s">
        <v>4</v>
      </c>
      <c r="F5" s="178" t="s">
        <v>1327</v>
      </c>
      <c r="G5" s="195"/>
      <c r="H5" s="178" t="s">
        <v>1552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74" t="s">
        <v>1553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74" t="s">
        <v>1554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74" t="s">
        <v>1555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1556</v>
      </c>
    </row>
    <row r="12" spans="2:34" ht="12" customHeight="1">
      <c r="B12" s="264" t="s">
        <v>1323</v>
      </c>
      <c r="C12" s="267">
        <f>-'Client Departures'!B13</f>
        <v>-20</v>
      </c>
      <c r="D12" s="267">
        <f>-'Client Departures'!B14</f>
        <v>-34</v>
      </c>
      <c r="E12" s="265">
        <f>SUM(J12:U12)</f>
        <v>-59</v>
      </c>
      <c r="F12" s="265">
        <f>SUM(V12:AD12)</f>
        <v>-60</v>
      </c>
      <c r="G12" s="266"/>
      <c r="H12" s="265">
        <f>SUM(S12:AD12)</f>
        <v>-82</v>
      </c>
      <c r="I12" s="266"/>
      <c r="J12" s="267">
        <f>-COUNTIFS('Full Customer List'!$J:$J,J$1)</f>
        <v>-7</v>
      </c>
      <c r="K12" s="267">
        <f>-COUNTIFS('Full Customer List'!$J:$J,K$1)</f>
        <v>-4</v>
      </c>
      <c r="L12" s="267">
        <f>-COUNTIFS('Full Customer List'!$J:$J,L$1)</f>
        <v>-2</v>
      </c>
      <c r="M12" s="267">
        <f>-COUNTIFS('Full Customer List'!$J:$J,M$1)</f>
        <v>-4</v>
      </c>
      <c r="N12" s="267">
        <f>-COUNTIFS('Full Customer List'!$J:$J,N$1)</f>
        <v>-3</v>
      </c>
      <c r="O12" s="267">
        <f>-COUNTIFS('Full Customer List'!$J:$J,O$1)</f>
        <v>-7</v>
      </c>
      <c r="P12" s="267">
        <f>-COUNTIFS('Full Customer List'!$J:$J,P$1)</f>
        <v>-3</v>
      </c>
      <c r="Q12" s="267">
        <f>-COUNTIFS('Full Customer List'!$J:$J,Q$1)</f>
        <v>-2</v>
      </c>
      <c r="R12" s="267">
        <f>-COUNTIFS('Full Customer List'!$J:$J,R$1)</f>
        <v>-5</v>
      </c>
      <c r="S12" s="267">
        <f>-COUNTIFS('Full Customer List'!$J:$J,S$1)</f>
        <v>-1</v>
      </c>
      <c r="T12" s="267">
        <f>-COUNTIFS('Full Customer List'!$J:$J,T$1)</f>
        <v>-9</v>
      </c>
      <c r="U12" s="267">
        <f>-COUNTIFS('Full Customer List'!$J:$J,U$1)</f>
        <v>-12</v>
      </c>
      <c r="V12" s="267">
        <f>-COUNTIFS('Full Customer List'!$J:$J,V$1)</f>
        <v>-4</v>
      </c>
      <c r="W12" s="267">
        <f>-COUNTIFS('Full Customer List'!$J:$J,W$1)</f>
        <v>-2</v>
      </c>
      <c r="X12" s="267">
        <f>-COUNTIFS('Full Customer List'!$J:$J,X$1)</f>
        <v>-7</v>
      </c>
      <c r="Y12" s="267">
        <f>-COUNTIFS('Full Customer List'!$J:$J,Y$1)</f>
        <v>-5</v>
      </c>
      <c r="Z12" s="267">
        <f>-COUNTIFS('Full Customer List'!$J:$J,Z$1)</f>
        <v>-16</v>
      </c>
      <c r="AA12" s="267">
        <f>-COUNTIFS('Full Customer List'!$J:$J,AA$1)</f>
        <v>-4</v>
      </c>
      <c r="AB12" s="267">
        <f>-COUNTIFS('Full Customer List'!$J:$J,AB$1)</f>
        <v>-20</v>
      </c>
      <c r="AC12" s="267">
        <f>-COUNTIFS('Full Customer List'!$J:$J,AC$1)</f>
        <v>-2</v>
      </c>
      <c r="AD12" s="267">
        <f>-COUNTIFS('Full Customer List'!$J:$J,AD$1)</f>
        <v>0</v>
      </c>
    </row>
    <row r="13" spans="2:34" ht="12" customHeight="1">
      <c r="B13" s="268" t="s">
        <v>1324</v>
      </c>
      <c r="C13" s="269">
        <f>+D7</f>
        <v>69</v>
      </c>
      <c r="D13" s="269">
        <f>+E7</f>
        <v>123</v>
      </c>
      <c r="E13" s="269">
        <f>+F7</f>
        <v>166</v>
      </c>
      <c r="F13" s="270">
        <f>+$AD13</f>
        <v>168</v>
      </c>
      <c r="H13" s="273">
        <f>+$AD13</f>
        <v>168</v>
      </c>
      <c r="J13" s="271">
        <f t="shared" ref="J13" si="18">+K7</f>
        <v>125</v>
      </c>
      <c r="K13" s="269">
        <f t="shared" ref="K13" si="19">+L7</f>
        <v>126</v>
      </c>
      <c r="L13" s="269">
        <f t="shared" ref="L13" si="20">+M7</f>
        <v>132</v>
      </c>
      <c r="M13" s="269">
        <f t="shared" ref="M13" si="21">+N7</f>
        <v>137</v>
      </c>
      <c r="N13" s="269">
        <f t="shared" ref="N13" si="22">+O7</f>
        <v>143</v>
      </c>
      <c r="O13" s="269">
        <f t="shared" ref="O13" si="23">+P7</f>
        <v>143</v>
      </c>
      <c r="P13" s="269">
        <f>+Q7</f>
        <v>147</v>
      </c>
      <c r="Q13" s="269">
        <f t="shared" ref="Q13:Y13" si="24">+R7</f>
        <v>153</v>
      </c>
      <c r="R13" s="269">
        <f t="shared" si="24"/>
        <v>156</v>
      </c>
      <c r="S13" s="269">
        <f t="shared" si="24"/>
        <v>169</v>
      </c>
      <c r="T13" s="269">
        <f t="shared" si="24"/>
        <v>167</v>
      </c>
      <c r="U13" s="269">
        <f t="shared" si="24"/>
        <v>166</v>
      </c>
      <c r="V13" s="269">
        <f t="shared" si="24"/>
        <v>173</v>
      </c>
      <c r="W13" s="269">
        <f t="shared" si="24"/>
        <v>182</v>
      </c>
      <c r="X13" s="269">
        <f t="shared" si="24"/>
        <v>181</v>
      </c>
      <c r="Y13" s="269">
        <f t="shared" si="24"/>
        <v>187</v>
      </c>
      <c r="Z13" s="269">
        <f t="shared" ref="Z13" si="25">+AA7</f>
        <v>178</v>
      </c>
      <c r="AA13" s="269">
        <f t="shared" ref="AA13" si="26">+AB7</f>
        <v>178</v>
      </c>
      <c r="AB13" s="269">
        <f t="shared" ref="AB13" si="27">+AC7</f>
        <v>163</v>
      </c>
      <c r="AC13" s="269">
        <f t="shared" ref="AC13" si="28">+AD7</f>
        <v>164</v>
      </c>
      <c r="AD13" s="272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1542</v>
      </c>
      <c r="C15" s="239"/>
      <c r="D15" s="239"/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4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1543</v>
      </c>
      <c r="C16" s="242"/>
      <c r="D16" s="242"/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3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1325</v>
      </c>
      <c r="D18" s="178" t="s">
        <v>3</v>
      </c>
      <c r="E18" s="178" t="s">
        <v>4</v>
      </c>
      <c r="F18" s="178" t="s">
        <v>1327</v>
      </c>
      <c r="G18" s="195"/>
      <c r="H18" s="178" t="s">
        <v>1552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1544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72</v>
      </c>
      <c r="F20" s="184">
        <f>+F26-F21-F25</f>
        <v>143</v>
      </c>
      <c r="H20" s="184">
        <f t="shared" ref="H20" si="52">+H26-H21-H25</f>
        <v>123</v>
      </c>
      <c r="J20" s="184">
        <f t="shared" ref="J20:Z20" si="53">+J26-J21-J25</f>
        <v>72</v>
      </c>
      <c r="K20" s="184">
        <f t="shared" si="53"/>
        <v>81</v>
      </c>
      <c r="L20" s="184">
        <f t="shared" si="53"/>
        <v>83</v>
      </c>
      <c r="M20" s="184">
        <f t="shared" si="53"/>
        <v>89</v>
      </c>
      <c r="N20" s="184">
        <f t="shared" si="53"/>
        <v>97</v>
      </c>
      <c r="O20" s="184">
        <f t="shared" si="53"/>
        <v>104</v>
      </c>
      <c r="P20" s="184">
        <f t="shared" si="53"/>
        <v>109</v>
      </c>
      <c r="Q20" s="184">
        <f t="shared" si="53"/>
        <v>113</v>
      </c>
      <c r="R20" s="184">
        <f t="shared" si="53"/>
        <v>119</v>
      </c>
      <c r="S20" s="184">
        <f t="shared" si="53"/>
        <v>123</v>
      </c>
      <c r="T20" s="184">
        <f t="shared" si="53"/>
        <v>128</v>
      </c>
      <c r="U20" s="184">
        <f t="shared" si="53"/>
        <v>134</v>
      </c>
      <c r="V20" s="184">
        <f t="shared" si="53"/>
        <v>143</v>
      </c>
      <c r="W20" s="184">
        <f t="shared" si="53"/>
        <v>152</v>
      </c>
      <c r="X20" s="184">
        <f t="shared" si="53"/>
        <v>160</v>
      </c>
      <c r="Y20" s="184">
        <f t="shared" si="53"/>
        <v>161</v>
      </c>
      <c r="Z20" s="184">
        <f t="shared" si="53"/>
        <v>166</v>
      </c>
      <c r="AA20" s="184">
        <f>+AA26-AA21-AA25</f>
        <v>159</v>
      </c>
      <c r="AB20" s="184">
        <f>+AB26-AB21-AB25</f>
        <v>159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74</v>
      </c>
      <c r="F21" s="199">
        <f>SUM(V21:AD21)</f>
        <v>58</v>
      </c>
      <c r="H21" s="199">
        <f>SUM(S21:AD21)</f>
        <v>79</v>
      </c>
      <c r="J21" s="197">
        <f>+J34+J47</f>
        <v>9</v>
      </c>
      <c r="K21" s="197">
        <f>+K34+K47</f>
        <v>2</v>
      </c>
      <c r="L21" s="197">
        <f>+L34+L47</f>
        <v>6</v>
      </c>
      <c r="M21" s="197">
        <f>+M34+M47</f>
        <v>8</v>
      </c>
      <c r="N21" s="197">
        <f>+N34+N47</f>
        <v>7</v>
      </c>
      <c r="O21" s="197">
        <f>+O34+O47</f>
        <v>5</v>
      </c>
      <c r="P21" s="197">
        <f>+P34+P47</f>
        <v>6</v>
      </c>
      <c r="Q21" s="197">
        <f>+Q34+Q47</f>
        <v>6</v>
      </c>
      <c r="R21" s="197">
        <f>+R34+R47</f>
        <v>4</v>
      </c>
      <c r="S21" s="197">
        <f>+S34+S47</f>
        <v>5</v>
      </c>
      <c r="T21" s="197">
        <f>+T34+T47</f>
        <v>6</v>
      </c>
      <c r="U21" s="197">
        <f>+U34+U47</f>
        <v>10</v>
      </c>
      <c r="V21" s="197">
        <f>+V34+V47</f>
        <v>10</v>
      </c>
      <c r="W21" s="197">
        <f>+W34+W47</f>
        <v>9</v>
      </c>
      <c r="X21" s="197">
        <f>+X34+X47</f>
        <v>6</v>
      </c>
      <c r="Y21" s="197">
        <f>+Y34+Y47</f>
        <v>10</v>
      </c>
      <c r="Z21" s="197">
        <f>+Z34+Z47</f>
        <v>7</v>
      </c>
      <c r="AA21" s="197">
        <f>+AA34+AA47</f>
        <v>4</v>
      </c>
      <c r="AB21" s="197">
        <f>+AB34+AB47</f>
        <v>5</v>
      </c>
      <c r="AC21" s="197">
        <f>+AC34+AC47</f>
        <v>3</v>
      </c>
      <c r="AD21" s="197">
        <f>+AD34+AD47</f>
        <v>4</v>
      </c>
    </row>
    <row r="22" spans="2:34">
      <c r="B22" s="274" t="s">
        <v>1553</v>
      </c>
      <c r="E22" s="199">
        <f t="shared" ref="E22:E24" si="55">SUM(J22:U22)</f>
        <v>-2</v>
      </c>
      <c r="F22" s="199">
        <f t="shared" ref="F22:F24" si="56">SUM(V22:AD22)</f>
        <v>-23</v>
      </c>
      <c r="H22" s="199">
        <f t="shared" ref="H22:H24" si="57">SUM(S22:AD22)</f>
        <v>-23</v>
      </c>
      <c r="J22" s="197">
        <f t="shared" ref="J22:AD22" si="58">+J35+J48</f>
        <v>0</v>
      </c>
      <c r="K22" s="197">
        <f t="shared" si="58"/>
        <v>0</v>
      </c>
      <c r="L22" s="197">
        <f t="shared" si="58"/>
        <v>0</v>
      </c>
      <c r="M22" s="197">
        <f t="shared" si="58"/>
        <v>0</v>
      </c>
      <c r="N22" s="197">
        <f t="shared" si="58"/>
        <v>0</v>
      </c>
      <c r="O22" s="197">
        <f t="shared" si="58"/>
        <v>0</v>
      </c>
      <c r="P22" s="197">
        <f t="shared" si="58"/>
        <v>-2</v>
      </c>
      <c r="Q22" s="197">
        <f t="shared" si="58"/>
        <v>0</v>
      </c>
      <c r="R22" s="197">
        <f t="shared" si="58"/>
        <v>0</v>
      </c>
      <c r="S22" s="197">
        <f t="shared" si="58"/>
        <v>0</v>
      </c>
      <c r="T22" s="197">
        <f t="shared" si="58"/>
        <v>0</v>
      </c>
      <c r="U22" s="197">
        <f t="shared" si="58"/>
        <v>0</v>
      </c>
      <c r="V22" s="197">
        <f t="shared" si="58"/>
        <v>0</v>
      </c>
      <c r="W22" s="197">
        <f t="shared" si="58"/>
        <v>-1</v>
      </c>
      <c r="X22" s="197">
        <f t="shared" si="58"/>
        <v>-2</v>
      </c>
      <c r="Y22" s="197">
        <f t="shared" si="58"/>
        <v>-3</v>
      </c>
      <c r="Z22" s="197">
        <f t="shared" si="58"/>
        <v>-11</v>
      </c>
      <c r="AA22" s="197">
        <f t="shared" si="58"/>
        <v>-4</v>
      </c>
      <c r="AB22" s="197">
        <f t="shared" si="58"/>
        <v>-2</v>
      </c>
      <c r="AC22" s="197">
        <f t="shared" si="58"/>
        <v>0</v>
      </c>
      <c r="AD22" s="197">
        <f t="shared" si="58"/>
        <v>0</v>
      </c>
    </row>
    <row r="23" spans="2:34">
      <c r="B23" s="274" t="s">
        <v>1554</v>
      </c>
      <c r="E23" s="199">
        <f t="shared" si="55"/>
        <v>-1</v>
      </c>
      <c r="F23" s="199">
        <f t="shared" si="56"/>
        <v>-4</v>
      </c>
      <c r="H23" s="199">
        <f t="shared" si="57"/>
        <v>-5</v>
      </c>
      <c r="J23" s="197">
        <f t="shared" ref="J23:AD23" si="59">+J36+J49</f>
        <v>0</v>
      </c>
      <c r="K23" s="197">
        <f t="shared" si="59"/>
        <v>0</v>
      </c>
      <c r="L23" s="197">
        <f t="shared" si="59"/>
        <v>0</v>
      </c>
      <c r="M23" s="197">
        <f t="shared" si="59"/>
        <v>0</v>
      </c>
      <c r="N23" s="197">
        <f t="shared" si="59"/>
        <v>0</v>
      </c>
      <c r="O23" s="197">
        <f t="shared" si="59"/>
        <v>0</v>
      </c>
      <c r="P23" s="197">
        <f t="shared" si="59"/>
        <v>0</v>
      </c>
      <c r="Q23" s="197">
        <f t="shared" si="59"/>
        <v>0</v>
      </c>
      <c r="R23" s="197">
        <f t="shared" si="59"/>
        <v>0</v>
      </c>
      <c r="S23" s="197">
        <f t="shared" si="59"/>
        <v>0</v>
      </c>
      <c r="T23" s="197">
        <f t="shared" si="59"/>
        <v>0</v>
      </c>
      <c r="U23" s="197">
        <f t="shared" si="59"/>
        <v>-1</v>
      </c>
      <c r="V23" s="197">
        <f t="shared" si="59"/>
        <v>-1</v>
      </c>
      <c r="W23" s="197">
        <f t="shared" si="59"/>
        <v>0</v>
      </c>
      <c r="X23" s="197">
        <f t="shared" si="59"/>
        <v>0</v>
      </c>
      <c r="Y23" s="197">
        <f t="shared" si="59"/>
        <v>-1</v>
      </c>
      <c r="Z23" s="197">
        <f t="shared" si="59"/>
        <v>-2</v>
      </c>
      <c r="AA23" s="197">
        <f t="shared" si="59"/>
        <v>0</v>
      </c>
      <c r="AB23" s="197">
        <f t="shared" si="59"/>
        <v>0</v>
      </c>
      <c r="AC23" s="197">
        <f t="shared" si="59"/>
        <v>0</v>
      </c>
      <c r="AD23" s="197">
        <f t="shared" si="59"/>
        <v>0</v>
      </c>
    </row>
    <row r="24" spans="2:34">
      <c r="B24" s="274" t="s">
        <v>1555</v>
      </c>
      <c r="E24" s="199">
        <f t="shared" si="55"/>
        <v>0</v>
      </c>
      <c r="F24" s="199">
        <f t="shared" si="56"/>
        <v>-8</v>
      </c>
      <c r="H24" s="199">
        <f t="shared" si="57"/>
        <v>-8</v>
      </c>
      <c r="J24" s="197">
        <f t="shared" ref="J24:AD24" si="60">+J37+J50</f>
        <v>0</v>
      </c>
      <c r="K24" s="197">
        <f t="shared" si="60"/>
        <v>0</v>
      </c>
      <c r="L24" s="197">
        <f t="shared" si="60"/>
        <v>0</v>
      </c>
      <c r="M24" s="197">
        <f t="shared" si="60"/>
        <v>0</v>
      </c>
      <c r="N24" s="197">
        <f t="shared" si="60"/>
        <v>0</v>
      </c>
      <c r="O24" s="197">
        <f t="shared" si="60"/>
        <v>0</v>
      </c>
      <c r="P24" s="197">
        <f t="shared" si="60"/>
        <v>0</v>
      </c>
      <c r="Q24" s="197">
        <f t="shared" si="60"/>
        <v>0</v>
      </c>
      <c r="R24" s="197">
        <f t="shared" si="60"/>
        <v>0</v>
      </c>
      <c r="S24" s="197">
        <f t="shared" si="60"/>
        <v>0</v>
      </c>
      <c r="T24" s="197">
        <f t="shared" si="60"/>
        <v>0</v>
      </c>
      <c r="U24" s="197">
        <f t="shared" si="60"/>
        <v>0</v>
      </c>
      <c r="V24" s="197">
        <f t="shared" si="60"/>
        <v>0</v>
      </c>
      <c r="W24" s="197">
        <f t="shared" si="60"/>
        <v>0</v>
      </c>
      <c r="X24" s="197">
        <f t="shared" si="60"/>
        <v>-3</v>
      </c>
      <c r="Y24" s="197">
        <f t="shared" si="60"/>
        <v>-1</v>
      </c>
      <c r="Z24" s="197">
        <f t="shared" si="60"/>
        <v>-1</v>
      </c>
      <c r="AA24" s="197">
        <f t="shared" si="60"/>
        <v>0</v>
      </c>
      <c r="AB24" s="197">
        <f t="shared" si="60"/>
        <v>-1</v>
      </c>
      <c r="AC24" s="197">
        <f t="shared" si="60"/>
        <v>-2</v>
      </c>
      <c r="AD24" s="197">
        <f t="shared" si="60"/>
        <v>0</v>
      </c>
    </row>
    <row r="25" spans="2:34" ht="12" customHeight="1">
      <c r="B25" s="264" t="s">
        <v>1557</v>
      </c>
      <c r="C25" s="267"/>
      <c r="D25" s="267"/>
      <c r="E25" s="265">
        <f>SUM(J25:U25)</f>
        <v>-3</v>
      </c>
      <c r="F25" s="265">
        <f>SUM(V25:AD25)</f>
        <v>-35</v>
      </c>
      <c r="G25" s="266"/>
      <c r="H25" s="265">
        <f>SUM(S25:AD25)</f>
        <v>-36</v>
      </c>
      <c r="I25" s="266"/>
      <c r="J25" s="267">
        <f>+J38+J51</f>
        <v>0</v>
      </c>
      <c r="K25" s="267">
        <f>+K38+K51</f>
        <v>0</v>
      </c>
      <c r="L25" s="267">
        <f>+L38+L51</f>
        <v>0</v>
      </c>
      <c r="M25" s="267">
        <f>+M38+M51</f>
        <v>0</v>
      </c>
      <c r="N25" s="267">
        <f>+N38+N51</f>
        <v>0</v>
      </c>
      <c r="O25" s="267">
        <f>+O38+O51</f>
        <v>0</v>
      </c>
      <c r="P25" s="267">
        <f>+P38+P51</f>
        <v>-2</v>
      </c>
      <c r="Q25" s="267">
        <f>+Q38+Q51</f>
        <v>0</v>
      </c>
      <c r="R25" s="267">
        <f>+R38+R51</f>
        <v>0</v>
      </c>
      <c r="S25" s="267">
        <f>+S38+S51</f>
        <v>0</v>
      </c>
      <c r="T25" s="267">
        <f>+T38+T51</f>
        <v>0</v>
      </c>
      <c r="U25" s="267">
        <f>+U38+U51</f>
        <v>-1</v>
      </c>
      <c r="V25" s="267">
        <f>+V38+V51</f>
        <v>-1</v>
      </c>
      <c r="W25" s="267">
        <f>+W38+W51</f>
        <v>-1</v>
      </c>
      <c r="X25" s="267">
        <f>+X38+X51</f>
        <v>-5</v>
      </c>
      <c r="Y25" s="267">
        <f>+Y38+Y51</f>
        <v>-5</v>
      </c>
      <c r="Z25" s="267">
        <f>+Z38+Z51</f>
        <v>-14</v>
      </c>
      <c r="AA25" s="267">
        <f>+AA38+AA51</f>
        <v>-4</v>
      </c>
      <c r="AB25" s="267">
        <f>+AB38+AB51</f>
        <v>-3</v>
      </c>
      <c r="AC25" s="267">
        <f>+AC38+AC51</f>
        <v>-2</v>
      </c>
      <c r="AD25" s="267">
        <f>+AD38+AD51</f>
        <v>0</v>
      </c>
    </row>
    <row r="26" spans="2:34" ht="12" customHeight="1">
      <c r="B26" s="268" t="s">
        <v>1324</v>
      </c>
      <c r="C26" s="269"/>
      <c r="D26" s="269"/>
      <c r="E26" s="269">
        <f>+F20</f>
        <v>143</v>
      </c>
      <c r="F26" s="270">
        <f>+$AD26</f>
        <v>166</v>
      </c>
      <c r="H26" s="273">
        <f>+$AD26</f>
        <v>166</v>
      </c>
      <c r="J26" s="271">
        <f t="shared" ref="J26" si="61">+K20</f>
        <v>81</v>
      </c>
      <c r="K26" s="269">
        <f t="shared" ref="K26" si="62">+L20</f>
        <v>83</v>
      </c>
      <c r="L26" s="269">
        <f t="shared" ref="L26" si="63">+M20</f>
        <v>89</v>
      </c>
      <c r="M26" s="269">
        <f t="shared" ref="M26" si="64">+N20</f>
        <v>97</v>
      </c>
      <c r="N26" s="269">
        <f t="shared" ref="N26" si="65">+O20</f>
        <v>104</v>
      </c>
      <c r="O26" s="269">
        <f t="shared" ref="O26" si="66">+P20</f>
        <v>109</v>
      </c>
      <c r="P26" s="269">
        <f>+Q20</f>
        <v>113</v>
      </c>
      <c r="Q26" s="269">
        <f t="shared" ref="Q26" si="67">+R20</f>
        <v>119</v>
      </c>
      <c r="R26" s="269">
        <f t="shared" ref="R26" si="68">+S20</f>
        <v>123</v>
      </c>
      <c r="S26" s="269">
        <f t="shared" ref="S26" si="69">+T20</f>
        <v>128</v>
      </c>
      <c r="T26" s="269">
        <f t="shared" ref="T26" si="70">+U20</f>
        <v>134</v>
      </c>
      <c r="U26" s="269">
        <f t="shared" ref="U26" si="71">+V20</f>
        <v>143</v>
      </c>
      <c r="V26" s="269">
        <f t="shared" ref="V26" si="72">+W20</f>
        <v>152</v>
      </c>
      <c r="W26" s="269">
        <f t="shared" ref="W26" si="73">+X20</f>
        <v>160</v>
      </c>
      <c r="X26" s="269">
        <f t="shared" ref="X26" si="74">+Y20</f>
        <v>161</v>
      </c>
      <c r="Y26" s="269">
        <f t="shared" ref="Y26" si="75">+Z20</f>
        <v>166</v>
      </c>
      <c r="Z26" s="269">
        <f t="shared" ref="Z26" si="76">+AA20</f>
        <v>159</v>
      </c>
      <c r="AA26" s="269">
        <f>+AB20</f>
        <v>159</v>
      </c>
      <c r="AB26" s="269">
        <f>+AB39+AB52</f>
        <v>161</v>
      </c>
      <c r="AC26" s="269">
        <f t="shared" ref="AC26:AD26" si="77">+AC39+AC52</f>
        <v>162</v>
      </c>
      <c r="AD26" s="272">
        <f t="shared" si="77"/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1542</v>
      </c>
      <c r="C28" s="239"/>
      <c r="D28" s="239"/>
      <c r="E28" s="240">
        <f>(E21+E20)/E20-1</f>
        <v>1.0277777777777777</v>
      </c>
      <c r="F28" s="251">
        <f>(F21+F20)/F20-1</f>
        <v>0.40559440559440563</v>
      </c>
      <c r="G28" s="252"/>
      <c r="H28" s="253">
        <f>(H21+H20)/H20-1</f>
        <v>0.64227642276422769</v>
      </c>
      <c r="J28" s="250">
        <f t="shared" ref="J28:AB28" si="78">(J21+J20)/J20-1</f>
        <v>0.125</v>
      </c>
      <c r="K28" s="240">
        <f t="shared" si="78"/>
        <v>2.4691358024691468E-2</v>
      </c>
      <c r="L28" s="240">
        <f t="shared" si="78"/>
        <v>7.2289156626506035E-2</v>
      </c>
      <c r="M28" s="240">
        <f t="shared" si="78"/>
        <v>8.98876404494382E-2</v>
      </c>
      <c r="N28" s="240">
        <f t="shared" si="78"/>
        <v>7.2164948453608213E-2</v>
      </c>
      <c r="O28" s="240">
        <f t="shared" si="78"/>
        <v>4.8076923076923128E-2</v>
      </c>
      <c r="P28" s="240">
        <f t="shared" si="78"/>
        <v>5.504587155963292E-2</v>
      </c>
      <c r="Q28" s="240">
        <f t="shared" si="78"/>
        <v>5.3097345132743445E-2</v>
      </c>
      <c r="R28" s="240">
        <f t="shared" si="78"/>
        <v>3.3613445378151363E-2</v>
      </c>
      <c r="S28" s="240">
        <f t="shared" si="78"/>
        <v>4.0650406504065151E-2</v>
      </c>
      <c r="T28" s="240">
        <f t="shared" si="78"/>
        <v>4.6875E-2</v>
      </c>
      <c r="U28" s="240">
        <f t="shared" si="78"/>
        <v>7.4626865671641784E-2</v>
      </c>
      <c r="V28" s="240">
        <f t="shared" si="78"/>
        <v>6.9930069930070005E-2</v>
      </c>
      <c r="W28" s="240">
        <f t="shared" si="78"/>
        <v>5.921052631578938E-2</v>
      </c>
      <c r="X28" s="240">
        <f t="shared" si="78"/>
        <v>3.7500000000000089E-2</v>
      </c>
      <c r="Y28" s="240">
        <f t="shared" si="78"/>
        <v>6.211180124223592E-2</v>
      </c>
      <c r="Z28" s="240">
        <f t="shared" si="78"/>
        <v>4.2168674698795261E-2</v>
      </c>
      <c r="AA28" s="240">
        <f t="shared" si="78"/>
        <v>2.515723270440251E-2</v>
      </c>
      <c r="AB28" s="240">
        <f t="shared" si="78"/>
        <v>3.1446540880503138E-2</v>
      </c>
      <c r="AC28" s="240">
        <f t="shared" ref="AC28:AD28" si="79">(AC21+AC20)/AC20-1</f>
        <v>1.8633540372670732E-2</v>
      </c>
      <c r="AD28" s="251">
        <f t="shared" si="79"/>
        <v>2.4691358024691468E-2</v>
      </c>
    </row>
    <row r="29" spans="2:34">
      <c r="B29" s="241" t="s">
        <v>1543</v>
      </c>
      <c r="C29" s="242"/>
      <c r="D29" s="242"/>
      <c r="E29" s="243">
        <f>(E25+E20)/E20-1</f>
        <v>-4.166666666666663E-2</v>
      </c>
      <c r="F29" s="244">
        <f>(F25+F20)/F20-1</f>
        <v>-0.24475524475524479</v>
      </c>
      <c r="G29" s="252"/>
      <c r="H29" s="246">
        <f>(H25+H20)/H20-1</f>
        <v>-0.29268292682926833</v>
      </c>
      <c r="J29" s="245">
        <f t="shared" ref="J29:AB29" si="80">(J25+J20)/J20-1</f>
        <v>0</v>
      </c>
      <c r="K29" s="243">
        <f t="shared" si="80"/>
        <v>0</v>
      </c>
      <c r="L29" s="243">
        <f t="shared" si="80"/>
        <v>0</v>
      </c>
      <c r="M29" s="243">
        <f t="shared" si="80"/>
        <v>0</v>
      </c>
      <c r="N29" s="243">
        <f t="shared" si="80"/>
        <v>0</v>
      </c>
      <c r="O29" s="243">
        <f t="shared" si="80"/>
        <v>0</v>
      </c>
      <c r="P29" s="243">
        <f t="shared" si="80"/>
        <v>-1.834862385321101E-2</v>
      </c>
      <c r="Q29" s="243">
        <f t="shared" si="80"/>
        <v>0</v>
      </c>
      <c r="R29" s="243">
        <f t="shared" si="80"/>
        <v>0</v>
      </c>
      <c r="S29" s="243">
        <f t="shared" si="80"/>
        <v>0</v>
      </c>
      <c r="T29" s="243">
        <f t="shared" si="80"/>
        <v>0</v>
      </c>
      <c r="U29" s="243">
        <f t="shared" si="80"/>
        <v>-7.4626865671642006E-3</v>
      </c>
      <c r="V29" s="243">
        <f t="shared" si="80"/>
        <v>-6.9930069930069783E-3</v>
      </c>
      <c r="W29" s="243">
        <f t="shared" si="80"/>
        <v>-6.5789473684210176E-3</v>
      </c>
      <c r="X29" s="243">
        <f t="shared" si="80"/>
        <v>-3.125E-2</v>
      </c>
      <c r="Y29" s="243">
        <f t="shared" si="80"/>
        <v>-3.105590062111796E-2</v>
      </c>
      <c r="Z29" s="243">
        <f t="shared" si="80"/>
        <v>-8.4337349397590411E-2</v>
      </c>
      <c r="AA29" s="243">
        <f t="shared" si="80"/>
        <v>-2.515723270440251E-2</v>
      </c>
      <c r="AB29" s="243">
        <f t="shared" si="80"/>
        <v>-1.8867924528301883E-2</v>
      </c>
      <c r="AC29" s="243">
        <f t="shared" ref="AC29:AD29" si="81">(AC25+AC20)/AC20-1</f>
        <v>-1.2422360248447228E-2</v>
      </c>
      <c r="AD29" s="244">
        <f t="shared" si="81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1325</v>
      </c>
      <c r="D31" s="178" t="s">
        <v>3</v>
      </c>
      <c r="E31" s="178" t="s">
        <v>4</v>
      </c>
      <c r="F31" s="178" t="s">
        <v>1327</v>
      </c>
      <c r="G31" s="195"/>
      <c r="H31" s="178" t="s">
        <v>1552</v>
      </c>
      <c r="J31" s="194">
        <v>45658</v>
      </c>
      <c r="K31" s="194">
        <f t="shared" ref="K31" si="82">EOMONTH(J31,0)+1</f>
        <v>45689</v>
      </c>
      <c r="L31" s="194">
        <f t="shared" ref="L31" si="83">EOMONTH(K31,0)+1</f>
        <v>45717</v>
      </c>
      <c r="M31" s="194">
        <f t="shared" ref="M31" si="84">EOMONTH(L31,0)+1</f>
        <v>45748</v>
      </c>
      <c r="N31" s="194">
        <f t="shared" ref="N31" si="85">EOMONTH(M31,0)+1</f>
        <v>45778</v>
      </c>
      <c r="O31" s="194">
        <f t="shared" ref="O31" si="86">EOMONTH(N31,0)+1</f>
        <v>45809</v>
      </c>
      <c r="P31" s="194">
        <f t="shared" ref="P31" si="87">EOMONTH(O31,0)+1</f>
        <v>45839</v>
      </c>
      <c r="Q31" s="194">
        <v>45870</v>
      </c>
      <c r="R31" s="194">
        <f t="shared" ref="R31" si="88">EOMONTH(Q31,0)+1</f>
        <v>45901</v>
      </c>
      <c r="S31" s="194">
        <f t="shared" ref="S31" si="89">EOMONTH(R31,0)+1</f>
        <v>45931</v>
      </c>
      <c r="T31" s="194">
        <f t="shared" ref="T31" si="90">EOMONTH(S31,0)+1</f>
        <v>45962</v>
      </c>
      <c r="U31" s="194">
        <f t="shared" ref="U31" si="91">EOMONTH(T31,0)+1</f>
        <v>45992</v>
      </c>
      <c r="V31" s="194">
        <f t="shared" ref="V31" si="92">EOMONTH(U31,0)+1</f>
        <v>46023</v>
      </c>
      <c r="W31" s="194">
        <f t="shared" ref="W31" si="93">EOMONTH(V31,0)+1</f>
        <v>46054</v>
      </c>
      <c r="X31" s="194">
        <f t="shared" ref="X31" si="94">EOMONTH(W31,0)+1</f>
        <v>46082</v>
      </c>
      <c r="Y31" s="194">
        <f t="shared" ref="Y31" si="95">EOMONTH(X31,0)+1</f>
        <v>46113</v>
      </c>
      <c r="Z31" s="194">
        <f t="shared" ref="Z31" si="96">EOMONTH(Y31,0)+1</f>
        <v>46143</v>
      </c>
      <c r="AA31" s="194">
        <f t="shared" ref="AA31" si="97">EOMONTH(Z31,0)+1</f>
        <v>46174</v>
      </c>
      <c r="AB31" s="194">
        <f t="shared" ref="AB31" si="98">EOMONTH(AA31,0)+1</f>
        <v>46204</v>
      </c>
      <c r="AC31" s="194">
        <f t="shared" ref="AC31" si="99">EOMONTH(AB31,0)+1</f>
        <v>46235</v>
      </c>
      <c r="AD31" s="194">
        <f t="shared" ref="AD31" si="100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>+J39-J34-J38</f>
        <v>59</v>
      </c>
      <c r="K33" s="184">
        <f>+K39-K34-K38</f>
        <v>66</v>
      </c>
      <c r="L33" s="184">
        <f>+L39-L34-L38</f>
        <v>68</v>
      </c>
      <c r="M33" s="184">
        <f>+M39-M34-M38</f>
        <v>74</v>
      </c>
      <c r="N33" s="184">
        <f>+N39-N34-N38</f>
        <v>81</v>
      </c>
      <c r="O33" s="184">
        <f>+O39-O34-O38</f>
        <v>86</v>
      </c>
      <c r="P33" s="184">
        <f>+P39-P34-P38</f>
        <v>89</v>
      </c>
      <c r="Q33" s="184">
        <f>+Q39-Q34-Q38</f>
        <v>92</v>
      </c>
      <c r="R33" s="184">
        <f>+R39-R34-R38</f>
        <v>96</v>
      </c>
      <c r="S33" s="184">
        <f>+S39-S34-S38</f>
        <v>100</v>
      </c>
      <c r="T33" s="184">
        <f>+T39-T34-T38</f>
        <v>104</v>
      </c>
      <c r="U33" s="184">
        <f>+U39-U34-U38</f>
        <v>109</v>
      </c>
      <c r="V33" s="184">
        <f>+V39-V34-V38</f>
        <v>115</v>
      </c>
      <c r="W33" s="184">
        <f>+W39-W34-W38</f>
        <v>121</v>
      </c>
      <c r="X33" s="184">
        <f>+X39-X34-X38</f>
        <v>126</v>
      </c>
      <c r="Y33" s="184">
        <f>+Y39-Y34-Y38</f>
        <v>127</v>
      </c>
      <c r="Z33" s="184">
        <f>+Z39-Z34-Z38</f>
        <v>131</v>
      </c>
      <c r="AA33" s="184">
        <f>+AA39-AA34-AA38</f>
        <v>131</v>
      </c>
      <c r="AB33" s="184">
        <f>+AB39-AB34-AB38</f>
        <v>132</v>
      </c>
      <c r="AC33" s="184">
        <f>+AC39-AC34-AC38</f>
        <v>133</v>
      </c>
      <c r="AD33" s="184">
        <f>+AD39-AD34-AD38</f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74" t="s">
        <v>1553</v>
      </c>
      <c r="E35" s="199">
        <f t="shared" ref="E35" si="101">SUM(J35:U35)</f>
        <v>-2</v>
      </c>
      <c r="F35" s="199">
        <f t="shared" ref="F35" si="102">SUM(V35:AD35)</f>
        <v>-14</v>
      </c>
      <c r="H35" s="199">
        <f t="shared" ref="H35" si="103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74" t="s">
        <v>1554</v>
      </c>
      <c r="E36" s="199">
        <f t="shared" ref="E36" si="104">SUM(J36:U36)</f>
        <v>-1</v>
      </c>
      <c r="F36" s="199">
        <f t="shared" ref="F36" si="105">SUM(V36:AD36)</f>
        <v>-4</v>
      </c>
      <c r="H36" s="199">
        <f t="shared" ref="H36" si="106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74" t="s">
        <v>1555</v>
      </c>
      <c r="E37" s="199">
        <f t="shared" ref="E37" si="107">SUM(J37:U37)</f>
        <v>0</v>
      </c>
      <c r="F37" s="199">
        <f t="shared" ref="F37" si="108">SUM(V37:AD37)</f>
        <v>-7</v>
      </c>
      <c r="H37" s="199">
        <f t="shared" ref="H37" si="109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1556</v>
      </c>
    </row>
    <row r="38" spans="2:34" ht="12" customHeight="1">
      <c r="B38" s="264" t="s">
        <v>1557</v>
      </c>
      <c r="C38" s="267"/>
      <c r="D38" s="267"/>
      <c r="E38" s="265">
        <f>SUM(J38:U38)</f>
        <v>-3</v>
      </c>
      <c r="F38" s="265">
        <f>SUM(V38:AD38)</f>
        <v>-25</v>
      </c>
      <c r="G38" s="266"/>
      <c r="H38" s="265">
        <f>SUM(S38:AD38)</f>
        <v>-26</v>
      </c>
      <c r="I38" s="266"/>
      <c r="J38" s="267">
        <f>-COUNTIFS('Full Customer List'!$J:$J,J$1,'Full Customer List'!$E:$E,'Client Retention'!$AF$31)</f>
        <v>0</v>
      </c>
      <c r="K38" s="267">
        <f>-COUNTIFS('Full Customer List'!$J:$J,K$1,'Full Customer List'!$E:$E,'Client Retention'!$AF$31)</f>
        <v>0</v>
      </c>
      <c r="L38" s="267">
        <f>-COUNTIFS('Full Customer List'!$J:$J,L$1,'Full Customer List'!$E:$E,'Client Retention'!$AF$31)</f>
        <v>0</v>
      </c>
      <c r="M38" s="267">
        <f>-COUNTIFS('Full Customer List'!$J:$J,M$1,'Full Customer List'!$E:$E,'Client Retention'!$AF$31)</f>
        <v>0</v>
      </c>
      <c r="N38" s="267">
        <f>-COUNTIFS('Full Customer List'!$J:$J,N$1,'Full Customer List'!$E:$E,'Client Retention'!$AF$31)</f>
        <v>0</v>
      </c>
      <c r="O38" s="267">
        <f>-COUNTIFS('Full Customer List'!$J:$J,O$1,'Full Customer List'!$E:$E,'Client Retention'!$AF$31)</f>
        <v>0</v>
      </c>
      <c r="P38" s="267">
        <f>-COUNTIFS('Full Customer List'!$J:$J,P$1,'Full Customer List'!$E:$E,'Client Retention'!$AF$31)</f>
        <v>-2</v>
      </c>
      <c r="Q38" s="267">
        <f>-COUNTIFS('Full Customer List'!$J:$J,Q$1,'Full Customer List'!$E:$E,'Client Retention'!$AF$31)</f>
        <v>0</v>
      </c>
      <c r="R38" s="267">
        <f>-COUNTIFS('Full Customer List'!$J:$J,R$1,'Full Customer List'!$E:$E,'Client Retention'!$AF$31)</f>
        <v>0</v>
      </c>
      <c r="S38" s="267">
        <f>-COUNTIFS('Full Customer List'!$J:$J,S$1,'Full Customer List'!$E:$E,'Client Retention'!$AF$31)</f>
        <v>0</v>
      </c>
      <c r="T38" s="267">
        <f>-COUNTIFS('Full Customer List'!$J:$J,T$1,'Full Customer List'!$E:$E,'Client Retention'!$AF$31)</f>
        <v>0</v>
      </c>
      <c r="U38" s="267">
        <f>-COUNTIFS('Full Customer List'!$J:$J,U$1,'Full Customer List'!$E:$E,'Client Retention'!$AF$31)</f>
        <v>-1</v>
      </c>
      <c r="V38" s="267">
        <f>-COUNTIFS('Full Customer List'!$J:$J,V$1,'Full Customer List'!$E:$E,'Client Retention'!$AF$31)</f>
        <v>-1</v>
      </c>
      <c r="W38" s="267">
        <f>-COUNTIFS('Full Customer List'!$J:$J,W$1,'Full Customer List'!$E:$E,'Client Retention'!$AF$31)</f>
        <v>-1</v>
      </c>
      <c r="X38" s="267">
        <f>-COUNTIFS('Full Customer List'!$J:$J,X$1,'Full Customer List'!$E:$E,'Client Retention'!$AF$31)</f>
        <v>-4</v>
      </c>
      <c r="Y38" s="267">
        <f>-COUNTIFS('Full Customer List'!$J:$J,Y$1,'Full Customer List'!$E:$E,'Client Retention'!$AF$31)</f>
        <v>-4</v>
      </c>
      <c r="Z38" s="267">
        <f>-COUNTIFS('Full Customer List'!$J:$J,Z$1,'Full Customer List'!$E:$E,'Client Retention'!$AF$31)</f>
        <v>-7</v>
      </c>
      <c r="AA38" s="267">
        <f>-COUNTIFS('Full Customer List'!$J:$J,AA$1,'Full Customer List'!$E:$E,'Client Retention'!$AF$31)</f>
        <v>-3</v>
      </c>
      <c r="AB38" s="267">
        <f>-COUNTIFS('Full Customer List'!$J:$J,AB$1,'Full Customer List'!$E:$E,'Client Retention'!$AF$31)</f>
        <v>-3</v>
      </c>
      <c r="AC38" s="267">
        <f>-COUNTIFS('Full Customer List'!$J:$J,AC$1,'Full Customer List'!$E:$E,'Client Retention'!$AF$31)</f>
        <v>-2</v>
      </c>
      <c r="AD38" s="267">
        <f>-COUNTIFS('Full Customer List'!$J:$J,AD$1,'Full Customer List'!$E:$E,'Client Retention'!$AF$31)</f>
        <v>0</v>
      </c>
    </row>
    <row r="39" spans="2:34" ht="12" customHeight="1">
      <c r="B39" s="268" t="s">
        <v>1324</v>
      </c>
      <c r="C39" s="269"/>
      <c r="D39" s="269"/>
      <c r="E39" s="269">
        <f>+F33</f>
        <v>115</v>
      </c>
      <c r="F39" s="270">
        <f>+$AD39</f>
        <v>138</v>
      </c>
      <c r="H39" s="273">
        <f>+$AD39</f>
        <v>138</v>
      </c>
      <c r="J39" s="271">
        <f>+K33</f>
        <v>66</v>
      </c>
      <c r="K39" s="269">
        <f>+L33</f>
        <v>68</v>
      </c>
      <c r="L39" s="269">
        <f>+M33</f>
        <v>74</v>
      </c>
      <c r="M39" s="269">
        <f>+N33</f>
        <v>81</v>
      </c>
      <c r="N39" s="269">
        <f>+O33</f>
        <v>86</v>
      </c>
      <c r="O39" s="269">
        <f>+P33</f>
        <v>89</v>
      </c>
      <c r="P39" s="269">
        <f>+Q33</f>
        <v>92</v>
      </c>
      <c r="Q39" s="269">
        <f>+R33</f>
        <v>96</v>
      </c>
      <c r="R39" s="269">
        <f>+S33</f>
        <v>100</v>
      </c>
      <c r="S39" s="269">
        <f>+T33</f>
        <v>104</v>
      </c>
      <c r="T39" s="269">
        <f>+U33</f>
        <v>109</v>
      </c>
      <c r="U39" s="269">
        <f>+V33</f>
        <v>115</v>
      </c>
      <c r="V39" s="269">
        <f>+W33</f>
        <v>121</v>
      </c>
      <c r="W39" s="269">
        <f>+X33</f>
        <v>126</v>
      </c>
      <c r="X39" s="269">
        <f>+Y33</f>
        <v>127</v>
      </c>
      <c r="Y39" s="269">
        <f>+Z33</f>
        <v>131</v>
      </c>
      <c r="Z39" s="269">
        <f>+AA33</f>
        <v>131</v>
      </c>
      <c r="AA39" s="269">
        <f>+AB33</f>
        <v>132</v>
      </c>
      <c r="AB39" s="269">
        <f>+AC33</f>
        <v>133</v>
      </c>
      <c r="AC39" s="269">
        <f>+AD33</f>
        <v>134</v>
      </c>
      <c r="AD39" s="272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1542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>(J34+J33)/J33-1</f>
        <v>0.11864406779661008</v>
      </c>
      <c r="K41" s="240">
        <f>(K34+K33)/K33-1</f>
        <v>3.0303030303030276E-2</v>
      </c>
      <c r="L41" s="240">
        <f>(L34+L33)/L33-1</f>
        <v>8.8235294117646967E-2</v>
      </c>
      <c r="M41" s="240">
        <f>(M34+M33)/M33-1</f>
        <v>9.4594594594594517E-2</v>
      </c>
      <c r="N41" s="240">
        <f>(N34+N33)/N33-1</f>
        <v>6.1728395061728447E-2</v>
      </c>
      <c r="O41" s="240">
        <f>(O34+O33)/O33-1</f>
        <v>3.488372093023262E-2</v>
      </c>
      <c r="P41" s="240">
        <f>(P34+P33)/P33-1</f>
        <v>5.6179775280898792E-2</v>
      </c>
      <c r="Q41" s="240">
        <f>(Q34+Q33)/Q33-1</f>
        <v>4.3478260869565188E-2</v>
      </c>
      <c r="R41" s="240">
        <f>(R34+R33)/R33-1</f>
        <v>4.1666666666666741E-2</v>
      </c>
      <c r="S41" s="240">
        <f>(S34+S33)/S33-1</f>
        <v>4.0000000000000036E-2</v>
      </c>
      <c r="T41" s="240">
        <f>(T34+T33)/T33-1</f>
        <v>4.8076923076923128E-2</v>
      </c>
      <c r="U41" s="240">
        <f>(U34+U33)/U33-1</f>
        <v>6.4220183486238591E-2</v>
      </c>
      <c r="V41" s="240">
        <f>(V34+V33)/V33-1</f>
        <v>6.0869565217391397E-2</v>
      </c>
      <c r="W41" s="240">
        <f>(W34+W33)/W33-1</f>
        <v>4.9586776859504189E-2</v>
      </c>
      <c r="X41" s="240">
        <f>(X34+X33)/X33-1</f>
        <v>3.9682539682539764E-2</v>
      </c>
      <c r="Y41" s="240">
        <f>(Y34+Y33)/Y33-1</f>
        <v>6.2992125984252079E-2</v>
      </c>
      <c r="Z41" s="240">
        <f>(Z34+Z33)/Z33-1</f>
        <v>5.3435114503816772E-2</v>
      </c>
      <c r="AA41" s="240">
        <f>(AA34+AA33)/AA33-1</f>
        <v>3.0534351145038219E-2</v>
      </c>
      <c r="AB41" s="240">
        <f>(AB34+AB33)/AB33-1</f>
        <v>3.0303030303030276E-2</v>
      </c>
      <c r="AC41" s="240">
        <f>(AC34+AC33)/AC33-1</f>
        <v>2.2556390977443552E-2</v>
      </c>
      <c r="AD41" s="251">
        <f>(AD34+AD33)/AD33-1</f>
        <v>2.9850746268656803E-2</v>
      </c>
    </row>
    <row r="42" spans="2:34">
      <c r="B42" s="241" t="s">
        <v>1543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>(J38+J33)/J33-1</f>
        <v>0</v>
      </c>
      <c r="K42" s="243">
        <f>(K38+K33)/K33-1</f>
        <v>0</v>
      </c>
      <c r="L42" s="243">
        <f>(L38+L33)/L33-1</f>
        <v>0</v>
      </c>
      <c r="M42" s="243">
        <f>(M38+M33)/M33-1</f>
        <v>0</v>
      </c>
      <c r="N42" s="243">
        <f>(N38+N33)/N33-1</f>
        <v>0</v>
      </c>
      <c r="O42" s="243">
        <f>(O38+O33)/O33-1</f>
        <v>0</v>
      </c>
      <c r="P42" s="243">
        <f>(P38+P33)/P33-1</f>
        <v>-2.2471910112359605E-2</v>
      </c>
      <c r="Q42" s="243">
        <f>(Q38+Q33)/Q33-1</f>
        <v>0</v>
      </c>
      <c r="R42" s="243">
        <f>(R38+R33)/R33-1</f>
        <v>0</v>
      </c>
      <c r="S42" s="243">
        <f>(S38+S33)/S33-1</f>
        <v>0</v>
      </c>
      <c r="T42" s="243">
        <f>(T38+T33)/T33-1</f>
        <v>0</v>
      </c>
      <c r="U42" s="243">
        <f>(U38+U33)/U33-1</f>
        <v>-9.1743119266054496E-3</v>
      </c>
      <c r="V42" s="243">
        <f>(V38+V33)/V33-1</f>
        <v>-8.6956521739129933E-3</v>
      </c>
      <c r="W42" s="243">
        <f>(W38+W33)/W33-1</f>
        <v>-8.2644628099173278E-3</v>
      </c>
      <c r="X42" s="243">
        <f>(X38+X33)/X33-1</f>
        <v>-3.1746031746031744E-2</v>
      </c>
      <c r="Y42" s="243">
        <f>(Y38+Y33)/Y33-1</f>
        <v>-3.1496062992126039E-2</v>
      </c>
      <c r="Z42" s="243">
        <f>(Z38+Z33)/Z33-1</f>
        <v>-5.3435114503816772E-2</v>
      </c>
      <c r="AA42" s="243">
        <f>(AA38+AA33)/AA33-1</f>
        <v>-2.2900763358778664E-2</v>
      </c>
      <c r="AB42" s="243">
        <f>(AB38+AB33)/AB33-1</f>
        <v>-2.2727272727272707E-2</v>
      </c>
      <c r="AC42" s="243">
        <f>(AC38+AC33)/AC33-1</f>
        <v>-1.5037593984962405E-2</v>
      </c>
      <c r="AD42" s="244">
        <f>(AD38+AD33)/AD33-1</f>
        <v>0</v>
      </c>
    </row>
    <row r="43" spans="2:34" ht="3.95" customHeight="1"/>
    <row r="44" spans="2:34" ht="24">
      <c r="B44" s="161" t="s">
        <v>1316</v>
      </c>
      <c r="C44" s="178" t="s">
        <v>1325</v>
      </c>
      <c r="D44" s="178" t="s">
        <v>3</v>
      </c>
      <c r="E44" s="178" t="s">
        <v>4</v>
      </c>
      <c r="F44" s="178" t="s">
        <v>1327</v>
      </c>
      <c r="G44" s="195"/>
      <c r="H44" s="178" t="s">
        <v>1552</v>
      </c>
      <c r="J44" s="194">
        <v>45658</v>
      </c>
      <c r="K44" s="194">
        <f t="shared" ref="K44" si="110">EOMONTH(J44,0)+1</f>
        <v>45689</v>
      </c>
      <c r="L44" s="194">
        <f t="shared" ref="L44" si="111">EOMONTH(K44,0)+1</f>
        <v>45717</v>
      </c>
      <c r="M44" s="194">
        <f t="shared" ref="M44" si="112">EOMONTH(L44,0)+1</f>
        <v>45748</v>
      </c>
      <c r="N44" s="194">
        <f t="shared" ref="N44" si="113">EOMONTH(M44,0)+1</f>
        <v>45778</v>
      </c>
      <c r="O44" s="194">
        <f t="shared" ref="O44" si="114">EOMONTH(N44,0)+1</f>
        <v>45809</v>
      </c>
      <c r="P44" s="194">
        <f t="shared" ref="P44" si="115">EOMONTH(O44,0)+1</f>
        <v>45839</v>
      </c>
      <c r="Q44" s="194">
        <v>45870</v>
      </c>
      <c r="R44" s="194">
        <f t="shared" ref="R44" si="116">EOMONTH(Q44,0)+1</f>
        <v>45901</v>
      </c>
      <c r="S44" s="194">
        <f t="shared" ref="S44" si="117">EOMONTH(R44,0)+1</f>
        <v>45931</v>
      </c>
      <c r="T44" s="194">
        <f t="shared" ref="T44" si="118">EOMONTH(S44,0)+1</f>
        <v>45962</v>
      </c>
      <c r="U44" s="194">
        <f t="shared" ref="U44" si="119">EOMONTH(T44,0)+1</f>
        <v>45992</v>
      </c>
      <c r="V44" s="194">
        <f t="shared" ref="V44" si="120">EOMONTH(U44,0)+1</f>
        <v>46023</v>
      </c>
      <c r="W44" s="194">
        <f t="shared" ref="W44" si="121">EOMONTH(V44,0)+1</f>
        <v>46054</v>
      </c>
      <c r="X44" s="194">
        <f t="shared" ref="X44" si="122">EOMONTH(W44,0)+1</f>
        <v>46082</v>
      </c>
      <c r="Y44" s="194">
        <f t="shared" ref="Y44" si="123">EOMONTH(X44,0)+1</f>
        <v>46113</v>
      </c>
      <c r="Z44" s="194">
        <f t="shared" ref="Z44" si="124">EOMONTH(Y44,0)+1</f>
        <v>46143</v>
      </c>
      <c r="AA44" s="194">
        <f t="shared" ref="AA44" si="125">EOMONTH(Z44,0)+1</f>
        <v>46174</v>
      </c>
      <c r="AB44" s="194">
        <f t="shared" ref="AB44" si="126">EOMONTH(AA44,0)+1</f>
        <v>46204</v>
      </c>
      <c r="AC44" s="194">
        <f t="shared" ref="AC44" si="127">EOMONTH(AB44,0)+1</f>
        <v>46235</v>
      </c>
      <c r="AD44" s="194">
        <f t="shared" ref="AD44" si="128">EOMONTH(AC44,0)+1</f>
        <v>46266</v>
      </c>
      <c r="AE44" s="189"/>
      <c r="AF44" s="187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29">+H52-H47-H51</f>
        <v>23</v>
      </c>
      <c r="J46" s="184">
        <f t="shared" ref="J46:Z46" si="130">+J52-J47-J51</f>
        <v>13</v>
      </c>
      <c r="K46" s="184">
        <f t="shared" si="130"/>
        <v>15</v>
      </c>
      <c r="L46" s="184">
        <f t="shared" si="130"/>
        <v>15</v>
      </c>
      <c r="M46" s="184">
        <f t="shared" si="130"/>
        <v>15</v>
      </c>
      <c r="N46" s="184">
        <f t="shared" si="130"/>
        <v>16</v>
      </c>
      <c r="O46" s="184">
        <f t="shared" si="130"/>
        <v>18</v>
      </c>
      <c r="P46" s="184">
        <f t="shared" si="130"/>
        <v>20</v>
      </c>
      <c r="Q46" s="184">
        <f t="shared" si="130"/>
        <v>21</v>
      </c>
      <c r="R46" s="184">
        <f t="shared" si="130"/>
        <v>23</v>
      </c>
      <c r="S46" s="184">
        <f t="shared" si="130"/>
        <v>23</v>
      </c>
      <c r="T46" s="184">
        <f t="shared" si="130"/>
        <v>24</v>
      </c>
      <c r="U46" s="184">
        <f t="shared" si="130"/>
        <v>25</v>
      </c>
      <c r="V46" s="184">
        <f t="shared" si="130"/>
        <v>28</v>
      </c>
      <c r="W46" s="184">
        <f t="shared" si="130"/>
        <v>31</v>
      </c>
      <c r="X46" s="184">
        <f t="shared" si="130"/>
        <v>34</v>
      </c>
      <c r="Y46" s="184">
        <f t="shared" si="130"/>
        <v>34</v>
      </c>
      <c r="Z46" s="184">
        <f t="shared" si="130"/>
        <v>35</v>
      </c>
      <c r="AA46" s="184">
        <f>+AA52-AA47-AA51</f>
        <v>28</v>
      </c>
      <c r="AB46" s="184">
        <f>+AB52-AB47-AB51</f>
        <v>27</v>
      </c>
      <c r="AC46" s="184">
        <f t="shared" ref="AC46:AD46" si="131">+AC52-AC47-AC51</f>
        <v>28</v>
      </c>
      <c r="AD46" s="184">
        <f t="shared" si="131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74" t="s">
        <v>1553</v>
      </c>
      <c r="E48" s="199">
        <f t="shared" ref="E48:E50" si="132">SUM(J48:U48)</f>
        <v>0</v>
      </c>
      <c r="F48" s="199">
        <f t="shared" ref="F48:F50" si="133">SUM(V48:AD48)</f>
        <v>-9</v>
      </c>
      <c r="H48" s="199">
        <f t="shared" ref="H48:H50" si="134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74" t="s">
        <v>1554</v>
      </c>
      <c r="E49" s="199">
        <f t="shared" si="132"/>
        <v>0</v>
      </c>
      <c r="F49" s="199">
        <f t="shared" si="133"/>
        <v>0</v>
      </c>
      <c r="H49" s="199">
        <f t="shared" si="134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74" t="s">
        <v>1555</v>
      </c>
      <c r="E50" s="199">
        <f t="shared" si="132"/>
        <v>0</v>
      </c>
      <c r="F50" s="199">
        <f t="shared" si="133"/>
        <v>-1</v>
      </c>
      <c r="H50" s="199">
        <f t="shared" si="134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1556</v>
      </c>
    </row>
    <row r="51" spans="2:34" ht="12" customHeight="1">
      <c r="B51" s="264" t="s">
        <v>1557</v>
      </c>
      <c r="C51" s="267"/>
      <c r="D51" s="267"/>
      <c r="E51" s="265">
        <f>SUM(J51:U51)</f>
        <v>0</v>
      </c>
      <c r="F51" s="265">
        <f>SUM(V51:AD51)</f>
        <v>-10</v>
      </c>
      <c r="G51" s="266"/>
      <c r="H51" s="265">
        <f>SUM(S51:AD51)</f>
        <v>-10</v>
      </c>
      <c r="I51" s="266"/>
      <c r="J51" s="267">
        <f>-COUNTIFS('Full Customer List'!$J:$J,J$1,'Full Customer List'!$E:$E,$AF44)</f>
        <v>0</v>
      </c>
      <c r="K51" s="267">
        <f>-COUNTIFS('Full Customer List'!$J:$J,K$1,'Full Customer List'!$E:$E,$AF44)</f>
        <v>0</v>
      </c>
      <c r="L51" s="267">
        <f>-COUNTIFS('Full Customer List'!$J:$J,L$1,'Full Customer List'!$E:$E,$AF44)</f>
        <v>0</v>
      </c>
      <c r="M51" s="267">
        <f>-COUNTIFS('Full Customer List'!$J:$J,M$1,'Full Customer List'!$E:$E,$AF44)</f>
        <v>0</v>
      </c>
      <c r="N51" s="267">
        <f>-COUNTIFS('Full Customer List'!$J:$J,N$1,'Full Customer List'!$E:$E,$AF44)</f>
        <v>0</v>
      </c>
      <c r="O51" s="267">
        <f>-COUNTIFS('Full Customer List'!$J:$J,O$1,'Full Customer List'!$E:$E,$AF44)</f>
        <v>0</v>
      </c>
      <c r="P51" s="267">
        <f>-COUNTIFS('Full Customer List'!$J:$J,P$1,'Full Customer List'!$E:$E,$AF44)</f>
        <v>0</v>
      </c>
      <c r="Q51" s="267">
        <f>-COUNTIFS('Full Customer List'!$J:$J,Q$1,'Full Customer List'!$E:$E,$AF44)</f>
        <v>0</v>
      </c>
      <c r="R51" s="267">
        <f>-COUNTIFS('Full Customer List'!$J:$J,R$1,'Full Customer List'!$E:$E,$AF44)</f>
        <v>0</v>
      </c>
      <c r="S51" s="267">
        <f>-COUNTIFS('Full Customer List'!$J:$J,S$1,'Full Customer List'!$E:$E,$AF44)</f>
        <v>0</v>
      </c>
      <c r="T51" s="267">
        <f>-COUNTIFS('Full Customer List'!$J:$J,T$1,'Full Customer List'!$E:$E,$AF44)</f>
        <v>0</v>
      </c>
      <c r="U51" s="267">
        <f>-COUNTIFS('Full Customer List'!$J:$J,U$1,'Full Customer List'!$E:$E,$AF44)</f>
        <v>0</v>
      </c>
      <c r="V51" s="267">
        <f>-COUNTIFS('Full Customer List'!$J:$J,V$1,'Full Customer List'!$E:$E,$AF44)</f>
        <v>0</v>
      </c>
      <c r="W51" s="267">
        <f>-COUNTIFS('Full Customer List'!$J:$J,W$1,'Full Customer List'!$E:$E,$AF44)</f>
        <v>0</v>
      </c>
      <c r="X51" s="267">
        <f>-COUNTIFS('Full Customer List'!$J:$J,X$1,'Full Customer List'!$E:$E,$AF44)</f>
        <v>-1</v>
      </c>
      <c r="Y51" s="267">
        <f>-COUNTIFS('Full Customer List'!$J:$J,Y$1,'Full Customer List'!$E:$E,$AF44)</f>
        <v>-1</v>
      </c>
      <c r="Z51" s="267">
        <f>-COUNTIFS('Full Customer List'!$J:$J,Z$1,'Full Customer List'!$E:$E,$AF44)</f>
        <v>-7</v>
      </c>
      <c r="AA51" s="267">
        <f>-COUNTIFS('Full Customer List'!$J:$J,AA$1,'Full Customer List'!$E:$E,$AF44)</f>
        <v>-1</v>
      </c>
      <c r="AB51" s="267">
        <f>-COUNTIFS('Full Customer List'!$J:$J,AB$1,'Full Customer List'!$E:$E,$AF44)</f>
        <v>0</v>
      </c>
      <c r="AC51" s="267">
        <f>-COUNTIFS('Full Customer List'!$J:$J,AC$1,'Full Customer List'!$E:$E,$AF44)</f>
        <v>0</v>
      </c>
      <c r="AD51" s="267">
        <f>-COUNTIFS('Full Customer List'!$J:$J,AD$1,'Full Customer List'!$E:$E,$AF44)</f>
        <v>0</v>
      </c>
    </row>
    <row r="52" spans="2:34" ht="12" customHeight="1">
      <c r="B52" s="268" t="s">
        <v>1324</v>
      </c>
      <c r="C52" s="269"/>
      <c r="D52" s="269"/>
      <c r="E52" s="269">
        <f>+F46</f>
        <v>28</v>
      </c>
      <c r="F52" s="270">
        <f>+$AD52</f>
        <v>28</v>
      </c>
      <c r="H52" s="273">
        <f>+$AD52</f>
        <v>28</v>
      </c>
      <c r="J52" s="271">
        <f>+K46</f>
        <v>15</v>
      </c>
      <c r="K52" s="269">
        <f>+L46</f>
        <v>15</v>
      </c>
      <c r="L52" s="269">
        <f>+M46</f>
        <v>15</v>
      </c>
      <c r="M52" s="269">
        <f>+N46</f>
        <v>16</v>
      </c>
      <c r="N52" s="269">
        <f>+O46</f>
        <v>18</v>
      </c>
      <c r="O52" s="269">
        <f>+P46</f>
        <v>20</v>
      </c>
      <c r="P52" s="269">
        <f>+Q46</f>
        <v>21</v>
      </c>
      <c r="Q52" s="269">
        <f>+R46</f>
        <v>23</v>
      </c>
      <c r="R52" s="269">
        <f>+S46</f>
        <v>23</v>
      </c>
      <c r="S52" s="269">
        <f>+T46</f>
        <v>24</v>
      </c>
      <c r="T52" s="269">
        <f>+U46</f>
        <v>25</v>
      </c>
      <c r="U52" s="269">
        <f>+V46</f>
        <v>28</v>
      </c>
      <c r="V52" s="269">
        <f>+W46</f>
        <v>31</v>
      </c>
      <c r="W52" s="269">
        <f>+X46</f>
        <v>34</v>
      </c>
      <c r="X52" s="269">
        <f>+Y46</f>
        <v>34</v>
      </c>
      <c r="Y52" s="269">
        <f>+Z46</f>
        <v>35</v>
      </c>
      <c r="Z52" s="269">
        <f>+AA46</f>
        <v>28</v>
      </c>
      <c r="AA52" s="269">
        <f>+AB46</f>
        <v>27</v>
      </c>
      <c r="AB52" s="269">
        <f>+AC46</f>
        <v>28</v>
      </c>
      <c r="AC52" s="269">
        <f>+AD46</f>
        <v>28</v>
      </c>
      <c r="AD52" s="272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1542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35">(J47+J46)/J46-1</f>
        <v>0.15384615384615374</v>
      </c>
      <c r="K54" s="240">
        <f t="shared" si="135"/>
        <v>0</v>
      </c>
      <c r="L54" s="240">
        <f t="shared" si="135"/>
        <v>0</v>
      </c>
      <c r="M54" s="240">
        <f t="shared" si="135"/>
        <v>6.6666666666666652E-2</v>
      </c>
      <c r="N54" s="240">
        <f t="shared" si="135"/>
        <v>0.125</v>
      </c>
      <c r="O54" s="240">
        <f t="shared" si="135"/>
        <v>0.11111111111111116</v>
      </c>
      <c r="P54" s="240">
        <f t="shared" si="135"/>
        <v>5.0000000000000044E-2</v>
      </c>
      <c r="Q54" s="240">
        <f t="shared" si="135"/>
        <v>9.5238095238095344E-2</v>
      </c>
      <c r="R54" s="240">
        <f t="shared" si="135"/>
        <v>0</v>
      </c>
      <c r="S54" s="240">
        <f t="shared" si="135"/>
        <v>4.3478260869565188E-2</v>
      </c>
      <c r="T54" s="240">
        <f t="shared" si="135"/>
        <v>4.1666666666666741E-2</v>
      </c>
      <c r="U54" s="240">
        <f t="shared" si="135"/>
        <v>0.12000000000000011</v>
      </c>
      <c r="V54" s="240">
        <f t="shared" si="135"/>
        <v>0.10714285714285721</v>
      </c>
      <c r="W54" s="240">
        <f t="shared" si="135"/>
        <v>9.6774193548387011E-2</v>
      </c>
      <c r="X54" s="240">
        <f t="shared" si="135"/>
        <v>2.9411764705882248E-2</v>
      </c>
      <c r="Y54" s="240">
        <f t="shared" si="135"/>
        <v>5.8823529411764719E-2</v>
      </c>
      <c r="Z54" s="240">
        <f t="shared" si="135"/>
        <v>0</v>
      </c>
      <c r="AA54" s="240">
        <f t="shared" si="135"/>
        <v>0</v>
      </c>
      <c r="AB54" s="240">
        <f t="shared" si="135"/>
        <v>3.7037037037036979E-2</v>
      </c>
      <c r="AC54" s="240">
        <f t="shared" ref="AC54:AD54" si="136">(AC47+AC46)/AC46-1</f>
        <v>0</v>
      </c>
      <c r="AD54" s="251">
        <f t="shared" si="136"/>
        <v>0</v>
      </c>
    </row>
    <row r="55" spans="2:34" ht="12" customHeight="1">
      <c r="B55" s="241" t="s">
        <v>1543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37">(J51+J46)/J46-1</f>
        <v>0</v>
      </c>
      <c r="K55" s="243">
        <f t="shared" si="137"/>
        <v>0</v>
      </c>
      <c r="L55" s="243">
        <f t="shared" si="137"/>
        <v>0</v>
      </c>
      <c r="M55" s="243">
        <f t="shared" si="137"/>
        <v>0</v>
      </c>
      <c r="N55" s="243">
        <f t="shared" si="137"/>
        <v>0</v>
      </c>
      <c r="O55" s="243">
        <f t="shared" si="137"/>
        <v>0</v>
      </c>
      <c r="P55" s="243">
        <f t="shared" si="137"/>
        <v>0</v>
      </c>
      <c r="Q55" s="243">
        <f t="shared" si="137"/>
        <v>0</v>
      </c>
      <c r="R55" s="243">
        <f t="shared" si="137"/>
        <v>0</v>
      </c>
      <c r="S55" s="243">
        <f t="shared" si="137"/>
        <v>0</v>
      </c>
      <c r="T55" s="243">
        <f t="shared" si="137"/>
        <v>0</v>
      </c>
      <c r="U55" s="243">
        <f t="shared" si="137"/>
        <v>0</v>
      </c>
      <c r="V55" s="243">
        <f t="shared" si="137"/>
        <v>0</v>
      </c>
      <c r="W55" s="243">
        <f t="shared" si="137"/>
        <v>0</v>
      </c>
      <c r="X55" s="243">
        <f t="shared" si="137"/>
        <v>-2.9411764705882359E-2</v>
      </c>
      <c r="Y55" s="243">
        <f t="shared" si="137"/>
        <v>-2.9411764705882359E-2</v>
      </c>
      <c r="Z55" s="243">
        <f t="shared" si="137"/>
        <v>-0.19999999999999996</v>
      </c>
      <c r="AA55" s="243">
        <f t="shared" si="137"/>
        <v>-3.5714285714285698E-2</v>
      </c>
      <c r="AB55" s="243">
        <f t="shared" si="137"/>
        <v>0</v>
      </c>
      <c r="AC55" s="243">
        <f t="shared" ref="AC55:AD55" si="138">(AC51+AC46)/AC46-1</f>
        <v>0</v>
      </c>
      <c r="AD55" s="244">
        <f t="shared" si="138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1325</v>
      </c>
      <c r="D57" s="178" t="s">
        <v>3</v>
      </c>
      <c r="E57" s="178" t="s">
        <v>4</v>
      </c>
      <c r="F57" s="178" t="s">
        <v>1327</v>
      </c>
      <c r="G57" s="195"/>
      <c r="H57" s="178" t="s">
        <v>1552</v>
      </c>
      <c r="J57" s="194">
        <v>45658</v>
      </c>
      <c r="K57" s="194">
        <f t="shared" ref="K57" si="139">EOMONTH(J57,0)+1</f>
        <v>45689</v>
      </c>
      <c r="L57" s="194">
        <f t="shared" ref="L57" si="140">EOMONTH(K57,0)+1</f>
        <v>45717</v>
      </c>
      <c r="M57" s="194">
        <f t="shared" ref="M57" si="141">EOMONTH(L57,0)+1</f>
        <v>45748</v>
      </c>
      <c r="N57" s="194">
        <f t="shared" ref="N57" si="142">EOMONTH(M57,0)+1</f>
        <v>45778</v>
      </c>
      <c r="O57" s="194">
        <f t="shared" ref="O57" si="143">EOMONTH(N57,0)+1</f>
        <v>45809</v>
      </c>
      <c r="P57" s="194">
        <f t="shared" ref="P57" si="144">EOMONTH(O57,0)+1</f>
        <v>45839</v>
      </c>
      <c r="Q57" s="194">
        <v>45870</v>
      </c>
      <c r="R57" s="194">
        <f t="shared" ref="R57" si="145">EOMONTH(Q57,0)+1</f>
        <v>45901</v>
      </c>
      <c r="S57" s="194">
        <f t="shared" ref="S57" si="146">EOMONTH(R57,0)+1</f>
        <v>45931</v>
      </c>
      <c r="T57" s="194">
        <f t="shared" ref="T57" si="147">EOMONTH(S57,0)+1</f>
        <v>45962</v>
      </c>
      <c r="U57" s="194">
        <f t="shared" ref="U57" si="148">EOMONTH(T57,0)+1</f>
        <v>45992</v>
      </c>
      <c r="V57" s="194">
        <f t="shared" ref="V57" si="149">EOMONTH(U57,0)+1</f>
        <v>46023</v>
      </c>
      <c r="W57" s="194">
        <f t="shared" ref="W57" si="150">EOMONTH(V57,0)+1</f>
        <v>46054</v>
      </c>
      <c r="X57" s="194">
        <f t="shared" ref="X57" si="151">EOMONTH(W57,0)+1</f>
        <v>46082</v>
      </c>
      <c r="Y57" s="194">
        <f t="shared" ref="Y57" si="152">EOMONTH(X57,0)+1</f>
        <v>46113</v>
      </c>
      <c r="Z57" s="194">
        <f t="shared" ref="Z57" si="153">EOMONTH(Y57,0)+1</f>
        <v>46143</v>
      </c>
      <c r="AA57" s="194">
        <f t="shared" ref="AA57" si="154">EOMONTH(Z57,0)+1</f>
        <v>46174</v>
      </c>
      <c r="AB57" s="194">
        <f t="shared" ref="AB57" si="155">EOMONTH(AA57,0)+1</f>
        <v>46204</v>
      </c>
      <c r="AC57" s="194">
        <f t="shared" ref="AC57" si="156">EOMONTH(AB57,0)+1</f>
        <v>46235</v>
      </c>
      <c r="AD57" s="194">
        <f t="shared" ref="AD57" si="157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58">+H65-H60-H64</f>
        <v>26</v>
      </c>
      <c r="J59" s="184">
        <f t="shared" ref="J59:Z59" si="159">+J65-J60-J64</f>
        <v>32</v>
      </c>
      <c r="K59" s="184">
        <f t="shared" si="159"/>
        <v>29</v>
      </c>
      <c r="L59" s="184">
        <f t="shared" si="159"/>
        <v>28</v>
      </c>
      <c r="M59" s="184">
        <f t="shared" si="159"/>
        <v>28</v>
      </c>
      <c r="N59" s="184">
        <f t="shared" si="159"/>
        <v>28</v>
      </c>
      <c r="O59" s="184">
        <f t="shared" si="159"/>
        <v>27</v>
      </c>
      <c r="P59" s="184">
        <f t="shared" si="159"/>
        <v>27</v>
      </c>
      <c r="Q59" s="184">
        <f t="shared" si="159"/>
        <v>26</v>
      </c>
      <c r="R59" s="184">
        <f t="shared" si="159"/>
        <v>27</v>
      </c>
      <c r="S59" s="184">
        <f t="shared" si="159"/>
        <v>26</v>
      </c>
      <c r="T59" s="184">
        <f t="shared" si="159"/>
        <v>26</v>
      </c>
      <c r="U59" s="184">
        <f t="shared" si="159"/>
        <v>26</v>
      </c>
      <c r="V59" s="184">
        <f t="shared" si="159"/>
        <v>23</v>
      </c>
      <c r="W59" s="184">
        <f t="shared" si="159"/>
        <v>22</v>
      </c>
      <c r="X59" s="184">
        <f t="shared" si="159"/>
        <v>21</v>
      </c>
      <c r="Y59" s="184">
        <f t="shared" si="159"/>
        <v>19</v>
      </c>
      <c r="Z59" s="184">
        <f t="shared" si="159"/>
        <v>19</v>
      </c>
      <c r="AA59" s="184">
        <f>+AA65-AA60-AA64</f>
        <v>18</v>
      </c>
      <c r="AB59" s="184">
        <f>+AB65-AB60-AB64</f>
        <v>18</v>
      </c>
      <c r="AC59" s="184">
        <f t="shared" ref="AC59:AD59" si="160">+AC65-AC60-AC64</f>
        <v>2</v>
      </c>
      <c r="AD59" s="184">
        <f t="shared" si="160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74" t="s">
        <v>1553</v>
      </c>
      <c r="E61" s="199">
        <f t="shared" ref="E61:E63" si="161">SUM(J61:U61)</f>
        <v>-7</v>
      </c>
      <c r="F61" s="199">
        <f t="shared" ref="F61:F63" si="162">SUM(V61:AD61)</f>
        <v>-5</v>
      </c>
      <c r="H61" s="199">
        <f t="shared" ref="H61:H63" si="163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74" t="s">
        <v>1554</v>
      </c>
      <c r="E62" s="199">
        <f t="shared" si="161"/>
        <v>-4</v>
      </c>
      <c r="F62" s="199">
        <f t="shared" si="162"/>
        <v>-15</v>
      </c>
      <c r="H62" s="199">
        <f t="shared" si="163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74" t="s">
        <v>1555</v>
      </c>
      <c r="E63" s="199">
        <f t="shared" si="161"/>
        <v>0</v>
      </c>
      <c r="F63" s="199">
        <f t="shared" si="162"/>
        <v>-1</v>
      </c>
      <c r="H63" s="199">
        <f t="shared" si="163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1556</v>
      </c>
    </row>
    <row r="64" spans="2:34" ht="12" customHeight="1">
      <c r="B64" s="264" t="s">
        <v>1557</v>
      </c>
      <c r="C64" s="267"/>
      <c r="D64" s="267"/>
      <c r="E64" s="265">
        <f>SUM(J64:U64)</f>
        <v>-11</v>
      </c>
      <c r="F64" s="265">
        <f>SUM(V64:AD64)</f>
        <v>-21</v>
      </c>
      <c r="G64" s="266"/>
      <c r="H64" s="265">
        <f>SUM(S64:AD64)</f>
        <v>-24</v>
      </c>
      <c r="I64" s="266"/>
      <c r="J64" s="267">
        <f>-COUNTIFS('Full Customer List'!$J:$J,J$1,'Full Customer List'!$E:$E,$AF57)</f>
        <v>-3</v>
      </c>
      <c r="K64" s="267">
        <f>-COUNTIFS('Full Customer List'!$J:$J,K$1,'Full Customer List'!$E:$E,$AF57)</f>
        <v>-1</v>
      </c>
      <c r="L64" s="267">
        <f>-COUNTIFS('Full Customer List'!$J:$J,L$1,'Full Customer List'!$E:$E,$AF57)</f>
        <v>0</v>
      </c>
      <c r="M64" s="267">
        <f>-COUNTIFS('Full Customer List'!$J:$J,M$1,'Full Customer List'!$E:$E,$AF57)</f>
        <v>0</v>
      </c>
      <c r="N64" s="267">
        <f>-COUNTIFS('Full Customer List'!$J:$J,N$1,'Full Customer List'!$E:$E,$AF57)</f>
        <v>-1</v>
      </c>
      <c r="O64" s="267">
        <f>-COUNTIFS('Full Customer List'!$J:$J,O$1,'Full Customer List'!$E:$E,$AF57)</f>
        <v>-1</v>
      </c>
      <c r="P64" s="267">
        <f>-COUNTIFS('Full Customer List'!$J:$J,P$1,'Full Customer List'!$E:$E,$AF57)</f>
        <v>-1</v>
      </c>
      <c r="Q64" s="267">
        <f>-COUNTIFS('Full Customer List'!$J:$J,Q$1,'Full Customer List'!$E:$E,$AF57)</f>
        <v>0</v>
      </c>
      <c r="R64" s="267">
        <f>-COUNTIFS('Full Customer List'!$J:$J,R$1,'Full Customer List'!$E:$E,$AF57)</f>
        <v>-1</v>
      </c>
      <c r="S64" s="267">
        <f>-COUNTIFS('Full Customer List'!$J:$J,S$1,'Full Customer List'!$E:$E,$AF57)</f>
        <v>0</v>
      </c>
      <c r="T64" s="267">
        <f>-COUNTIFS('Full Customer List'!$J:$J,T$1,'Full Customer List'!$E:$E,$AF57)</f>
        <v>0</v>
      </c>
      <c r="U64" s="267">
        <f>-COUNTIFS('Full Customer List'!$J:$J,U$1,'Full Customer List'!$E:$E,$AF57)</f>
        <v>-3</v>
      </c>
      <c r="V64" s="267">
        <f>-COUNTIFS('Full Customer List'!$J:$J,V$1,'Full Customer List'!$E:$E,$AF57)</f>
        <v>-1</v>
      </c>
      <c r="W64" s="267">
        <f>-COUNTIFS('Full Customer List'!$J:$J,W$1,'Full Customer List'!$E:$E,$AF57)</f>
        <v>-1</v>
      </c>
      <c r="X64" s="267">
        <f>-COUNTIFS('Full Customer List'!$J:$J,X$1,'Full Customer List'!$E:$E,$AF57)</f>
        <v>-2</v>
      </c>
      <c r="Y64" s="267">
        <f>-COUNTIFS('Full Customer List'!$J:$J,Y$1,'Full Customer List'!$E:$E,$AF57)</f>
        <v>0</v>
      </c>
      <c r="Z64" s="267">
        <f>-COUNTIFS('Full Customer List'!$J:$J,Z$1,'Full Customer List'!$E:$E,$AF57)</f>
        <v>-1</v>
      </c>
      <c r="AA64" s="267">
        <f>-COUNTIFS('Full Customer List'!$J:$J,AA$1,'Full Customer List'!$E:$E,$AF57)</f>
        <v>0</v>
      </c>
      <c r="AB64" s="267">
        <f>-COUNTIFS('Full Customer List'!$J:$J,AB$1,'Full Customer List'!$E:$E,$AF57)</f>
        <v>-16</v>
      </c>
      <c r="AC64" s="267">
        <f>-COUNTIFS('Full Customer List'!$J:$J,AC$1,'Full Customer List'!$E:$E,$AF57)</f>
        <v>0</v>
      </c>
      <c r="AD64" s="267">
        <f>-COUNTIFS('Full Customer List'!$J:$J,AD$1,'Full Customer List'!$E:$E,$AF57)</f>
        <v>0</v>
      </c>
    </row>
    <row r="65" spans="2:34" ht="12" customHeight="1">
      <c r="B65" s="268" t="s">
        <v>1324</v>
      </c>
      <c r="C65" s="269"/>
      <c r="D65" s="269"/>
      <c r="E65" s="269">
        <f>+F59</f>
        <v>23</v>
      </c>
      <c r="F65" s="270">
        <f>+$AD65</f>
        <v>2</v>
      </c>
      <c r="H65" s="273">
        <f>+$AD65</f>
        <v>2</v>
      </c>
      <c r="J65" s="271">
        <f>+K59</f>
        <v>29</v>
      </c>
      <c r="K65" s="269">
        <f>+L59</f>
        <v>28</v>
      </c>
      <c r="L65" s="269">
        <f>+M59</f>
        <v>28</v>
      </c>
      <c r="M65" s="269">
        <f>+N59</f>
        <v>28</v>
      </c>
      <c r="N65" s="269">
        <f>+O59</f>
        <v>27</v>
      </c>
      <c r="O65" s="269">
        <f>+P59</f>
        <v>27</v>
      </c>
      <c r="P65" s="269">
        <f>+Q59</f>
        <v>26</v>
      </c>
      <c r="Q65" s="269">
        <f>+R59</f>
        <v>27</v>
      </c>
      <c r="R65" s="269">
        <f>+S59</f>
        <v>26</v>
      </c>
      <c r="S65" s="269">
        <f>+T59</f>
        <v>26</v>
      </c>
      <c r="T65" s="269">
        <f>+U59</f>
        <v>26</v>
      </c>
      <c r="U65" s="269">
        <f>+V59</f>
        <v>23</v>
      </c>
      <c r="V65" s="269">
        <f>+W59</f>
        <v>22</v>
      </c>
      <c r="W65" s="269">
        <f>+X59</f>
        <v>21</v>
      </c>
      <c r="X65" s="269">
        <f>+Y59</f>
        <v>19</v>
      </c>
      <c r="Y65" s="269">
        <f>+Z59</f>
        <v>19</v>
      </c>
      <c r="Z65" s="269">
        <f>+AA59</f>
        <v>18</v>
      </c>
      <c r="AA65" s="269">
        <f>+AB59</f>
        <v>18</v>
      </c>
      <c r="AB65" s="269">
        <f>+AC59</f>
        <v>2</v>
      </c>
      <c r="AC65" s="269">
        <f>+AD59</f>
        <v>2</v>
      </c>
      <c r="AD65" s="272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1542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64">(J60+J59)/J59-1</f>
        <v>0</v>
      </c>
      <c r="K67" s="240">
        <f t="shared" si="164"/>
        <v>0</v>
      </c>
      <c r="L67" s="240">
        <f t="shared" si="164"/>
        <v>0</v>
      </c>
      <c r="M67" s="240">
        <f t="shared" si="164"/>
        <v>0</v>
      </c>
      <c r="N67" s="240">
        <f t="shared" si="164"/>
        <v>0</v>
      </c>
      <c r="O67" s="240">
        <f t="shared" si="164"/>
        <v>3.7037037037036979E-2</v>
      </c>
      <c r="P67" s="240">
        <f t="shared" si="164"/>
        <v>0</v>
      </c>
      <c r="Q67" s="240">
        <f t="shared" si="164"/>
        <v>3.8461538461538547E-2</v>
      </c>
      <c r="R67" s="240">
        <f t="shared" si="164"/>
        <v>0</v>
      </c>
      <c r="S67" s="240">
        <f t="shared" si="164"/>
        <v>0</v>
      </c>
      <c r="T67" s="240">
        <f t="shared" si="164"/>
        <v>0</v>
      </c>
      <c r="U67" s="240">
        <f t="shared" si="164"/>
        <v>0</v>
      </c>
      <c r="V67" s="240">
        <f t="shared" si="164"/>
        <v>0</v>
      </c>
      <c r="W67" s="240">
        <f t="shared" si="164"/>
        <v>0</v>
      </c>
      <c r="X67" s="240">
        <f t="shared" si="164"/>
        <v>0</v>
      </c>
      <c r="Y67" s="240">
        <f t="shared" si="164"/>
        <v>0</v>
      </c>
      <c r="Z67" s="240">
        <f t="shared" si="164"/>
        <v>0</v>
      </c>
      <c r="AA67" s="240">
        <f t="shared" si="164"/>
        <v>0</v>
      </c>
      <c r="AB67" s="240">
        <f t="shared" si="164"/>
        <v>0</v>
      </c>
      <c r="AC67" s="240">
        <f t="shared" ref="AC67:AD67" si="165">(AC60+AC59)/AC59-1</f>
        <v>0</v>
      </c>
      <c r="AD67" s="251">
        <f t="shared" si="165"/>
        <v>0</v>
      </c>
      <c r="AF67" s="222"/>
    </row>
    <row r="68" spans="2:34" ht="12" customHeight="1">
      <c r="B68" s="241" t="s">
        <v>1543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66">(J64+J59)/J59-1</f>
        <v>-9.375E-2</v>
      </c>
      <c r="K68" s="243">
        <f t="shared" si="166"/>
        <v>-3.4482758620689613E-2</v>
      </c>
      <c r="L68" s="243">
        <f t="shared" si="166"/>
        <v>0</v>
      </c>
      <c r="M68" s="243">
        <f t="shared" si="166"/>
        <v>0</v>
      </c>
      <c r="N68" s="243">
        <f t="shared" si="166"/>
        <v>-3.5714285714285698E-2</v>
      </c>
      <c r="O68" s="243">
        <f t="shared" si="166"/>
        <v>-3.703703703703709E-2</v>
      </c>
      <c r="P68" s="243">
        <f t="shared" si="166"/>
        <v>-3.703703703703709E-2</v>
      </c>
      <c r="Q68" s="243">
        <f t="shared" si="166"/>
        <v>0</v>
      </c>
      <c r="R68" s="243">
        <f t="shared" si="166"/>
        <v>-3.703703703703709E-2</v>
      </c>
      <c r="S68" s="243">
        <f t="shared" si="166"/>
        <v>0</v>
      </c>
      <c r="T68" s="243">
        <f t="shared" si="166"/>
        <v>0</v>
      </c>
      <c r="U68" s="243">
        <f t="shared" si="166"/>
        <v>-0.11538461538461542</v>
      </c>
      <c r="V68" s="243">
        <f t="shared" si="166"/>
        <v>-4.3478260869565188E-2</v>
      </c>
      <c r="W68" s="243">
        <f t="shared" si="166"/>
        <v>-4.5454545454545414E-2</v>
      </c>
      <c r="X68" s="243">
        <f t="shared" si="166"/>
        <v>-9.5238095238095233E-2</v>
      </c>
      <c r="Y68" s="243">
        <f t="shared" si="166"/>
        <v>0</v>
      </c>
      <c r="Z68" s="243">
        <f t="shared" si="166"/>
        <v>-5.2631578947368474E-2</v>
      </c>
      <c r="AA68" s="243">
        <f t="shared" si="166"/>
        <v>0</v>
      </c>
      <c r="AB68" s="243">
        <f t="shared" si="166"/>
        <v>-0.88888888888888884</v>
      </c>
      <c r="AC68" s="243">
        <f t="shared" ref="AC68:AD68" si="167">(AC64+AC59)/AC59-1</f>
        <v>0</v>
      </c>
      <c r="AD68" s="244">
        <f t="shared" si="167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1325</v>
      </c>
      <c r="D70" s="178" t="s">
        <v>3</v>
      </c>
      <c r="E70" s="178" t="s">
        <v>4</v>
      </c>
      <c r="F70" s="178" t="s">
        <v>1327</v>
      </c>
      <c r="G70" s="195"/>
      <c r="H70" s="178" t="s">
        <v>1552</v>
      </c>
      <c r="J70" s="194">
        <v>45658</v>
      </c>
      <c r="K70" s="194">
        <f t="shared" ref="K70" si="168">EOMONTH(J70,0)+1</f>
        <v>45689</v>
      </c>
      <c r="L70" s="194">
        <f t="shared" ref="L70" si="169">EOMONTH(K70,0)+1</f>
        <v>45717</v>
      </c>
      <c r="M70" s="194">
        <f t="shared" ref="M70" si="170">EOMONTH(L70,0)+1</f>
        <v>45748</v>
      </c>
      <c r="N70" s="194">
        <f t="shared" ref="N70" si="171">EOMONTH(M70,0)+1</f>
        <v>45778</v>
      </c>
      <c r="O70" s="194">
        <f t="shared" ref="O70" si="172">EOMONTH(N70,0)+1</f>
        <v>45809</v>
      </c>
      <c r="P70" s="194">
        <f t="shared" ref="P70" si="173">EOMONTH(O70,0)+1</f>
        <v>45839</v>
      </c>
      <c r="Q70" s="194">
        <v>45870</v>
      </c>
      <c r="R70" s="194">
        <f t="shared" ref="R70" si="174">EOMONTH(Q70,0)+1</f>
        <v>45901</v>
      </c>
      <c r="S70" s="194">
        <f t="shared" ref="S70" si="175">EOMONTH(R70,0)+1</f>
        <v>45931</v>
      </c>
      <c r="T70" s="194">
        <f t="shared" ref="T70" si="176">EOMONTH(S70,0)+1</f>
        <v>45962</v>
      </c>
      <c r="U70" s="194">
        <f t="shared" ref="U70" si="177">EOMONTH(T70,0)+1</f>
        <v>45992</v>
      </c>
      <c r="V70" s="194">
        <f t="shared" ref="V70" si="178">EOMONTH(U70,0)+1</f>
        <v>46023</v>
      </c>
      <c r="W70" s="194">
        <f t="shared" ref="W70" si="179">EOMONTH(V70,0)+1</f>
        <v>46054</v>
      </c>
      <c r="X70" s="194">
        <f t="shared" ref="X70" si="180">EOMONTH(W70,0)+1</f>
        <v>46082</v>
      </c>
      <c r="Y70" s="194">
        <f t="shared" ref="Y70" si="181">EOMONTH(X70,0)+1</f>
        <v>46113</v>
      </c>
      <c r="Z70" s="194">
        <f t="shared" ref="Z70" si="182">EOMONTH(Y70,0)+1</f>
        <v>46143</v>
      </c>
      <c r="AA70" s="194">
        <f t="shared" ref="AA70" si="183">EOMONTH(Z70,0)+1</f>
        <v>46174</v>
      </c>
      <c r="AB70" s="194">
        <f t="shared" ref="AB70" si="184">EOMONTH(AA70,0)+1</f>
        <v>46204</v>
      </c>
      <c r="AC70" s="194">
        <f t="shared" ref="AC70" si="185">EOMONTH(AB70,0)+1</f>
        <v>46235</v>
      </c>
      <c r="AD70" s="194">
        <f t="shared" ref="AD70" si="186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87">+H78-H73-H77</f>
        <v>17</v>
      </c>
      <c r="J72" s="184">
        <f t="shared" ref="J72:Z72" si="188">+J78-J73-J77</f>
        <v>30</v>
      </c>
      <c r="K72" s="184">
        <f t="shared" si="188"/>
        <v>26</v>
      </c>
      <c r="L72" s="184">
        <f t="shared" si="188"/>
        <v>26</v>
      </c>
      <c r="M72" s="184">
        <f t="shared" si="188"/>
        <v>26</v>
      </c>
      <c r="N72" s="184">
        <f t="shared" si="188"/>
        <v>23</v>
      </c>
      <c r="O72" s="184">
        <f t="shared" si="188"/>
        <v>23</v>
      </c>
      <c r="P72" s="184">
        <f t="shared" si="188"/>
        <v>18</v>
      </c>
      <c r="Q72" s="184">
        <f t="shared" si="188"/>
        <v>19</v>
      </c>
      <c r="R72" s="184">
        <f t="shared" si="188"/>
        <v>18</v>
      </c>
      <c r="S72" s="184">
        <f t="shared" si="188"/>
        <v>17</v>
      </c>
      <c r="T72" s="184">
        <f t="shared" si="188"/>
        <v>17</v>
      </c>
      <c r="U72" s="184">
        <f t="shared" si="188"/>
        <v>10</v>
      </c>
      <c r="V72" s="184">
        <f t="shared" si="188"/>
        <v>3</v>
      </c>
      <c r="W72" s="184">
        <f t="shared" si="188"/>
        <v>1</v>
      </c>
      <c r="X72" s="184">
        <f t="shared" si="188"/>
        <v>1</v>
      </c>
      <c r="Y72" s="184">
        <f t="shared" si="188"/>
        <v>1</v>
      </c>
      <c r="Z72" s="184">
        <f t="shared" si="188"/>
        <v>2</v>
      </c>
      <c r="AA72" s="184">
        <f>+AA78-AA73-AA77</f>
        <v>1</v>
      </c>
      <c r="AB72" s="184">
        <f>+AB78-AB73-AB77</f>
        <v>1</v>
      </c>
      <c r="AC72" s="184">
        <f t="shared" ref="AC72:AD72" si="189">+AC78-AC73-AC77</f>
        <v>0</v>
      </c>
      <c r="AD72" s="184">
        <f t="shared" si="189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74" t="s">
        <v>1553</v>
      </c>
      <c r="E74" s="199">
        <f t="shared" ref="E74:E76" si="190">SUM(J74:U74)</f>
        <v>-24</v>
      </c>
      <c r="F74" s="199">
        <f t="shared" ref="F74:F76" si="191">SUM(V74:AD74)</f>
        <v>-2</v>
      </c>
      <c r="H74" s="199">
        <f t="shared" ref="H74:H76" si="192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74" t="s">
        <v>1554</v>
      </c>
      <c r="E75" s="199">
        <f t="shared" si="190"/>
        <v>-19</v>
      </c>
      <c r="F75" s="199">
        <f t="shared" si="191"/>
        <v>-2</v>
      </c>
      <c r="H75" s="199">
        <f t="shared" si="192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74" t="s">
        <v>1555</v>
      </c>
      <c r="E76" s="199">
        <f t="shared" si="190"/>
        <v>0</v>
      </c>
      <c r="F76" s="199">
        <f t="shared" si="191"/>
        <v>0</v>
      </c>
      <c r="H76" s="199">
        <f t="shared" si="192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1556</v>
      </c>
    </row>
    <row r="77" spans="2:34" ht="12" customHeight="1">
      <c r="B77" s="264" t="s">
        <v>1557</v>
      </c>
      <c r="C77" s="267"/>
      <c r="D77" s="267"/>
      <c r="E77" s="265">
        <f>SUM(J77:U77)</f>
        <v>-43</v>
      </c>
      <c r="F77" s="265">
        <f>SUM(V77:AD77)</f>
        <v>-4</v>
      </c>
      <c r="G77" s="266"/>
      <c r="H77" s="265">
        <f>SUM(S77:AD77)</f>
        <v>-21</v>
      </c>
      <c r="I77" s="266"/>
      <c r="J77" s="267">
        <f>-COUNTIFS('Full Customer List'!$J:$J,J$1,'Full Customer List'!$E:$E,$AF70)</f>
        <v>-4</v>
      </c>
      <c r="K77" s="267">
        <f>-COUNTIFS('Full Customer List'!$J:$J,K$1,'Full Customer List'!$E:$E,$AF70)</f>
        <v>-3</v>
      </c>
      <c r="L77" s="267">
        <f>-COUNTIFS('Full Customer List'!$J:$J,L$1,'Full Customer List'!$E:$E,$AF70)</f>
        <v>-2</v>
      </c>
      <c r="M77" s="267">
        <f>-COUNTIFS('Full Customer List'!$J:$J,M$1,'Full Customer List'!$E:$E,$AF70)</f>
        <v>-4</v>
      </c>
      <c r="N77" s="267">
        <f>-COUNTIFS('Full Customer List'!$J:$J,N$1,'Full Customer List'!$E:$E,$AF70)</f>
        <v>-2</v>
      </c>
      <c r="O77" s="267">
        <f>-COUNTIFS('Full Customer List'!$J:$J,O$1,'Full Customer List'!$E:$E,$AF70)</f>
        <v>-6</v>
      </c>
      <c r="P77" s="267">
        <f>-COUNTIFS('Full Customer List'!$J:$J,P$1,'Full Customer List'!$E:$E,$AF70)</f>
        <v>0</v>
      </c>
      <c r="Q77" s="267">
        <f>-COUNTIFS('Full Customer List'!$J:$J,Q$1,'Full Customer List'!$E:$E,$AF70)</f>
        <v>-2</v>
      </c>
      <c r="R77" s="267">
        <f>-COUNTIFS('Full Customer List'!$J:$J,R$1,'Full Customer List'!$E:$E,$AF70)</f>
        <v>-3</v>
      </c>
      <c r="S77" s="267">
        <f>-COUNTIFS('Full Customer List'!$J:$J,S$1,'Full Customer List'!$E:$E,$AF70)</f>
        <v>-1</v>
      </c>
      <c r="T77" s="267">
        <f>-COUNTIFS('Full Customer List'!$J:$J,T$1,'Full Customer List'!$E:$E,$AF70)</f>
        <v>-8</v>
      </c>
      <c r="U77" s="267">
        <f>-COUNTIFS('Full Customer List'!$J:$J,U$1,'Full Customer List'!$E:$E,$AF70)</f>
        <v>-8</v>
      </c>
      <c r="V77" s="267">
        <f>-COUNTIFS('Full Customer List'!$J:$J,V$1,'Full Customer List'!$E:$E,$AF70)</f>
        <v>-2</v>
      </c>
      <c r="W77" s="267">
        <f>-COUNTIFS('Full Customer List'!$J:$J,W$1,'Full Customer List'!$E:$E,$AF70)</f>
        <v>0</v>
      </c>
      <c r="X77" s="267">
        <f>-COUNTIFS('Full Customer List'!$J:$J,X$1,'Full Customer List'!$E:$E,$AF70)</f>
        <v>0</v>
      </c>
      <c r="Y77" s="267">
        <f>-COUNTIFS('Full Customer List'!$J:$J,Y$1,'Full Customer List'!$E:$E,$AF70)</f>
        <v>0</v>
      </c>
      <c r="Z77" s="267">
        <f>-COUNTIFS('Full Customer List'!$J:$J,Z$1,'Full Customer List'!$E:$E,$AF70)</f>
        <v>-1</v>
      </c>
      <c r="AA77" s="267">
        <f>-COUNTIFS('Full Customer List'!$J:$J,AA$1,'Full Customer List'!$E:$E,$AF70)</f>
        <v>0</v>
      </c>
      <c r="AB77" s="267">
        <f>-COUNTIFS('Full Customer List'!$J:$J,AB$1,'Full Customer List'!$E:$E,$AF70)</f>
        <v>-1</v>
      </c>
      <c r="AC77" s="267">
        <f>-COUNTIFS('Full Customer List'!$J:$J,AC$1,'Full Customer List'!$E:$E,$AF70)</f>
        <v>0</v>
      </c>
      <c r="AD77" s="267">
        <f>-COUNTIFS('Full Customer List'!$J:$J,AD$1,'Full Customer List'!$E:$E,$AF70)</f>
        <v>0</v>
      </c>
    </row>
    <row r="78" spans="2:34" ht="12" customHeight="1">
      <c r="B78" s="268" t="s">
        <v>1324</v>
      </c>
      <c r="C78" s="269"/>
      <c r="D78" s="269"/>
      <c r="E78" s="269">
        <f>+F72</f>
        <v>3</v>
      </c>
      <c r="F78" s="270">
        <f>+$AD78</f>
        <v>0</v>
      </c>
      <c r="H78" s="273">
        <f>+$AD78</f>
        <v>0</v>
      </c>
      <c r="J78" s="271">
        <f>+K72</f>
        <v>26</v>
      </c>
      <c r="K78" s="269">
        <f>+L72</f>
        <v>26</v>
      </c>
      <c r="L78" s="269">
        <f>+M72</f>
        <v>26</v>
      </c>
      <c r="M78" s="269">
        <f>+N72</f>
        <v>23</v>
      </c>
      <c r="N78" s="269">
        <f>+O72</f>
        <v>23</v>
      </c>
      <c r="O78" s="269">
        <f>+P72</f>
        <v>18</v>
      </c>
      <c r="P78" s="269">
        <f>+Q72</f>
        <v>19</v>
      </c>
      <c r="Q78" s="269">
        <f>+R72</f>
        <v>18</v>
      </c>
      <c r="R78" s="269">
        <f>+S72</f>
        <v>17</v>
      </c>
      <c r="S78" s="269">
        <f>+T72</f>
        <v>17</v>
      </c>
      <c r="T78" s="269">
        <f>+U72</f>
        <v>10</v>
      </c>
      <c r="U78" s="269">
        <f>+V72</f>
        <v>3</v>
      </c>
      <c r="V78" s="269">
        <f>+W72</f>
        <v>1</v>
      </c>
      <c r="W78" s="269">
        <f>+X72</f>
        <v>1</v>
      </c>
      <c r="X78" s="269">
        <f>+Y72</f>
        <v>1</v>
      </c>
      <c r="Y78" s="269">
        <f>+Z72</f>
        <v>2</v>
      </c>
      <c r="Z78" s="269">
        <f>+AA72</f>
        <v>1</v>
      </c>
      <c r="AA78" s="269">
        <f>+AB72</f>
        <v>1</v>
      </c>
      <c r="AB78" s="269">
        <f>+AC72</f>
        <v>0</v>
      </c>
      <c r="AC78" s="269">
        <f>+AD72</f>
        <v>0</v>
      </c>
      <c r="AD78" s="270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1542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193">(J73+J72)/J72-1</f>
        <v>0</v>
      </c>
      <c r="K80" s="240">
        <f t="shared" si="193"/>
        <v>0.11538461538461542</v>
      </c>
      <c r="L80" s="240">
        <f t="shared" si="193"/>
        <v>7.6923076923076872E-2</v>
      </c>
      <c r="M80" s="240">
        <f t="shared" si="193"/>
        <v>3.8461538461538547E-2</v>
      </c>
      <c r="N80" s="240">
        <f t="shared" si="193"/>
        <v>8.6956521739130377E-2</v>
      </c>
      <c r="O80" s="240">
        <f t="shared" si="193"/>
        <v>4.3478260869565188E-2</v>
      </c>
      <c r="P80" s="240">
        <f t="shared" si="193"/>
        <v>5.555555555555558E-2</v>
      </c>
      <c r="Q80" s="240">
        <f t="shared" si="193"/>
        <v>5.2631578947368363E-2</v>
      </c>
      <c r="R80" s="240">
        <f t="shared" si="193"/>
        <v>0.11111111111111116</v>
      </c>
      <c r="S80" s="240">
        <f t="shared" si="193"/>
        <v>5.8823529411764719E-2</v>
      </c>
      <c r="T80" s="240">
        <f t="shared" si="193"/>
        <v>5.8823529411764719E-2</v>
      </c>
      <c r="U80" s="240">
        <f t="shared" si="193"/>
        <v>0.10000000000000009</v>
      </c>
      <c r="V80" s="240">
        <f t="shared" si="193"/>
        <v>0</v>
      </c>
      <c r="W80" s="240">
        <f t="shared" si="193"/>
        <v>0</v>
      </c>
      <c r="X80" s="240">
        <f t="shared" si="193"/>
        <v>0</v>
      </c>
      <c r="Y80" s="240">
        <f t="shared" si="193"/>
        <v>1</v>
      </c>
      <c r="Z80" s="240">
        <f t="shared" si="193"/>
        <v>0</v>
      </c>
      <c r="AA80" s="240">
        <f t="shared" si="193"/>
        <v>0</v>
      </c>
      <c r="AB80" s="240">
        <f t="shared" si="19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1543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194">(J77+J72)/J72-1</f>
        <v>-0.1333333333333333</v>
      </c>
      <c r="K81" s="243">
        <f t="shared" si="194"/>
        <v>-0.11538461538461542</v>
      </c>
      <c r="L81" s="243">
        <f t="shared" si="194"/>
        <v>-7.6923076923076872E-2</v>
      </c>
      <c r="M81" s="243">
        <f t="shared" si="194"/>
        <v>-0.15384615384615385</v>
      </c>
      <c r="N81" s="243">
        <f t="shared" si="194"/>
        <v>-8.6956521739130488E-2</v>
      </c>
      <c r="O81" s="243">
        <f t="shared" si="194"/>
        <v>-0.26086956521739135</v>
      </c>
      <c r="P81" s="243">
        <f t="shared" si="194"/>
        <v>0</v>
      </c>
      <c r="Q81" s="243">
        <f t="shared" si="194"/>
        <v>-0.10526315789473684</v>
      </c>
      <c r="R81" s="243">
        <f t="shared" si="194"/>
        <v>-0.16666666666666663</v>
      </c>
      <c r="S81" s="243">
        <f t="shared" si="194"/>
        <v>-5.8823529411764719E-2</v>
      </c>
      <c r="T81" s="243">
        <f t="shared" si="194"/>
        <v>-0.47058823529411764</v>
      </c>
      <c r="U81" s="243">
        <f t="shared" si="194"/>
        <v>-0.8</v>
      </c>
      <c r="V81" s="243">
        <f t="shared" si="194"/>
        <v>-0.66666666666666674</v>
      </c>
      <c r="W81" s="243">
        <f t="shared" si="194"/>
        <v>0</v>
      </c>
      <c r="X81" s="243">
        <f t="shared" si="194"/>
        <v>0</v>
      </c>
      <c r="Y81" s="243">
        <f t="shared" si="194"/>
        <v>0</v>
      </c>
      <c r="Z81" s="243">
        <f t="shared" si="194"/>
        <v>-0.5</v>
      </c>
      <c r="AA81" s="243">
        <f t="shared" si="194"/>
        <v>0</v>
      </c>
      <c r="AB81" s="243">
        <f t="shared" si="194"/>
        <v>-1</v>
      </c>
      <c r="AC81" s="243">
        <f t="shared" ref="AC81:AD81" si="195">IFERROR((AC77+AC72)/AC72-1,0)</f>
        <v>0</v>
      </c>
      <c r="AD81" s="244">
        <f t="shared" si="19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1325</v>
      </c>
      <c r="D83" s="178" t="s">
        <v>3</v>
      </c>
      <c r="E83" s="178" t="s">
        <v>4</v>
      </c>
      <c r="F83" s="178" t="s">
        <v>1327</v>
      </c>
      <c r="G83" s="195"/>
      <c r="H83" s="178" t="s">
        <v>1552</v>
      </c>
      <c r="J83" s="194">
        <v>45658</v>
      </c>
      <c r="K83" s="194">
        <f t="shared" ref="K83" si="196">EOMONTH(J83,0)+1</f>
        <v>45689</v>
      </c>
      <c r="L83" s="194">
        <f t="shared" ref="L83" si="197">EOMONTH(K83,0)+1</f>
        <v>45717</v>
      </c>
      <c r="M83" s="194">
        <f t="shared" ref="M83" si="198">EOMONTH(L83,0)+1</f>
        <v>45748</v>
      </c>
      <c r="N83" s="194">
        <f t="shared" ref="N83" si="199">EOMONTH(M83,0)+1</f>
        <v>45778</v>
      </c>
      <c r="O83" s="194">
        <f t="shared" ref="O83" si="200">EOMONTH(N83,0)+1</f>
        <v>45809</v>
      </c>
      <c r="P83" s="194">
        <f t="shared" ref="P83" si="201">EOMONTH(O83,0)+1</f>
        <v>45839</v>
      </c>
      <c r="Q83" s="194">
        <v>45870</v>
      </c>
      <c r="R83" s="194">
        <f t="shared" ref="R83" si="202">EOMONTH(Q83,0)+1</f>
        <v>45901</v>
      </c>
      <c r="S83" s="194">
        <f t="shared" ref="S83" si="203">EOMONTH(R83,0)+1</f>
        <v>45931</v>
      </c>
      <c r="T83" s="194">
        <f t="shared" ref="T83" si="204">EOMONTH(S83,0)+1</f>
        <v>45962</v>
      </c>
      <c r="U83" s="194">
        <f t="shared" ref="U83" si="205">EOMONTH(T83,0)+1</f>
        <v>45992</v>
      </c>
      <c r="V83" s="194">
        <f t="shared" ref="V83" si="206">EOMONTH(U83,0)+1</f>
        <v>46023</v>
      </c>
      <c r="W83" s="194">
        <f t="shared" ref="W83" si="207">EOMONTH(V83,0)+1</f>
        <v>46054</v>
      </c>
      <c r="X83" s="194">
        <f t="shared" ref="X83" si="208">EOMONTH(W83,0)+1</f>
        <v>46082</v>
      </c>
      <c r="Y83" s="194">
        <f t="shared" ref="Y83" si="209">EOMONTH(X83,0)+1</f>
        <v>46113</v>
      </c>
      <c r="Z83" s="194">
        <f t="shared" ref="Z83" si="210">EOMONTH(Y83,0)+1</f>
        <v>46143</v>
      </c>
      <c r="AA83" s="194">
        <f t="shared" ref="AA83" si="211">EOMONTH(Z83,0)+1</f>
        <v>46174</v>
      </c>
      <c r="AB83" s="194">
        <f t="shared" ref="AB83" si="212">EOMONTH(AA83,0)+1</f>
        <v>46204</v>
      </c>
      <c r="AC83" s="194">
        <f t="shared" ref="AC83" si="213">EOMONTH(AB83,0)+1</f>
        <v>46235</v>
      </c>
      <c r="AD83" s="194">
        <f t="shared" ref="AD83" si="21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15">+H91-H86-H90</f>
        <v>-10</v>
      </c>
      <c r="J85" s="184">
        <f t="shared" ref="J85:Z85" si="216">+J91-J86-J90</f>
        <v>-11</v>
      </c>
      <c r="K85" s="184">
        <f t="shared" si="216"/>
        <v>-11</v>
      </c>
      <c r="L85" s="184">
        <f t="shared" si="216"/>
        <v>-11</v>
      </c>
      <c r="M85" s="184">
        <f t="shared" si="216"/>
        <v>-11</v>
      </c>
      <c r="N85" s="184">
        <f t="shared" si="216"/>
        <v>-11</v>
      </c>
      <c r="O85" s="184">
        <f t="shared" si="216"/>
        <v>-11</v>
      </c>
      <c r="P85" s="184">
        <f t="shared" si="216"/>
        <v>-11</v>
      </c>
      <c r="Q85" s="184">
        <f t="shared" si="216"/>
        <v>-11</v>
      </c>
      <c r="R85" s="184">
        <f t="shared" si="216"/>
        <v>-11</v>
      </c>
      <c r="S85" s="184">
        <f t="shared" si="216"/>
        <v>-10</v>
      </c>
      <c r="T85" s="184">
        <f t="shared" si="216"/>
        <v>-2</v>
      </c>
      <c r="U85" s="184">
        <f t="shared" si="216"/>
        <v>-3</v>
      </c>
      <c r="V85" s="184">
        <f t="shared" si="216"/>
        <v>-3</v>
      </c>
      <c r="W85" s="184">
        <f t="shared" si="216"/>
        <v>-2</v>
      </c>
      <c r="X85" s="184">
        <f t="shared" si="216"/>
        <v>0</v>
      </c>
      <c r="Y85" s="184">
        <f t="shared" si="216"/>
        <v>0</v>
      </c>
      <c r="Z85" s="184">
        <f t="shared" si="216"/>
        <v>0</v>
      </c>
      <c r="AA85" s="184">
        <f>+AA91-AA86-AA90</f>
        <v>0</v>
      </c>
      <c r="AB85" s="184">
        <f>+AB91-AB86-AB90</f>
        <v>0</v>
      </c>
      <c r="AC85" s="184">
        <f t="shared" ref="AC85:AD85" si="217">+AC91-AC86-AC90</f>
        <v>0</v>
      </c>
      <c r="AD85" s="184">
        <f t="shared" si="21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74" t="s">
        <v>1553</v>
      </c>
      <c r="E87" s="199">
        <f t="shared" ref="E87:E89" si="218">SUM(J87:U87)</f>
        <v>0</v>
      </c>
      <c r="F87" s="199">
        <f t="shared" ref="F87:F89" si="219">SUM(V87:AD87)</f>
        <v>0</v>
      </c>
      <c r="H87" s="199">
        <f t="shared" ref="H87:H89" si="22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74" t="s">
        <v>1554</v>
      </c>
      <c r="E88" s="199">
        <f t="shared" si="218"/>
        <v>0</v>
      </c>
      <c r="F88" s="199">
        <f t="shared" si="219"/>
        <v>0</v>
      </c>
      <c r="H88" s="199">
        <f t="shared" si="22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74" t="s">
        <v>1555</v>
      </c>
      <c r="E89" s="199">
        <f t="shared" si="218"/>
        <v>-2</v>
      </c>
      <c r="F89" s="199">
        <f t="shared" si="219"/>
        <v>0</v>
      </c>
      <c r="H89" s="199">
        <f t="shared" si="22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1556</v>
      </c>
    </row>
    <row r="90" spans="2:37" ht="12" customHeight="1">
      <c r="B90" s="264" t="s">
        <v>1557</v>
      </c>
      <c r="C90" s="267"/>
      <c r="D90" s="267"/>
      <c r="E90" s="265">
        <f>SUM(J90:U90)</f>
        <v>-2</v>
      </c>
      <c r="F90" s="265">
        <f>SUM(V90:AD90)</f>
        <v>0</v>
      </c>
      <c r="G90" s="266"/>
      <c r="H90" s="265">
        <f>SUM(S90:AD90)</f>
        <v>-1</v>
      </c>
      <c r="I90" s="266"/>
      <c r="J90" s="267">
        <f>-COUNTIFS('Full Customer List'!$J:$J,J$1,'Full Customer List'!$E:$E,$AF83)</f>
        <v>0</v>
      </c>
      <c r="K90" s="267">
        <f>-COUNTIFS('Full Customer List'!$J:$J,K$1,'Full Customer List'!$E:$E,$AF83)</f>
        <v>0</v>
      </c>
      <c r="L90" s="267">
        <f>-COUNTIFS('Full Customer List'!$J:$J,L$1,'Full Customer List'!$E:$E,$AF83)</f>
        <v>0</v>
      </c>
      <c r="M90" s="267">
        <f>-COUNTIFS('Full Customer List'!$J:$J,M$1,'Full Customer List'!$E:$E,$AF83)</f>
        <v>0</v>
      </c>
      <c r="N90" s="267">
        <f>-COUNTIFS('Full Customer List'!$J:$J,N$1,'Full Customer List'!$E:$E,$AF83)</f>
        <v>0</v>
      </c>
      <c r="O90" s="267">
        <f>-COUNTIFS('Full Customer List'!$J:$J,O$1,'Full Customer List'!$E:$E,$AF83)</f>
        <v>0</v>
      </c>
      <c r="P90" s="267">
        <f>-COUNTIFS('Full Customer List'!$J:$J,P$1,'Full Customer List'!$E:$E,$AF83)</f>
        <v>0</v>
      </c>
      <c r="Q90" s="267">
        <f>-COUNTIFS('Full Customer List'!$J:$J,Q$1,'Full Customer List'!$E:$E,$AF83)</f>
        <v>0</v>
      </c>
      <c r="R90" s="267">
        <f>-COUNTIFS('Full Customer List'!$J:$J,R$1,'Full Customer List'!$E:$E,$AF83)</f>
        <v>-1</v>
      </c>
      <c r="S90" s="267">
        <f>-COUNTIFS('Full Customer List'!$J:$J,S$1,'Full Customer List'!$E:$E,$AF83)</f>
        <v>0</v>
      </c>
      <c r="T90" s="267">
        <f>-COUNTIFS('Full Customer List'!$J:$J,T$1,'Full Customer List'!$E:$E,$AF83)</f>
        <v>-1</v>
      </c>
      <c r="U90" s="267">
        <f>-COUNTIFS('Full Customer List'!$J:$J,U$1,'Full Customer List'!$E:$E,$AF83)</f>
        <v>0</v>
      </c>
      <c r="V90" s="267">
        <f>-COUNTIFS('Full Customer List'!$J:$J,V$1,'Full Customer List'!$E:$E,$AF83)</f>
        <v>0</v>
      </c>
      <c r="W90" s="267">
        <f>-COUNTIFS('Full Customer List'!$J:$J,W$1,'Full Customer List'!$E:$E,$AF83)</f>
        <v>0</v>
      </c>
      <c r="X90" s="267">
        <f>-COUNTIFS('Full Customer List'!$J:$J,X$1,'Full Customer List'!$E:$E,$AF83)</f>
        <v>0</v>
      </c>
      <c r="Y90" s="267">
        <f>-COUNTIFS('Full Customer List'!$J:$J,Y$1,'Full Customer List'!$E:$E,$AF83)</f>
        <v>0</v>
      </c>
      <c r="Z90" s="267">
        <f>-COUNTIFS('Full Customer List'!$J:$J,Z$1,'Full Customer List'!$E:$E,$AF83)</f>
        <v>0</v>
      </c>
      <c r="AA90" s="267">
        <f>-COUNTIFS('Full Customer List'!$J:$J,AA$1,'Full Customer List'!$E:$E,$AF83)</f>
        <v>0</v>
      </c>
      <c r="AB90" s="267">
        <f>-COUNTIFS('Full Customer List'!$J:$J,AB$1,'Full Customer List'!$E:$E,$AF83)</f>
        <v>0</v>
      </c>
      <c r="AC90" s="267">
        <f>-COUNTIFS('Full Customer List'!$J:$J,AC$1,'Full Customer List'!$E:$E,$AF83)</f>
        <v>0</v>
      </c>
      <c r="AD90" s="267">
        <f>-COUNTIFS('Full Customer List'!$J:$J,AD$1,'Full Customer List'!$E:$E,$AF83)</f>
        <v>0</v>
      </c>
    </row>
    <row r="91" spans="2:37" ht="12" customHeight="1">
      <c r="B91" s="268" t="s">
        <v>1324</v>
      </c>
      <c r="C91" s="269"/>
      <c r="D91" s="269"/>
      <c r="E91" s="269">
        <f>+F85</f>
        <v>-3</v>
      </c>
      <c r="F91" s="270">
        <f>+$AD91</f>
        <v>0</v>
      </c>
      <c r="H91" s="273">
        <f>+$AD91</f>
        <v>0</v>
      </c>
      <c r="J91" s="271">
        <f>+K85</f>
        <v>-11</v>
      </c>
      <c r="K91" s="269">
        <f>+L85</f>
        <v>-11</v>
      </c>
      <c r="L91" s="269">
        <f>+M85</f>
        <v>-11</v>
      </c>
      <c r="M91" s="269">
        <f>+N85</f>
        <v>-11</v>
      </c>
      <c r="N91" s="269">
        <f>+O85</f>
        <v>-11</v>
      </c>
      <c r="O91" s="269">
        <f>+P85</f>
        <v>-11</v>
      </c>
      <c r="P91" s="269">
        <f>+Q85</f>
        <v>-11</v>
      </c>
      <c r="Q91" s="269">
        <f>+R85</f>
        <v>-11</v>
      </c>
      <c r="R91" s="269">
        <f>+S85</f>
        <v>-10</v>
      </c>
      <c r="S91" s="269">
        <f>+T85</f>
        <v>-2</v>
      </c>
      <c r="T91" s="269">
        <f>+U85</f>
        <v>-3</v>
      </c>
      <c r="U91" s="269">
        <f>+V85</f>
        <v>-3</v>
      </c>
      <c r="V91" s="269">
        <f>+W85</f>
        <v>-2</v>
      </c>
      <c r="W91" s="269">
        <f>+X85</f>
        <v>0</v>
      </c>
      <c r="X91" s="269">
        <f>+Y85</f>
        <v>0</v>
      </c>
      <c r="Y91" s="269">
        <f>+Z85</f>
        <v>0</v>
      </c>
      <c r="Z91" s="269">
        <f>+AA85</f>
        <v>0</v>
      </c>
      <c r="AA91" s="269">
        <f>+AB85</f>
        <v>0</v>
      </c>
      <c r="AB91" s="269">
        <f>+AC85</f>
        <v>0</v>
      </c>
      <c r="AC91" s="269">
        <f>+AD85</f>
        <v>0</v>
      </c>
      <c r="AD91" s="270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1542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21">(J86+J85)/J85-1</f>
        <v>0</v>
      </c>
      <c r="K93" s="240">
        <f t="shared" si="221"/>
        <v>0</v>
      </c>
      <c r="L93" s="240">
        <f t="shared" si="221"/>
        <v>0</v>
      </c>
      <c r="M93" s="240">
        <f t="shared" si="221"/>
        <v>0</v>
      </c>
      <c r="N93" s="240">
        <f t="shared" si="221"/>
        <v>0</v>
      </c>
      <c r="O93" s="240">
        <f t="shared" si="221"/>
        <v>0</v>
      </c>
      <c r="P93" s="240">
        <f t="shared" si="221"/>
        <v>0</v>
      </c>
      <c r="Q93" s="240">
        <f t="shared" si="221"/>
        <v>0</v>
      </c>
      <c r="R93" s="240">
        <f t="shared" si="221"/>
        <v>-0.18181818181818177</v>
      </c>
      <c r="S93" s="240">
        <f t="shared" si="221"/>
        <v>-0.8</v>
      </c>
      <c r="T93" s="240">
        <f t="shared" si="221"/>
        <v>0</v>
      </c>
      <c r="U93" s="240">
        <f t="shared" ref="U93:AD93" si="222">IFERROR((U86+U85)/U85-1,0)</f>
        <v>0</v>
      </c>
      <c r="V93" s="240">
        <f t="shared" si="222"/>
        <v>-0.33333333333333337</v>
      </c>
      <c r="W93" s="240">
        <f t="shared" si="222"/>
        <v>-1</v>
      </c>
      <c r="X93" s="240">
        <f t="shared" si="222"/>
        <v>0</v>
      </c>
      <c r="Y93" s="240">
        <f t="shared" si="222"/>
        <v>0</v>
      </c>
      <c r="Z93" s="240">
        <f t="shared" si="222"/>
        <v>0</v>
      </c>
      <c r="AA93" s="240">
        <f t="shared" si="222"/>
        <v>0</v>
      </c>
      <c r="AB93" s="240">
        <f t="shared" si="222"/>
        <v>0</v>
      </c>
      <c r="AC93" s="240">
        <f t="shared" si="222"/>
        <v>0</v>
      </c>
      <c r="AD93" s="251">
        <f t="shared" si="222"/>
        <v>0</v>
      </c>
    </row>
    <row r="94" spans="2:37" ht="12" customHeight="1">
      <c r="B94" s="241" t="s">
        <v>1543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23">(J90+J85)/J85-1</f>
        <v>0</v>
      </c>
      <c r="K94" s="243">
        <f t="shared" si="223"/>
        <v>0</v>
      </c>
      <c r="L94" s="243">
        <f t="shared" si="223"/>
        <v>0</v>
      </c>
      <c r="M94" s="243">
        <f t="shared" si="223"/>
        <v>0</v>
      </c>
      <c r="N94" s="243">
        <f t="shared" si="223"/>
        <v>0</v>
      </c>
      <c r="O94" s="243">
        <f t="shared" si="223"/>
        <v>0</v>
      </c>
      <c r="P94" s="243">
        <f t="shared" si="223"/>
        <v>0</v>
      </c>
      <c r="Q94" s="243">
        <f t="shared" si="223"/>
        <v>0</v>
      </c>
      <c r="R94" s="243">
        <f t="shared" si="223"/>
        <v>9.0909090909090828E-2</v>
      </c>
      <c r="S94" s="243">
        <f t="shared" si="223"/>
        <v>0</v>
      </c>
      <c r="T94" s="243">
        <f t="shared" si="223"/>
        <v>0.5</v>
      </c>
      <c r="U94" s="243">
        <f t="shared" si="223"/>
        <v>0</v>
      </c>
      <c r="V94" s="243">
        <f t="shared" si="223"/>
        <v>0</v>
      </c>
      <c r="W94" s="243">
        <f t="shared" si="223"/>
        <v>0</v>
      </c>
      <c r="X94" s="243">
        <f>IFERROR((X90+X85)/X85-1,0)</f>
        <v>0</v>
      </c>
      <c r="Y94" s="243">
        <f t="shared" ref="Y94:AD94" si="224">IFERROR((Y90+Y85)/Y85-1,0)</f>
        <v>0</v>
      </c>
      <c r="Z94" s="243">
        <f t="shared" si="224"/>
        <v>0</v>
      </c>
      <c r="AA94" s="243">
        <f t="shared" si="224"/>
        <v>0</v>
      </c>
      <c r="AB94" s="243">
        <f t="shared" si="224"/>
        <v>0</v>
      </c>
      <c r="AC94" s="243">
        <f t="shared" si="224"/>
        <v>0</v>
      </c>
      <c r="AD94" s="244">
        <f t="shared" si="224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B6:H6 J6:AH6">
    <cfRule type="expression" dxfId="12" priority="18">
      <formula>$Y$3=1</formula>
    </cfRule>
  </conditionalFormatting>
  <conditionalFormatting sqref="B19:H19 J19:AH19">
    <cfRule type="expression" dxfId="11" priority="6">
      <formula>$Y$3=1</formula>
    </cfRule>
  </conditionalFormatting>
  <conditionalFormatting sqref="B32:H32">
    <cfRule type="expression" dxfId="10" priority="5">
      <formula>$Y$3=1</formula>
    </cfRule>
  </conditionalFormatting>
  <conditionalFormatting sqref="B45:H45">
    <cfRule type="expression" dxfId="9" priority="4">
      <formula>$Y$3=1</formula>
    </cfRule>
  </conditionalFormatting>
  <conditionalFormatting sqref="B58:H58">
    <cfRule type="expression" dxfId="8" priority="3">
      <formula>$Y$3=1</formula>
    </cfRule>
  </conditionalFormatting>
  <conditionalFormatting sqref="B71:H71">
    <cfRule type="expression" dxfId="7" priority="2">
      <formula>$Y$3=1</formula>
    </cfRule>
  </conditionalFormatting>
  <conditionalFormatting sqref="B84:H84">
    <cfRule type="expression" dxfId="6" priority="1">
      <formula>$Y$3=1</formula>
    </cfRule>
  </conditionalFormatting>
  <conditionalFormatting sqref="J32:AH32">
    <cfRule type="expression" dxfId="5" priority="16">
      <formula>$Y$3=1</formula>
    </cfRule>
  </conditionalFormatting>
  <conditionalFormatting sqref="J45:AH45">
    <cfRule type="expression" dxfId="4" priority="12">
      <formula>$Y$3=1</formula>
    </cfRule>
  </conditionalFormatting>
  <conditionalFormatting sqref="J58:AH58">
    <cfRule type="expression" dxfId="3" priority="15">
      <formula>$Y$3=1</formula>
    </cfRule>
  </conditionalFormatting>
  <conditionalFormatting sqref="J71:AH71">
    <cfRule type="expression" dxfId="2" priority="14">
      <formula>$Y$3=1</formula>
    </cfRule>
  </conditionalFormatting>
  <conditionalFormatting sqref="J84:AH84">
    <cfRule type="expression" dxfId="1" priority="9">
      <formula>$Y$3=1</formula>
    </cfRule>
  </conditionalFormatting>
  <conditionalFormatting sqref="AF44">
    <cfRule type="expression" dxfId="0" priority="10">
      <formula>$Y$3=1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>
      <selection activeCell="B6" sqref="B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63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1328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62">
        <f>INDEX('Revenue by Customer'!$I:$I,MATCH('Full Customer List'!$B7,'Revenue by Customer'!$A:$A,0))</f>
        <v>9193.0300000000007</v>
      </c>
      <c r="H7" s="262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62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62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62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62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62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62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62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62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62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62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62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62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62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62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62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62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62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62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62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62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62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62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62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62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62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62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62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62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62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62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62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62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62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62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62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62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62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62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62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62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62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62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62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62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62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62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62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62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62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62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62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62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62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62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62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62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62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62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62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62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62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62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62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62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62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62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62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62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62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62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62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62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62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62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62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62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62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62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62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62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62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62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62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62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62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62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62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62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62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62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62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62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62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62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62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62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62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62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62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62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62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62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62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62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62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62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62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62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62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62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62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62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62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62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62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62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62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62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62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62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62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62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62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62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62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62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62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62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62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62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62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62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62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62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62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62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62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62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62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62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62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62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62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62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62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62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62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62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62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62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62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62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62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62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62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62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62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62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62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62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62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62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62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62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62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62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62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62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62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62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62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62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62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62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62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62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62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62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62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62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62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62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62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62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62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62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62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62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62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62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62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62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62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62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62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62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62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62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62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62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62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62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62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62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62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62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62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62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62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62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62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62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62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62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62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62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62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62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62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62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62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62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62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62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62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62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62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62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62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62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62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62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62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62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62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62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62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62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62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62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62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62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62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62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62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62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62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62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62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62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62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62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62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62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62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62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62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62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62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62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62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62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62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62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62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62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62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62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62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62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62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62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62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62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62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62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62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62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62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62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62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62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62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62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62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62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62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62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62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62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62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62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62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62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62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62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62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62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62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62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62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62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62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62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62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62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1545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62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1546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62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1547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62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1548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62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1549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62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1550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62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1551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62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G78" sqref="G78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1545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1546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1547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1548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1549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1550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1551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</vt:i4>
      </vt:variant>
    </vt:vector>
  </HeadingPairs>
  <TitlesOfParts>
    <vt:vector size="46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Cover!Print_Area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2026-09-10T16:44:35Z</cp:lastPrinted>
  <dcterms:created xsi:type="dcterms:W3CDTF">2015-06-05T18:17:20Z</dcterms:created>
  <dcterms:modified xsi:type="dcterms:W3CDTF">2026-09-10T18:04:35Z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