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AC7A4F89-65EF-41A4-A317-9BDB245FF3BA}" xr6:coauthVersionLast="47" xr6:coauthVersionMax="47" xr10:uidLastSave="{00000000-0000-0000-0000-000000000000}"/>
  <bookViews>
    <workbookView xWindow="-120" yWindow="-120" windowWidth="51840" windowHeight="21840" firstSheet="4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Client Retention $" sheetId="38" r:id="rId16"/>
    <sheet name="Client Retention Charts $" sheetId="39" r:id="rId17"/>
    <sheet name="Full Customer List" sheetId="30" r:id="rId18"/>
    <sheet name="Client Departures" sheetId="29" r:id="rId19"/>
    <sheet name="Customer Data --&gt;" sheetId="20" r:id="rId20"/>
    <sheet name="Missing End Dates" sheetId="36" r:id="rId21"/>
    <sheet name="Revenue by Customer" sheetId="23" r:id="rId22"/>
    <sheet name="Customer List" sheetId="27" r:id="rId23"/>
    <sheet name="Customer List Mapping" sheetId="32" r:id="rId24"/>
    <sheet name="README" sheetId="21" r:id="rId25"/>
    <sheet name="Summary" sheetId="22" r:id="rId26"/>
    <sheet name="Monthly Trend" sheetId="24" r:id="rId27"/>
    <sheet name="New &amp; Lost Revenue" sheetId="25" r:id="rId28"/>
    <sheet name="Recurring vs Total" sheetId="26" r:id="rId29"/>
    <sheet name="Definitions" sheetId="28" r:id="rId30"/>
    <sheet name="Raw Data --&gt;" sheetId="6" r:id="rId31"/>
    <sheet name="Software" sheetId="12" r:id="rId32"/>
    <sheet name="Raw - 2024 PL" sheetId="3" r:id="rId33"/>
    <sheet name="Raw - 2025 PL" sheetId="4" r:id="rId34"/>
    <sheet name="Raw - 2026 PL" sheetId="5" r:id="rId35"/>
  </sheets>
  <definedNames>
    <definedName name="_xlnm._FilterDatabase" localSheetId="5">'Headcount &amp; Compensation'!A1:L91</definedName>
    <definedName name="_xlnm._FilterDatabase" localSheetId="20" hidden="1">'Missing End Dates'!$B$6:$AA$320</definedName>
    <definedName name="_xlnm._FilterDatabase" localSheetId="31">Software!A5:H67</definedName>
    <definedName name="_xlnm.Print_Area" localSheetId="13">'Client Retention'!$B$2:$AD$42,'Client Retention'!$B$44:$AD$81</definedName>
    <definedName name="_xlnm.Print_Area" localSheetId="15">'Client Retention $'!$B$2:$AD$42,'Client Retention $'!$B$44:$AD$81</definedName>
    <definedName name="_xlnm.Print_Area" localSheetId="16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15">'Client Retention $'!$2:$4</definedName>
    <definedName name="_xlnm.Print_Titles" localSheetId="16">'Client Retention Charts $'!$2:$4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33" l="1"/>
  <c r="AD26" i="38"/>
  <c r="H78" i="38"/>
  <c r="F78" i="38"/>
  <c r="H77" i="38"/>
  <c r="F77" i="38"/>
  <c r="E77" i="38"/>
  <c r="H76" i="38"/>
  <c r="F76" i="38"/>
  <c r="E76" i="38"/>
  <c r="H75" i="38"/>
  <c r="F75" i="38"/>
  <c r="E75" i="38"/>
  <c r="H74" i="38"/>
  <c r="F74" i="38"/>
  <c r="E74" i="38"/>
  <c r="H73" i="38"/>
  <c r="F73" i="38"/>
  <c r="E73" i="38"/>
  <c r="H65" i="38"/>
  <c r="F65" i="38"/>
  <c r="H64" i="38"/>
  <c r="F64" i="38"/>
  <c r="E64" i="38"/>
  <c r="H63" i="38"/>
  <c r="F63" i="38"/>
  <c r="E63" i="38"/>
  <c r="H62" i="38"/>
  <c r="F62" i="38"/>
  <c r="E62" i="38"/>
  <c r="H61" i="38"/>
  <c r="F61" i="38"/>
  <c r="E61" i="38"/>
  <c r="H60" i="38"/>
  <c r="F60" i="38"/>
  <c r="E60" i="38"/>
  <c r="H52" i="38"/>
  <c r="F52" i="38"/>
  <c r="H51" i="38"/>
  <c r="F51" i="38"/>
  <c r="E51" i="38"/>
  <c r="H50" i="38"/>
  <c r="F50" i="38"/>
  <c r="E50" i="38"/>
  <c r="H49" i="38"/>
  <c r="F49" i="38"/>
  <c r="E49" i="38"/>
  <c r="H48" i="38"/>
  <c r="F48" i="38"/>
  <c r="E48" i="38"/>
  <c r="H47" i="38"/>
  <c r="F47" i="38"/>
  <c r="E47" i="38"/>
  <c r="H39" i="38"/>
  <c r="F39" i="38"/>
  <c r="H38" i="38"/>
  <c r="F38" i="38"/>
  <c r="E38" i="38"/>
  <c r="H37" i="38"/>
  <c r="F37" i="38"/>
  <c r="E37" i="38"/>
  <c r="H36" i="38"/>
  <c r="F36" i="38"/>
  <c r="E36" i="38"/>
  <c r="H35" i="38"/>
  <c r="F35" i="38"/>
  <c r="E35" i="38"/>
  <c r="H34" i="38"/>
  <c r="F34" i="38"/>
  <c r="E34" i="38"/>
  <c r="H26" i="38"/>
  <c r="F26" i="38"/>
  <c r="H25" i="38"/>
  <c r="F25" i="38"/>
  <c r="E25" i="38"/>
  <c r="H24" i="38"/>
  <c r="F24" i="38"/>
  <c r="E24" i="38"/>
  <c r="H23" i="38"/>
  <c r="F23" i="38"/>
  <c r="E23" i="38"/>
  <c r="H22" i="38"/>
  <c r="F22" i="38"/>
  <c r="E22" i="38"/>
  <c r="H21" i="38"/>
  <c r="F21" i="38"/>
  <c r="E21" i="38"/>
  <c r="D12" i="38"/>
  <c r="C12" i="38"/>
  <c r="C8" i="38"/>
  <c r="D8" i="38"/>
  <c r="F13" i="38"/>
  <c r="E12" i="38"/>
  <c r="F12" i="38"/>
  <c r="E11" i="38"/>
  <c r="E10" i="38"/>
  <c r="E9" i="38"/>
  <c r="E8" i="38"/>
  <c r="F11" i="38"/>
  <c r="F10" i="38"/>
  <c r="F9" i="38"/>
  <c r="F8" i="38"/>
  <c r="H8" i="38"/>
  <c r="H9" i="38"/>
  <c r="H10" i="38"/>
  <c r="H11" i="38"/>
  <c r="H12" i="38"/>
  <c r="H13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C280" i="30"/>
  <c r="H280" i="30" s="1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C278" i="30"/>
  <c r="H278" i="30" s="1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C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C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C265" i="30"/>
  <c r="H265" i="30" s="1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C264" i="30"/>
  <c r="H264" i="30" s="1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C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C246" i="30"/>
  <c r="H246" i="30" s="1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C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C244" i="30"/>
  <c r="H244" i="30" s="1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C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C242" i="30"/>
  <c r="H242" i="30" s="1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C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C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C220" i="30"/>
  <c r="H220" i="30" s="1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C204" i="30"/>
  <c r="H204" i="30" s="1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C190" i="30"/>
  <c r="H190" i="30" s="1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C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C128" i="30"/>
  <c r="H128" i="30" s="1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C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C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C64" i="30"/>
  <c r="H64" i="30" s="1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E106" i="16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6" i="16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59" i="17"/>
  <c r="B46" i="17"/>
  <c r="B53" i="17" s="1"/>
  <c r="B45" i="17"/>
  <c r="B58" i="17" s="1"/>
  <c r="B44" i="17"/>
  <c r="B57" i="17" s="1"/>
  <c r="B43" i="17"/>
  <c r="B56" i="17" s="1"/>
  <c r="C40" i="17"/>
  <c r="B38" i="17"/>
  <c r="B37" i="17"/>
  <c r="B36" i="17"/>
  <c r="B25" i="17"/>
  <c r="B23" i="17"/>
  <c r="B22" i="17"/>
  <c r="B21" i="17"/>
  <c r="B20" i="17"/>
  <c r="B16" i="17"/>
  <c r="B15" i="17"/>
  <c r="B27" i="17" s="1"/>
  <c r="B14" i="17"/>
  <c r="B26" i="17" s="1"/>
  <c r="B13" i="17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43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K21" i="19"/>
  <c r="C21" i="19"/>
  <c r="B21" i="19"/>
  <c r="B10" i="19" s="1"/>
  <c r="K20" i="19"/>
  <c r="C20" i="19" s="1"/>
  <c r="B20" i="19"/>
  <c r="K19" i="19"/>
  <c r="C19" i="19" s="1"/>
  <c r="B19" i="19"/>
  <c r="B9" i="19" s="1"/>
  <c r="K18" i="19"/>
  <c r="C18" i="19" s="1"/>
  <c r="B18" i="19"/>
  <c r="K17" i="19"/>
  <c r="C17" i="19"/>
  <c r="B17" i="19"/>
  <c r="K16" i="19"/>
  <c r="B16" i="19"/>
  <c r="K15" i="19"/>
  <c r="C15" i="19" s="1"/>
  <c r="B15" i="19"/>
  <c r="B7" i="19" s="1"/>
  <c r="D10" i="19"/>
  <c r="F10" i="19" s="1"/>
  <c r="C10" i="19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L94" i="34"/>
  <c r="E66" i="35"/>
  <c r="C65" i="35"/>
  <c r="H63" i="35"/>
  <c r="G63" i="35"/>
  <c r="F63" i="35"/>
  <c r="E63" i="35"/>
  <c r="D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63" i="35" s="1"/>
  <c r="C66" i="35" s="1"/>
  <c r="E33" i="35"/>
  <c r="C33" i="35"/>
  <c r="H23" i="35"/>
  <c r="G23" i="35"/>
  <c r="F23" i="35"/>
  <c r="E23" i="35"/>
  <c r="E22" i="35"/>
  <c r="C22" i="35"/>
  <c r="D22" i="35" s="1"/>
  <c r="E21" i="35"/>
  <c r="D21" i="35" s="1"/>
  <c r="C21" i="35"/>
  <c r="E20" i="35"/>
  <c r="C20" i="35"/>
  <c r="D20" i="35" s="1"/>
  <c r="E19" i="35"/>
  <c r="C19" i="35"/>
  <c r="D19" i="35" s="1"/>
  <c r="E18" i="35"/>
  <c r="D18" i="35" s="1"/>
  <c r="C18" i="35"/>
  <c r="H15" i="35"/>
  <c r="G15" i="35"/>
  <c r="F15" i="35"/>
  <c r="E14" i="35"/>
  <c r="D14" i="35" s="1"/>
  <c r="C14" i="35"/>
  <c r="E13" i="35"/>
  <c r="C13" i="35"/>
  <c r="C15" i="35" s="1"/>
  <c r="E10" i="35"/>
  <c r="D10" i="35" s="1"/>
  <c r="E9" i="35"/>
  <c r="D9" i="35"/>
  <c r="C9" i="35"/>
  <c r="E8" i="35"/>
  <c r="C8" i="35"/>
  <c r="E7" i="35"/>
  <c r="D7" i="35" s="1"/>
  <c r="C7" i="35"/>
  <c r="C10" i="35" s="1"/>
  <c r="B2" i="35"/>
  <c r="I172" i="11"/>
  <c r="G172" i="11"/>
  <c r="C172" i="11"/>
  <c r="D171" i="11"/>
  <c r="B165" i="11"/>
  <c r="B163" i="11"/>
  <c r="B162" i="11"/>
  <c r="B161" i="11"/>
  <c r="B160" i="11"/>
  <c r="B159" i="11"/>
  <c r="C158" i="11"/>
  <c r="B158" i="11"/>
  <c r="B157" i="11"/>
  <c r="B156" i="11"/>
  <c r="B155" i="11"/>
  <c r="B154" i="11"/>
  <c r="B153" i="11"/>
  <c r="B152" i="11"/>
  <c r="B151" i="11"/>
  <c r="B150" i="11"/>
  <c r="B149" i="11"/>
  <c r="B148" i="11"/>
  <c r="B146" i="11"/>
  <c r="B143" i="11"/>
  <c r="B142" i="11"/>
  <c r="C141" i="11"/>
  <c r="B141" i="11"/>
  <c r="B140" i="11"/>
  <c r="C139" i="11"/>
  <c r="B139" i="11"/>
  <c r="B136" i="11"/>
  <c r="C135" i="11"/>
  <c r="K35" i="11" s="1"/>
  <c r="B135" i="11"/>
  <c r="C133" i="11"/>
  <c r="C132" i="11"/>
  <c r="C130" i="11"/>
  <c r="C127" i="11"/>
  <c r="B124" i="11"/>
  <c r="B123" i="11"/>
  <c r="B122" i="11"/>
  <c r="B121" i="11"/>
  <c r="B120" i="11"/>
  <c r="B119" i="11"/>
  <c r="B117" i="11"/>
  <c r="B116" i="11"/>
  <c r="B115" i="11"/>
  <c r="C114" i="11"/>
  <c r="B114" i="11"/>
  <c r="B113" i="11"/>
  <c r="B112" i="11"/>
  <c r="B111" i="11"/>
  <c r="B110" i="11"/>
  <c r="C109" i="11"/>
  <c r="B109" i="11"/>
  <c r="V102" i="11"/>
  <c r="AT101" i="11"/>
  <c r="AR101" i="11"/>
  <c r="AN101" i="11"/>
  <c r="AM101" i="11"/>
  <c r="AK101" i="11"/>
  <c r="AJ101" i="11"/>
  <c r="AD101" i="11"/>
  <c r="W101" i="11"/>
  <c r="T101" i="11"/>
  <c r="R101" i="11"/>
  <c r="AQ100" i="11"/>
  <c r="AL100" i="11"/>
  <c r="AH100" i="11"/>
  <c r="AE100" i="11"/>
  <c r="AB100" i="11"/>
  <c r="V100" i="11"/>
  <c r="AM99" i="11"/>
  <c r="AL99" i="11"/>
  <c r="AH99" i="11"/>
  <c r="AB99" i="11"/>
  <c r="X99" i="11"/>
  <c r="V99" i="11"/>
  <c r="S99" i="11"/>
  <c r="AL98" i="11"/>
  <c r="V98" i="11"/>
  <c r="N90" i="11"/>
  <c r="M90" i="11"/>
  <c r="N89" i="11"/>
  <c r="M89" i="11"/>
  <c r="N88" i="11"/>
  <c r="M88" i="11"/>
  <c r="AQ84" i="11"/>
  <c r="AP84" i="11"/>
  <c r="AG84" i="11"/>
  <c r="Z84" i="11"/>
  <c r="V84" i="11"/>
  <c r="R84" i="11"/>
  <c r="Q84" i="11"/>
  <c r="AT79" i="11"/>
  <c r="AK79" i="11"/>
  <c r="AG79" i="11"/>
  <c r="AF79" i="11"/>
  <c r="AD79" i="11"/>
  <c r="AB79" i="11"/>
  <c r="W79" i="11"/>
  <c r="P79" i="11"/>
  <c r="AT73" i="11"/>
  <c r="AR73" i="11"/>
  <c r="AQ73" i="11"/>
  <c r="AP73" i="11"/>
  <c r="AO73" i="11"/>
  <c r="AL73" i="11"/>
  <c r="AI73" i="11"/>
  <c r="AE73" i="11"/>
  <c r="AB73" i="11"/>
  <c r="Z73" i="11"/>
  <c r="V73" i="11"/>
  <c r="S73" i="11"/>
  <c r="Q73" i="11"/>
  <c r="P73" i="11"/>
  <c r="AQ72" i="11"/>
  <c r="AN72" i="11"/>
  <c r="AM72" i="11"/>
  <c r="AL72" i="11"/>
  <c r="AJ72" i="11"/>
  <c r="AI72" i="11"/>
  <c r="X72" i="11"/>
  <c r="V72" i="11"/>
  <c r="S72" i="11"/>
  <c r="R72" i="11"/>
  <c r="Q72" i="11"/>
  <c r="AR71" i="11"/>
  <c r="AL71" i="11"/>
  <c r="AK71" i="11"/>
  <c r="AI71" i="11"/>
  <c r="AG71" i="11"/>
  <c r="AF71" i="11"/>
  <c r="AB71" i="11"/>
  <c r="AA71" i="11"/>
  <c r="V71" i="11"/>
  <c r="S71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S58" i="11"/>
  <c r="AS73" i="11" s="1"/>
  <c r="AR58" i="11"/>
  <c r="AQ58" i="11"/>
  <c r="AP58" i="11"/>
  <c r="AO58" i="11"/>
  <c r="AN58" i="11"/>
  <c r="AN73" i="11" s="1"/>
  <c r="AM58" i="11"/>
  <c r="AM73" i="11" s="1"/>
  <c r="AL58" i="11"/>
  <c r="AK58" i="11"/>
  <c r="AK73" i="11" s="1"/>
  <c r="AJ58" i="11"/>
  <c r="AJ73" i="11" s="1"/>
  <c r="AI58" i="11"/>
  <c r="AH58" i="11"/>
  <c r="AH73" i="11" s="1"/>
  <c r="AG58" i="11"/>
  <c r="AG73" i="11" s="1"/>
  <c r="AF58" i="11"/>
  <c r="AF73" i="11" s="1"/>
  <c r="AE58" i="11"/>
  <c r="AD58" i="11"/>
  <c r="AD73" i="11" s="1"/>
  <c r="AC58" i="11"/>
  <c r="AC73" i="11" s="1"/>
  <c r="AB58" i="11"/>
  <c r="AA58" i="11"/>
  <c r="AA73" i="11" s="1"/>
  <c r="Z58" i="11"/>
  <c r="Y58" i="11"/>
  <c r="Y73" i="11" s="1"/>
  <c r="X58" i="11"/>
  <c r="X73" i="11" s="1"/>
  <c r="W58" i="11"/>
  <c r="W73" i="11" s="1"/>
  <c r="V58" i="11"/>
  <c r="U58" i="11"/>
  <c r="U73" i="11" s="1"/>
  <c r="T58" i="11"/>
  <c r="T73" i="11" s="1"/>
  <c r="S58" i="11"/>
  <c r="R58" i="11"/>
  <c r="R73" i="11" s="1"/>
  <c r="Q58" i="11"/>
  <c r="P58" i="1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J57" i="11"/>
  <c r="AJ79" i="11" s="1"/>
  <c r="AI57" i="11"/>
  <c r="AI79" i="11" s="1"/>
  <c r="AH57" i="11"/>
  <c r="AH79" i="11" s="1"/>
  <c r="AG57" i="11"/>
  <c r="AF57" i="11"/>
  <c r="AE57" i="11"/>
  <c r="AE79" i="11" s="1"/>
  <c r="AD57" i="11"/>
  <c r="AC57" i="11"/>
  <c r="AC79" i="11" s="1"/>
  <c r="AB57" i="11"/>
  <c r="AA57" i="11"/>
  <c r="AA79" i="11" s="1"/>
  <c r="Z57" i="11"/>
  <c r="Z79" i="11" s="1"/>
  <c r="Y57" i="11"/>
  <c r="Y79" i="11" s="1"/>
  <c r="X57" i="11"/>
  <c r="X79" i="11" s="1"/>
  <c r="W57" i="1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AT56" i="1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K56" i="11"/>
  <c r="AT55" i="11"/>
  <c r="AS55" i="11"/>
  <c r="AR55" i="11"/>
  <c r="AQ55" i="11"/>
  <c r="AP55" i="11"/>
  <c r="AO55" i="11"/>
  <c r="AN55" i="11"/>
  <c r="AM55" i="11"/>
  <c r="AM62" i="11" s="1"/>
  <c r="L72" i="17" s="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P54" i="11"/>
  <c r="AP72" i="11" s="1"/>
  <c r="AO54" i="11"/>
  <c r="AO72" i="11" s="1"/>
  <c r="AN54" i="11"/>
  <c r="AM54" i="11"/>
  <c r="AL54" i="11"/>
  <c r="AK54" i="11"/>
  <c r="AK72" i="11" s="1"/>
  <c r="AJ54" i="11"/>
  <c r="AI54" i="1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W54" i="11"/>
  <c r="W72" i="11" s="1"/>
  <c r="V54" i="11"/>
  <c r="U54" i="11"/>
  <c r="U72" i="11" s="1"/>
  <c r="T54" i="11"/>
  <c r="T72" i="11" s="1"/>
  <c r="S54" i="11"/>
  <c r="R54" i="11"/>
  <c r="Q54" i="1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K52" i="11"/>
  <c r="AJ52" i="11"/>
  <c r="AJ71" i="11" s="1"/>
  <c r="AI52" i="11"/>
  <c r="AH52" i="11"/>
  <c r="AH71" i="11" s="1"/>
  <c r="AG52" i="11"/>
  <c r="AF52" i="11"/>
  <c r="AE52" i="11"/>
  <c r="AE71" i="11" s="1"/>
  <c r="AD52" i="11"/>
  <c r="AD71" i="11" s="1"/>
  <c r="AC52" i="11"/>
  <c r="AC71" i="11" s="1"/>
  <c r="AB52" i="11"/>
  <c r="AA52" i="11"/>
  <c r="Z52" i="11"/>
  <c r="Z71" i="11" s="1"/>
  <c r="Y52" i="11"/>
  <c r="Y71" i="11" s="1"/>
  <c r="X52" i="11"/>
  <c r="X71" i="11" s="1"/>
  <c r="W52" i="11"/>
  <c r="W71" i="11" s="1"/>
  <c r="V52" i="11"/>
  <c r="U52" i="11"/>
  <c r="U71" i="11" s="1"/>
  <c r="T52" i="11"/>
  <c r="T71" i="11" s="1"/>
  <c r="S52" i="1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101" i="11" s="1"/>
  <c r="AF45" i="11"/>
  <c r="AF101" i="11" s="1"/>
  <c r="AE45" i="11"/>
  <c r="AE101" i="11" s="1"/>
  <c r="AD45" i="11"/>
  <c r="AC45" i="11"/>
  <c r="AC101" i="11" s="1"/>
  <c r="AB45" i="11"/>
  <c r="AB101" i="11" s="1"/>
  <c r="AA45" i="11"/>
  <c r="AA101" i="11" s="1"/>
  <c r="Z45" i="11"/>
  <c r="Z101" i="11" s="1"/>
  <c r="Y45" i="11"/>
  <c r="Y101" i="11" s="1"/>
  <c r="X45" i="11"/>
  <c r="X101" i="11" s="1"/>
  <c r="W45" i="11"/>
  <c r="V45" i="11"/>
  <c r="V101" i="11" s="1"/>
  <c r="U45" i="11"/>
  <c r="U101" i="11" s="1"/>
  <c r="T45" i="11"/>
  <c r="S45" i="11"/>
  <c r="R45" i="11"/>
  <c r="Q45" i="11"/>
  <c r="Q101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V62" i="11" s="1"/>
  <c r="U44" i="11"/>
  <c r="U62" i="11" s="1"/>
  <c r="T44" i="11"/>
  <c r="S44" i="11"/>
  <c r="R44" i="11"/>
  <c r="R62" i="11" s="1"/>
  <c r="Q44" i="11"/>
  <c r="P44" i="11"/>
  <c r="AS42" i="11"/>
  <c r="AR42" i="11"/>
  <c r="AO42" i="11"/>
  <c r="AG42" i="11"/>
  <c r="AF42" i="11"/>
  <c r="X42" i="11"/>
  <c r="S42" i="11"/>
  <c r="P42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E42" i="11" s="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K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AR38" i="11"/>
  <c r="AQ38" i="11"/>
  <c r="AP38" i="11"/>
  <c r="AO38" i="11"/>
  <c r="AN38" i="11"/>
  <c r="AN42" i="11" s="1"/>
  <c r="AM38" i="11"/>
  <c r="AL38" i="11"/>
  <c r="AK38" i="11"/>
  <c r="AJ38" i="11"/>
  <c r="AI38" i="11"/>
  <c r="AH38" i="11"/>
  <c r="AG38" i="11"/>
  <c r="T107" i="16" s="1"/>
  <c r="AF38" i="11"/>
  <c r="S107" i="16" s="1"/>
  <c r="AE38" i="11"/>
  <c r="AD38" i="11"/>
  <c r="AC38" i="11"/>
  <c r="P107" i="16" s="1"/>
  <c r="AB38" i="11"/>
  <c r="O107" i="16" s="1"/>
  <c r="AA38" i="11"/>
  <c r="Z38" i="11"/>
  <c r="Y38" i="11"/>
  <c r="X38" i="11"/>
  <c r="W38" i="11"/>
  <c r="W42" i="11" s="1"/>
  <c r="V38" i="11"/>
  <c r="U38" i="11"/>
  <c r="U42" i="11" s="1"/>
  <c r="T38" i="11"/>
  <c r="S38" i="11"/>
  <c r="R38" i="11"/>
  <c r="Q38" i="11"/>
  <c r="P38" i="11"/>
  <c r="C107" i="16" s="1"/>
  <c r="K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K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K33" i="11"/>
  <c r="E14" i="17" s="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100" i="11" s="1"/>
  <c r="AF32" i="11"/>
  <c r="AF100" i="11" s="1"/>
  <c r="AE32" i="11"/>
  <c r="AD32" i="11"/>
  <c r="AD100" i="11" s="1"/>
  <c r="AC32" i="11"/>
  <c r="AC100" i="11" s="1"/>
  <c r="AB32" i="11"/>
  <c r="AA32" i="11"/>
  <c r="AA100" i="11" s="1"/>
  <c r="Z32" i="11"/>
  <c r="Z100" i="11" s="1"/>
  <c r="Y32" i="11"/>
  <c r="Y100" i="11" s="1"/>
  <c r="X32" i="11"/>
  <c r="X100" i="11" s="1"/>
  <c r="W32" i="11"/>
  <c r="W100" i="11" s="1"/>
  <c r="V32" i="11"/>
  <c r="U32" i="11"/>
  <c r="U100" i="11" s="1"/>
  <c r="T32" i="11"/>
  <c r="T100" i="11" s="1"/>
  <c r="T102" i="11" s="1"/>
  <c r="S32" i="11"/>
  <c r="S100" i="11" s="1"/>
  <c r="R32" i="11"/>
  <c r="R100" i="11" s="1"/>
  <c r="Q32" i="11"/>
  <c r="Q100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Y31" i="11"/>
  <c r="Y84" i="11" s="1"/>
  <c r="X31" i="11"/>
  <c r="X84" i="11" s="1"/>
  <c r="W31" i="11"/>
  <c r="W84" i="11" s="1"/>
  <c r="V31" i="11"/>
  <c r="U31" i="11"/>
  <c r="U84" i="11" s="1"/>
  <c r="T31" i="11"/>
  <c r="T84" i="11" s="1"/>
  <c r="S31" i="11"/>
  <c r="S84" i="11" s="1"/>
  <c r="R31" i="11"/>
  <c r="Q31" i="11"/>
  <c r="P31" i="11"/>
  <c r="P84" i="11" s="1"/>
  <c r="AT30" i="1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9" i="11" s="1"/>
  <c r="AF30" i="11"/>
  <c r="AF99" i="11" s="1"/>
  <c r="AE30" i="11"/>
  <c r="AE99" i="11" s="1"/>
  <c r="AD30" i="11"/>
  <c r="AD99" i="11" s="1"/>
  <c r="AC30" i="11"/>
  <c r="AC99" i="11" s="1"/>
  <c r="AB30" i="11"/>
  <c r="AA30" i="11"/>
  <c r="AA99" i="11" s="1"/>
  <c r="Z30" i="11"/>
  <c r="Z99" i="11" s="1"/>
  <c r="Y30" i="11"/>
  <c r="Y99" i="11" s="1"/>
  <c r="X30" i="11"/>
  <c r="W30" i="11"/>
  <c r="W99" i="11" s="1"/>
  <c r="V30" i="11"/>
  <c r="U30" i="11"/>
  <c r="U99" i="11" s="1"/>
  <c r="T30" i="11"/>
  <c r="T99" i="11" s="1"/>
  <c r="S30" i="11"/>
  <c r="R30" i="11"/>
  <c r="R99" i="11" s="1"/>
  <c r="Q30" i="11"/>
  <c r="Q99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F36" i="11" s="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K29" i="11"/>
  <c r="AT28" i="1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E36" i="11" s="1"/>
  <c r="AD27" i="11"/>
  <c r="AC27" i="11"/>
  <c r="AB27" i="11"/>
  <c r="AA27" i="11"/>
  <c r="Z27" i="11"/>
  <c r="Y27" i="11"/>
  <c r="X27" i="11"/>
  <c r="W27" i="11"/>
  <c r="V27" i="11"/>
  <c r="U27" i="11"/>
  <c r="T27" i="11"/>
  <c r="T36" i="11" s="1"/>
  <c r="S27" i="11"/>
  <c r="S36" i="11" s="1"/>
  <c r="R27" i="11"/>
  <c r="Q27" i="11"/>
  <c r="P27" i="11"/>
  <c r="K27" i="11"/>
  <c r="AQ22" i="11"/>
  <c r="AF22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E22" i="11" s="1"/>
  <c r="AE24" i="11" s="1"/>
  <c r="AD19" i="11"/>
  <c r="AC19" i="11"/>
  <c r="AC22" i="11" s="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Z22" i="11" s="1"/>
  <c r="Z24" i="11" s="1"/>
  <c r="Y18" i="11"/>
  <c r="X18" i="11"/>
  <c r="W18" i="11"/>
  <c r="V18" i="11"/>
  <c r="V22" i="11" s="1"/>
  <c r="U18" i="11"/>
  <c r="U22" i="11" s="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H22" i="11" s="1"/>
  <c r="AG17" i="11"/>
  <c r="AG22" i="11" s="1"/>
  <c r="AF17" i="11"/>
  <c r="AE17" i="11"/>
  <c r="AD17" i="11"/>
  <c r="AD22" i="11" s="1"/>
  <c r="AC17" i="11"/>
  <c r="AB17" i="11"/>
  <c r="AB22" i="11" s="1"/>
  <c r="AA17" i="11"/>
  <c r="Z17" i="11"/>
  <c r="Y17" i="11"/>
  <c r="Y22" i="11" s="1"/>
  <c r="X17" i="11"/>
  <c r="W17" i="11"/>
  <c r="W22" i="11" s="1"/>
  <c r="V17" i="11"/>
  <c r="U17" i="11"/>
  <c r="T17" i="11"/>
  <c r="T22" i="11" s="1"/>
  <c r="S17" i="11"/>
  <c r="S22" i="11" s="1"/>
  <c r="R17" i="11"/>
  <c r="R22" i="11" s="1"/>
  <c r="Q17" i="11"/>
  <c r="Q22" i="11" s="1"/>
  <c r="P17" i="11"/>
  <c r="U15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K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8" i="11" s="1"/>
  <c r="AG10" i="11"/>
  <c r="AG98" i="11" s="1"/>
  <c r="AG102" i="11" s="1"/>
  <c r="AF10" i="11"/>
  <c r="AF98" i="11" s="1"/>
  <c r="AF102" i="11" s="1"/>
  <c r="AE10" i="11"/>
  <c r="AE98" i="11" s="1"/>
  <c r="AD10" i="11"/>
  <c r="AD98" i="11" s="1"/>
  <c r="AD102" i="11" s="1"/>
  <c r="AC10" i="11"/>
  <c r="AC98" i="11" s="1"/>
  <c r="AC102" i="11" s="1"/>
  <c r="AB10" i="11"/>
  <c r="AB98" i="11" s="1"/>
  <c r="AB102" i="11" s="1"/>
  <c r="AA10" i="11"/>
  <c r="AA98" i="11" s="1"/>
  <c r="AA102" i="11" s="1"/>
  <c r="Z10" i="11"/>
  <c r="Z98" i="11" s="1"/>
  <c r="Z102" i="11" s="1"/>
  <c r="Y10" i="11"/>
  <c r="Y98" i="11" s="1"/>
  <c r="Y102" i="11" s="1"/>
  <c r="X10" i="11"/>
  <c r="X98" i="11" s="1"/>
  <c r="X102" i="11" s="1"/>
  <c r="W10" i="11"/>
  <c r="W98" i="11" s="1"/>
  <c r="W102" i="11" s="1"/>
  <c r="V10" i="11"/>
  <c r="U10" i="11"/>
  <c r="U98" i="11" s="1"/>
  <c r="U102" i="11" s="1"/>
  <c r="T10" i="11"/>
  <c r="T98" i="11" s="1"/>
  <c r="S10" i="11"/>
  <c r="S98" i="11" s="1"/>
  <c r="R10" i="11"/>
  <c r="R98" i="11" s="1"/>
  <c r="R102" i="11" s="1"/>
  <c r="Q10" i="11"/>
  <c r="Q98" i="11" s="1"/>
  <c r="Q102" i="11" s="1"/>
  <c r="P10" i="11"/>
  <c r="P98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K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W15" i="11" s="1"/>
  <c r="W24" i="11" s="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I15" i="11" s="1"/>
  <c r="AH7" i="11"/>
  <c r="AG7" i="11"/>
  <c r="AG15" i="11" s="1"/>
  <c r="AF7" i="11"/>
  <c r="AE7" i="11"/>
  <c r="AE15" i="11" s="1"/>
  <c r="AD7" i="11"/>
  <c r="AD15" i="11" s="1"/>
  <c r="AC7" i="11"/>
  <c r="AC15" i="11" s="1"/>
  <c r="AB7" i="11"/>
  <c r="AB15" i="11" s="1"/>
  <c r="AA7" i="11"/>
  <c r="Z7" i="11"/>
  <c r="Z15" i="11" s="1"/>
  <c r="Y7" i="11"/>
  <c r="Y15" i="11" s="1"/>
  <c r="X7" i="11"/>
  <c r="W7" i="11"/>
  <c r="V7" i="11"/>
  <c r="U7" i="11"/>
  <c r="T7" i="11"/>
  <c r="T15" i="11" s="1"/>
  <c r="S7" i="11"/>
  <c r="S15" i="11" s="1"/>
  <c r="R7" i="11"/>
  <c r="Q7" i="11"/>
  <c r="P7" i="11"/>
  <c r="P15" i="11" s="1"/>
  <c r="K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K30" i="18"/>
  <c r="B30" i="18"/>
  <c r="B28" i="18"/>
  <c r="K27" i="18"/>
  <c r="B27" i="18"/>
  <c r="K26" i="18"/>
  <c r="B26" i="18"/>
  <c r="K25" i="18"/>
  <c r="B25" i="18"/>
  <c r="B24" i="18"/>
  <c r="B23" i="18"/>
  <c r="B22" i="18"/>
  <c r="K21" i="18"/>
  <c r="B21" i="18"/>
  <c r="B20" i="18"/>
  <c r="K19" i="18"/>
  <c r="B19" i="18"/>
  <c r="B14" i="18"/>
  <c r="B13" i="18"/>
  <c r="K12" i="18"/>
  <c r="B12" i="18"/>
  <c r="B11" i="18"/>
  <c r="K10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K32" i="8"/>
  <c r="B32" i="8"/>
  <c r="B31" i="8"/>
  <c r="K30" i="8"/>
  <c r="B30" i="8"/>
  <c r="B28" i="8"/>
  <c r="K27" i="8"/>
  <c r="B27" i="8"/>
  <c r="K26" i="8"/>
  <c r="B26" i="8"/>
  <c r="K25" i="8"/>
  <c r="B25" i="8"/>
  <c r="B24" i="8"/>
  <c r="B23" i="8"/>
  <c r="B22" i="8"/>
  <c r="K21" i="8"/>
  <c r="B21" i="8"/>
  <c r="B20" i="8"/>
  <c r="K19" i="8"/>
  <c r="B19" i="8"/>
  <c r="B14" i="8"/>
  <c r="B13" i="8"/>
  <c r="K12" i="8"/>
  <c r="B12" i="8"/>
  <c r="B11" i="8"/>
  <c r="K10" i="8"/>
  <c r="B10" i="8"/>
  <c r="B9" i="8"/>
  <c r="K8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H13" i="33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S12" i="33" l="1"/>
  <c r="S10" i="33"/>
  <c r="M39" i="9"/>
  <c r="S9" i="33"/>
  <c r="Y24" i="11"/>
  <c r="Y64" i="11" s="1"/>
  <c r="P8" i="9"/>
  <c r="AR15" i="11"/>
  <c r="Q8" i="9"/>
  <c r="AS15" i="11"/>
  <c r="O40" i="9"/>
  <c r="T5" i="33"/>
  <c r="Q77" i="33"/>
  <c r="Q87" i="33"/>
  <c r="AC24" i="11"/>
  <c r="AE64" i="11"/>
  <c r="J9" i="33"/>
  <c r="J11" i="33"/>
  <c r="S8" i="33"/>
  <c r="K9" i="33"/>
  <c r="K11" i="33"/>
  <c r="R12" i="33"/>
  <c r="R15" i="11"/>
  <c r="R10" i="33"/>
  <c r="G46" i="9"/>
  <c r="R5" i="11"/>
  <c r="G42" i="9"/>
  <c r="G12" i="9"/>
  <c r="L5" i="33"/>
  <c r="Q9" i="33"/>
  <c r="Q11" i="33"/>
  <c r="R9" i="33"/>
  <c r="J10" i="33"/>
  <c r="R11" i="33"/>
  <c r="J10" i="9"/>
  <c r="AL15" i="11"/>
  <c r="P39" i="9"/>
  <c r="AB24" i="11"/>
  <c r="E8" i="9"/>
  <c r="K8" i="18"/>
  <c r="M40" i="9"/>
  <c r="AK15" i="11"/>
  <c r="X100" i="16" s="1"/>
  <c r="AF15" i="11"/>
  <c r="K11" i="9"/>
  <c r="C112" i="11"/>
  <c r="K10" i="11" s="1"/>
  <c r="AM98" i="11"/>
  <c r="J33" i="17"/>
  <c r="I43" i="9"/>
  <c r="K33" i="17"/>
  <c r="K22" i="17"/>
  <c r="I107" i="16"/>
  <c r="I108" i="16" s="1"/>
  <c r="V42" i="11"/>
  <c r="K43" i="17"/>
  <c r="Y107" i="16"/>
  <c r="Y108" i="16" s="1"/>
  <c r="AL42" i="11"/>
  <c r="M11" i="9"/>
  <c r="AO98" i="11"/>
  <c r="L42" i="9"/>
  <c r="J44" i="9"/>
  <c r="E20" i="9"/>
  <c r="L32" i="17"/>
  <c r="G8" i="9"/>
  <c r="G38" i="9"/>
  <c r="K44" i="9"/>
  <c r="L44" i="9"/>
  <c r="R24" i="11"/>
  <c r="AH24" i="11"/>
  <c r="O42" i="9"/>
  <c r="O32" i="9"/>
  <c r="S24" i="11"/>
  <c r="G18" i="9"/>
  <c r="G23" i="9" s="1"/>
  <c r="C121" i="11"/>
  <c r="K17" i="11" s="1"/>
  <c r="AI22" i="11"/>
  <c r="AI24" i="11" s="1"/>
  <c r="AI64" i="11" s="1"/>
  <c r="V15" i="11"/>
  <c r="J16" i="9"/>
  <c r="J34" i="9" s="1"/>
  <c r="J28" i="9"/>
  <c r="J38" i="9"/>
  <c r="T24" i="11"/>
  <c r="H18" i="9"/>
  <c r="H23" i="9" s="1"/>
  <c r="AJ22" i="11"/>
  <c r="AJ24" i="11" s="1"/>
  <c r="AF24" i="11"/>
  <c r="I39" i="9"/>
  <c r="R11" i="9"/>
  <c r="AT98" i="11"/>
  <c r="AT102" i="11" s="1"/>
  <c r="O43" i="9"/>
  <c r="O33" i="9"/>
  <c r="X15" i="11"/>
  <c r="L8" i="9"/>
  <c r="AN15" i="11"/>
  <c r="AE102" i="11"/>
  <c r="M8" i="9"/>
  <c r="AO15" i="11"/>
  <c r="K39" i="9"/>
  <c r="Q43" i="9"/>
  <c r="Q44" i="9"/>
  <c r="L71" i="17"/>
  <c r="G14" i="17"/>
  <c r="AH36" i="11"/>
  <c r="L39" i="9"/>
  <c r="N11" i="9"/>
  <c r="AP98" i="11"/>
  <c r="R13" i="9"/>
  <c r="C113" i="11"/>
  <c r="K12" i="11" s="1"/>
  <c r="M44" i="9"/>
  <c r="H45" i="9"/>
  <c r="AP22" i="11"/>
  <c r="AP24" i="11" s="1"/>
  <c r="AP64" i="11" s="1"/>
  <c r="AB36" i="11"/>
  <c r="I13" i="17"/>
  <c r="AJ100" i="11"/>
  <c r="G10" i="9"/>
  <c r="G40" i="9"/>
  <c r="O11" i="9"/>
  <c r="AQ98" i="11"/>
  <c r="I42" i="9"/>
  <c r="I45" i="9"/>
  <c r="J37" i="17"/>
  <c r="P62" i="11"/>
  <c r="P79" i="17"/>
  <c r="E20" i="2"/>
  <c r="Q15" i="11"/>
  <c r="N39" i="9"/>
  <c r="H40" i="9"/>
  <c r="P11" i="9"/>
  <c r="AR98" i="11"/>
  <c r="J32" i="9"/>
  <c r="J42" i="9"/>
  <c r="AP15" i="11"/>
  <c r="AC100" i="16" s="1"/>
  <c r="K18" i="9"/>
  <c r="K23" i="9" s="1"/>
  <c r="AM22" i="11"/>
  <c r="AM24" i="11" s="1"/>
  <c r="AM64" i="11" s="1"/>
  <c r="AS22" i="11"/>
  <c r="AS24" i="11" s="1"/>
  <c r="AS64" i="11" s="1"/>
  <c r="E8" i="17"/>
  <c r="O32" i="17"/>
  <c r="AH15" i="11"/>
  <c r="G85" i="17" s="1"/>
  <c r="O39" i="9"/>
  <c r="I40" i="9"/>
  <c r="Q11" i="9"/>
  <c r="AS98" i="11"/>
  <c r="K42" i="9"/>
  <c r="P44" i="9"/>
  <c r="K35" i="9"/>
  <c r="K45" i="9"/>
  <c r="AQ15" i="11"/>
  <c r="AQ24" i="11" s="1"/>
  <c r="X22" i="11"/>
  <c r="X24" i="11" s="1"/>
  <c r="L18" i="9"/>
  <c r="L23" i="9" s="1"/>
  <c r="AN22" i="11"/>
  <c r="P32" i="17"/>
  <c r="AI36" i="11"/>
  <c r="E45" i="17"/>
  <c r="K32" i="18"/>
  <c r="M18" i="9"/>
  <c r="M23" i="9" s="1"/>
  <c r="AO22" i="11"/>
  <c r="AO24" i="11" s="1"/>
  <c r="U24" i="11"/>
  <c r="U64" i="11" s="1"/>
  <c r="I19" i="9"/>
  <c r="AK22" i="11"/>
  <c r="E21" i="9"/>
  <c r="Q32" i="17"/>
  <c r="L12" i="17"/>
  <c r="AM84" i="11"/>
  <c r="AJ36" i="11"/>
  <c r="S101" i="11"/>
  <c r="S102" i="11" s="1"/>
  <c r="S62" i="11"/>
  <c r="H64" i="17"/>
  <c r="AI62" i="11"/>
  <c r="H72" i="17" s="1"/>
  <c r="H71" i="17" s="1"/>
  <c r="H8" i="9"/>
  <c r="AJ15" i="11"/>
  <c r="Q39" i="9"/>
  <c r="K40" i="9"/>
  <c r="G43" i="9"/>
  <c r="G13" i="9"/>
  <c r="M45" i="9"/>
  <c r="V24" i="11"/>
  <c r="Q36" i="11"/>
  <c r="AG36" i="11"/>
  <c r="R32" i="17"/>
  <c r="M12" i="17"/>
  <c r="AN84" i="11"/>
  <c r="N13" i="17"/>
  <c r="O36" i="17" s="1"/>
  <c r="AO100" i="11"/>
  <c r="AN36" i="11"/>
  <c r="AI101" i="11"/>
  <c r="D172" i="11"/>
  <c r="I38" i="9"/>
  <c r="R9" i="9"/>
  <c r="R16" i="9" s="1"/>
  <c r="C111" i="11"/>
  <c r="K8" i="11" s="1"/>
  <c r="AA22" i="11"/>
  <c r="R36" i="11"/>
  <c r="G17" i="17"/>
  <c r="K42" i="11"/>
  <c r="I66" i="17"/>
  <c r="AJ62" i="11"/>
  <c r="I72" i="17" s="1"/>
  <c r="I71" i="17" s="1"/>
  <c r="E16" i="17"/>
  <c r="O45" i="9"/>
  <c r="P18" i="9"/>
  <c r="P23" i="9" s="1"/>
  <c r="AR22" i="11"/>
  <c r="AR24" i="11" s="1"/>
  <c r="H31" i="17"/>
  <c r="P11" i="17"/>
  <c r="AQ99" i="11"/>
  <c r="J63" i="17"/>
  <c r="K64" i="17"/>
  <c r="K76" i="17" s="1"/>
  <c r="AL101" i="11"/>
  <c r="AL102" i="11" s="1"/>
  <c r="N40" i="9"/>
  <c r="P42" i="9"/>
  <c r="P45" i="9"/>
  <c r="I31" i="17"/>
  <c r="P36" i="11"/>
  <c r="H57" i="17"/>
  <c r="C116" i="11"/>
  <c r="K14" i="11" s="1"/>
  <c r="G11" i="9"/>
  <c r="G41" i="9"/>
  <c r="AI98" i="11"/>
  <c r="Q42" i="9"/>
  <c r="K43" i="9"/>
  <c r="AD24" i="11"/>
  <c r="R18" i="9"/>
  <c r="R23" i="9" s="1"/>
  <c r="AT22" i="11"/>
  <c r="AT24" i="11" s="1"/>
  <c r="AT64" i="11" s="1"/>
  <c r="R11" i="17"/>
  <c r="AS99" i="11"/>
  <c r="Q12" i="17"/>
  <c r="AR84" i="11"/>
  <c r="M39" i="17"/>
  <c r="R42" i="11"/>
  <c r="AH42" i="11"/>
  <c r="W62" i="11"/>
  <c r="W64" i="11" s="1"/>
  <c r="K82" i="17"/>
  <c r="AK62" i="11"/>
  <c r="J72" i="17" s="1"/>
  <c r="P40" i="9"/>
  <c r="H11" i="9"/>
  <c r="AJ98" i="11"/>
  <c r="E12" i="9"/>
  <c r="L43" i="9"/>
  <c r="G44" i="9"/>
  <c r="G14" i="9"/>
  <c r="R45" i="9"/>
  <c r="S11" i="17"/>
  <c r="C134" i="11"/>
  <c r="K30" i="11" s="1"/>
  <c r="AT99" i="11"/>
  <c r="R35" i="17"/>
  <c r="N39" i="17"/>
  <c r="AI42" i="11"/>
  <c r="J57" i="17"/>
  <c r="X62" i="11"/>
  <c r="AN62" i="11"/>
  <c r="M72" i="17" s="1"/>
  <c r="M71" i="17" s="1"/>
  <c r="M63" i="17"/>
  <c r="N38" i="9"/>
  <c r="N16" i="9"/>
  <c r="N34" i="9" s="1"/>
  <c r="G9" i="9"/>
  <c r="H39" i="9" s="1"/>
  <c r="G39" i="9"/>
  <c r="Q40" i="9"/>
  <c r="I11" i="9"/>
  <c r="I16" i="9" s="1"/>
  <c r="AK98" i="11"/>
  <c r="AK102" i="11" s="1"/>
  <c r="H44" i="9"/>
  <c r="P22" i="11"/>
  <c r="P24" i="11" s="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16" i="9"/>
  <c r="O35" i="9" s="1"/>
  <c r="O38" i="9"/>
  <c r="E10" i="9"/>
  <c r="N33" i="9"/>
  <c r="N43" i="9"/>
  <c r="Q24" i="11"/>
  <c r="AG24" i="11"/>
  <c r="AG64" i="11" s="1"/>
  <c r="I33" i="17"/>
  <c r="P99" i="11"/>
  <c r="E15" i="17"/>
  <c r="P39" i="17"/>
  <c r="AK42" i="11"/>
  <c r="Z62" i="11"/>
  <c r="O63" i="17"/>
  <c r="AP62" i="11"/>
  <c r="O72" i="17" s="1"/>
  <c r="O71" i="17" s="1"/>
  <c r="K16" i="9"/>
  <c r="K28" i="9"/>
  <c r="K38" i="9"/>
  <c r="L40" i="9"/>
  <c r="M42" i="9"/>
  <c r="N44" i="9"/>
  <c r="I23" i="9"/>
  <c r="U36" i="11"/>
  <c r="J8" i="17"/>
  <c r="AK36" i="11"/>
  <c r="AD36" i="11"/>
  <c r="S9" i="17"/>
  <c r="S17" i="17" s="1"/>
  <c r="C128" i="11"/>
  <c r="AT36" i="11"/>
  <c r="L33" i="17"/>
  <c r="K37" i="17"/>
  <c r="AS36" i="11"/>
  <c r="L107" i="16"/>
  <c r="L108" i="16" s="1"/>
  <c r="Y42" i="11"/>
  <c r="AB107" i="16"/>
  <c r="AB108" i="16" s="1"/>
  <c r="N43" i="17"/>
  <c r="N57" i="17"/>
  <c r="H59" i="17"/>
  <c r="AL84" i="11"/>
  <c r="C143" i="11"/>
  <c r="D13" i="35"/>
  <c r="N42" i="9"/>
  <c r="O44" i="9"/>
  <c r="G15" i="9"/>
  <c r="G45" i="9"/>
  <c r="V36" i="11"/>
  <c r="K8" i="17"/>
  <c r="AL36" i="11"/>
  <c r="M33" i="17"/>
  <c r="L37" i="17"/>
  <c r="M107" i="16"/>
  <c r="M108" i="16" s="1"/>
  <c r="Z42" i="11"/>
  <c r="Z64" i="11" s="1"/>
  <c r="AC107" i="16"/>
  <c r="AC108" i="16" s="1"/>
  <c r="O43" i="17"/>
  <c r="AP42" i="11"/>
  <c r="I59" i="17"/>
  <c r="AC62" i="11"/>
  <c r="R63" i="17"/>
  <c r="AS62" i="11"/>
  <c r="R72" i="17" s="1"/>
  <c r="R71" i="17" s="1"/>
  <c r="P64" i="17"/>
  <c r="AQ101" i="11"/>
  <c r="O81" i="17"/>
  <c r="P72" i="11"/>
  <c r="Q62" i="11"/>
  <c r="AI99" i="11"/>
  <c r="J171" i="11"/>
  <c r="L8" i="17"/>
  <c r="AM36" i="11"/>
  <c r="N33" i="17"/>
  <c r="H34" i="17"/>
  <c r="Q13" i="17"/>
  <c r="AR100" i="11"/>
  <c r="M37" i="17"/>
  <c r="J38" i="17"/>
  <c r="N107" i="16"/>
  <c r="N108" i="16" s="1"/>
  <c r="P43" i="17"/>
  <c r="L58" i="17"/>
  <c r="J59" i="17"/>
  <c r="AD62" i="11"/>
  <c r="P81" i="17"/>
  <c r="AJ99" i="11"/>
  <c r="X36" i="11"/>
  <c r="M31" i="17"/>
  <c r="O33" i="17"/>
  <c r="I34" i="17"/>
  <c r="R13" i="17"/>
  <c r="AS100" i="11"/>
  <c r="N37" i="17"/>
  <c r="O108" i="16"/>
  <c r="Q43" i="17"/>
  <c r="AE107" i="16"/>
  <c r="AE108" i="16" s="1"/>
  <c r="AO84" i="11"/>
  <c r="C117" i="11"/>
  <c r="Y36" i="11"/>
  <c r="N8" i="17"/>
  <c r="AO36" i="11"/>
  <c r="P33" i="17"/>
  <c r="S13" i="17"/>
  <c r="C131" i="11"/>
  <c r="K32" i="11" s="1"/>
  <c r="AT100" i="11"/>
  <c r="O37" i="17"/>
  <c r="O26" i="17"/>
  <c r="H39" i="17"/>
  <c r="P108" i="16"/>
  <c r="AF107" i="16"/>
  <c r="AF108" i="16" s="1"/>
  <c r="R43" i="17"/>
  <c r="S44" i="17"/>
  <c r="C140" i="11"/>
  <c r="K39" i="11" s="1"/>
  <c r="L59" i="17"/>
  <c r="N23" i="9"/>
  <c r="N25" i="9" s="1"/>
  <c r="O86" i="17" s="1"/>
  <c r="AL22" i="11"/>
  <c r="AL24" i="11" s="1"/>
  <c r="Z36" i="11"/>
  <c r="O8" i="17"/>
  <c r="AP36" i="11"/>
  <c r="H32" i="17"/>
  <c r="Q33" i="17"/>
  <c r="O58" i="17"/>
  <c r="AA42" i="11"/>
  <c r="AG62" i="11"/>
  <c r="AE62" i="11"/>
  <c r="K76" i="2"/>
  <c r="AA39" i="11"/>
  <c r="I76" i="2"/>
  <c r="AQ39" i="11"/>
  <c r="P44" i="17" s="1"/>
  <c r="K97" i="2"/>
  <c r="H97" i="2"/>
  <c r="AG46" i="11"/>
  <c r="L45" i="9"/>
  <c r="O23" i="9"/>
  <c r="O25" i="9" s="1"/>
  <c r="P86" i="17" s="1"/>
  <c r="P77" i="17" s="1"/>
  <c r="AA36" i="11"/>
  <c r="P8" i="17"/>
  <c r="AQ36" i="11"/>
  <c r="I32" i="17"/>
  <c r="L34" i="17"/>
  <c r="I12" i="17"/>
  <c r="AJ84" i="11"/>
  <c r="E43" i="17"/>
  <c r="P58" i="17"/>
  <c r="AB42" i="11"/>
  <c r="G63" i="17"/>
  <c r="P101" i="11"/>
  <c r="AH62" i="11"/>
  <c r="G72" i="17" s="1"/>
  <c r="K88" i="2"/>
  <c r="AA61" i="11"/>
  <c r="AA62" i="11" s="1"/>
  <c r="Q8" i="17"/>
  <c r="AR36" i="11"/>
  <c r="M11" i="17"/>
  <c r="AN99" i="11"/>
  <c r="J12" i="17"/>
  <c r="K35" i="17" s="1"/>
  <c r="AK84" i="11"/>
  <c r="R37" i="17"/>
  <c r="O38" i="17"/>
  <c r="K39" i="17"/>
  <c r="K28" i="17"/>
  <c r="Q58" i="17"/>
  <c r="O59" i="17"/>
  <c r="AC42" i="11"/>
  <c r="C23" i="35"/>
  <c r="C25" i="35" s="1"/>
  <c r="C34" i="35" s="1"/>
  <c r="L11" i="9"/>
  <c r="AN98" i="11"/>
  <c r="M43" i="9"/>
  <c r="N45" i="9"/>
  <c r="Q23" i="9"/>
  <c r="AC36" i="11"/>
  <c r="K24" i="17"/>
  <c r="L39" i="17"/>
  <c r="D107" i="16"/>
  <c r="D108" i="16" s="1"/>
  <c r="Q42" i="11"/>
  <c r="T108" i="16"/>
  <c r="R58" i="17"/>
  <c r="T62" i="11"/>
  <c r="G64" i="17"/>
  <c r="AH101" i="11"/>
  <c r="AH102" i="11" s="1"/>
  <c r="P43" i="9"/>
  <c r="I44" i="9"/>
  <c r="Q45" i="9"/>
  <c r="AM15" i="11"/>
  <c r="N32" i="17"/>
  <c r="Q11" i="17"/>
  <c r="AR99" i="11"/>
  <c r="N35" i="17"/>
  <c r="S38" i="17"/>
  <c r="O39" i="17"/>
  <c r="T42" i="11"/>
  <c r="I57" i="17"/>
  <c r="AJ42" i="11"/>
  <c r="L63" i="17"/>
  <c r="P100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R108" i="16" s="1"/>
  <c r="L57" i="17"/>
  <c r="M59" i="17"/>
  <c r="P63" i="17"/>
  <c r="AQ62" i="11"/>
  <c r="P72" i="17" s="1"/>
  <c r="K80" i="17"/>
  <c r="P71" i="11"/>
  <c r="AK99" i="11"/>
  <c r="AM100" i="11"/>
  <c r="AO101" i="11"/>
  <c r="AB29" i="2"/>
  <c r="I16" i="2"/>
  <c r="P35" i="17"/>
  <c r="H13" i="17"/>
  <c r="AI100" i="11"/>
  <c r="Q37" i="17"/>
  <c r="I38" i="17"/>
  <c r="R39" i="17"/>
  <c r="C108" i="16"/>
  <c r="S108" i="16"/>
  <c r="M57" i="17"/>
  <c r="N59" i="17"/>
  <c r="AB62" i="11"/>
  <c r="Q63" i="17"/>
  <c r="AR62" i="11"/>
  <c r="Q72" i="17" s="1"/>
  <c r="K78" i="17"/>
  <c r="AS84" i="11"/>
  <c r="AP100" i="11"/>
  <c r="AP101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100" i="11"/>
  <c r="E107" i="16"/>
  <c r="E108" i="16" s="1"/>
  <c r="U107" i="16"/>
  <c r="U108" i="16" s="1"/>
  <c r="G43" i="17"/>
  <c r="O57" i="17"/>
  <c r="H58" i="17"/>
  <c r="P59" i="17"/>
  <c r="O82" i="17"/>
  <c r="D8" i="35"/>
  <c r="E15" i="35"/>
  <c r="D15" i="35" s="1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V108" i="16" s="1"/>
  <c r="I58" i="17"/>
  <c r="Q59" i="17"/>
  <c r="O80" i="17"/>
  <c r="AO99" i="11"/>
  <c r="C142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AF61" i="11"/>
  <c r="AF62" i="11" s="1"/>
  <c r="AD69" i="2"/>
  <c r="N69" i="2"/>
  <c r="E69" i="2" s="1"/>
  <c r="J32" i="17"/>
  <c r="E10" i="17"/>
  <c r="L36" i="17"/>
  <c r="M38" i="17"/>
  <c r="G107" i="16"/>
  <c r="G108" i="16" s="1"/>
  <c r="I43" i="17"/>
  <c r="W107" i="16"/>
  <c r="W108" i="16" s="1"/>
  <c r="Q57" i="17"/>
  <c r="J58" i="17"/>
  <c r="R59" i="17"/>
  <c r="AM42" i="11"/>
  <c r="AP99" i="11"/>
  <c r="E25" i="35"/>
  <c r="AM29" i="2"/>
  <c r="I10" i="2"/>
  <c r="AB101" i="2"/>
  <c r="M13" i="17"/>
  <c r="AN100" i="11"/>
  <c r="N38" i="17"/>
  <c r="H107" i="16"/>
  <c r="H108" i="16" s="1"/>
  <c r="X107" i="16"/>
  <c r="J43" i="17"/>
  <c r="R57" i="17"/>
  <c r="K52" i="17"/>
  <c r="K58" i="17"/>
  <c r="S59" i="17"/>
  <c r="P78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H37" i="17"/>
  <c r="P38" i="17"/>
  <c r="I39" i="17"/>
  <c r="J107" i="16"/>
  <c r="J108" i="16" s="1"/>
  <c r="L43" i="17"/>
  <c r="Z107" i="16"/>
  <c r="Z108" i="16" s="1"/>
  <c r="M58" i="17"/>
  <c r="AH84" i="11"/>
  <c r="AJ29" i="2"/>
  <c r="Q47" i="2"/>
  <c r="AG47" i="2"/>
  <c r="O23" i="17"/>
  <c r="O34" i="17"/>
  <c r="H12" i="17"/>
  <c r="AI84" i="11"/>
  <c r="P36" i="17"/>
  <c r="I37" i="17"/>
  <c r="Q38" i="17"/>
  <c r="J39" i="17"/>
  <c r="K107" i="16"/>
  <c r="K108" i="16" s="1"/>
  <c r="M43" i="17"/>
  <c r="AA107" i="16"/>
  <c r="AA108" i="16" s="1"/>
  <c r="N58" i="17"/>
  <c r="R64" i="17"/>
  <c r="AS101" i="11"/>
  <c r="K15" i="2"/>
  <c r="V29" i="2"/>
  <c r="AN29" i="2"/>
  <c r="E34" i="2"/>
  <c r="C99" i="16"/>
  <c r="C100" i="16" s="1"/>
  <c r="S99" i="16"/>
  <c r="S100" i="16" s="1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D100" i="16"/>
  <c r="T100" i="16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E100" i="16" s="1"/>
  <c r="P39" i="2"/>
  <c r="P47" i="2" s="1"/>
  <c r="U99" i="16"/>
  <c r="U100" i="16" s="1"/>
  <c r="AF39" i="2"/>
  <c r="E36" i="2"/>
  <c r="D103" i="16"/>
  <c r="D104" i="16" s="1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E104" i="16"/>
  <c r="U104" i="16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V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29" i="9"/>
  <c r="J39" i="9"/>
  <c r="R40" i="9"/>
  <c r="J31" i="9"/>
  <c r="R42" i="9"/>
  <c r="J43" i="9"/>
  <c r="J33" i="9"/>
  <c r="R44" i="9"/>
  <c r="J35" i="9"/>
  <c r="J45" i="9"/>
  <c r="AT15" i="11"/>
  <c r="J23" i="9"/>
  <c r="J25" i="9" s="1"/>
  <c r="K86" i="17" s="1"/>
  <c r="K26" i="17" s="1"/>
  <c r="S31" i="17"/>
  <c r="K21" i="17"/>
  <c r="K32" i="17"/>
  <c r="S33" i="17"/>
  <c r="K34" i="17"/>
  <c r="K23" i="17"/>
  <c r="S35" i="17"/>
  <c r="K25" i="17"/>
  <c r="S37" i="17"/>
  <c r="K38" i="17"/>
  <c r="K27" i="17"/>
  <c r="S39" i="17"/>
  <c r="Q107" i="16"/>
  <c r="Q108" i="16" s="1"/>
  <c r="AG107" i="16"/>
  <c r="AG108" i="16" s="1"/>
  <c r="S43" i="17"/>
  <c r="K57" i="17"/>
  <c r="K51" i="17"/>
  <c r="S58" i="17"/>
  <c r="K59" i="17"/>
  <c r="AD42" i="11"/>
  <c r="AT42" i="11"/>
  <c r="K75" i="17"/>
  <c r="K77" i="17"/>
  <c r="K79" i="17"/>
  <c r="K81" i="17"/>
  <c r="AL62" i="11"/>
  <c r="K72" i="17" s="1"/>
  <c r="K71" i="17" s="1"/>
  <c r="K83" i="17" s="1"/>
  <c r="AT84" i="1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5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V100" i="16"/>
  <c r="G104" i="16"/>
  <c r="W104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W100" i="16"/>
  <c r="H104" i="16"/>
  <c r="Q39" i="2"/>
  <c r="AG39" i="2"/>
  <c r="I55" i="2"/>
  <c r="L109" i="2"/>
  <c r="E10" i="19"/>
  <c r="G99" i="16"/>
  <c r="G100" i="16" s="1"/>
  <c r="AA28" i="2"/>
  <c r="H100" i="16"/>
  <c r="I104" i="16"/>
  <c r="Y104" i="16"/>
  <c r="AH39" i="2"/>
  <c r="AH47" i="2" s="1"/>
  <c r="H43" i="2"/>
  <c r="H46" i="2"/>
  <c r="K55" i="2"/>
  <c r="H80" i="2"/>
  <c r="Q113" i="2"/>
  <c r="AB28" i="2"/>
  <c r="AR28" i="2"/>
  <c r="I100" i="16"/>
  <c r="Y100" i="16"/>
  <c r="J104" i="16"/>
  <c r="Z104" i="16"/>
  <c r="S39" i="2"/>
  <c r="S47" i="2" s="1"/>
  <c r="L105" i="2"/>
  <c r="L110" i="2"/>
  <c r="L108" i="2"/>
  <c r="L104" i="2"/>
  <c r="L117" i="2"/>
  <c r="L112" i="2"/>
  <c r="AC28" i="2"/>
  <c r="J100" i="16"/>
  <c r="Z100" i="16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K100" i="16"/>
  <c r="AA100" i="16"/>
  <c r="L104" i="16"/>
  <c r="AB104" i="16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L100" i="16"/>
  <c r="AB100" i="16"/>
  <c r="M104" i="16"/>
  <c r="AC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AD104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N100" i="16"/>
  <c r="AD100" i="16"/>
  <c r="O104" i="16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O100" i="16"/>
  <c r="AE100" i="16"/>
  <c r="I37" i="2"/>
  <c r="P104" i="16"/>
  <c r="AF104" i="16"/>
  <c r="Y39" i="2"/>
  <c r="AO39" i="2"/>
  <c r="I91" i="2"/>
  <c r="F93" i="2"/>
  <c r="B2" i="32"/>
  <c r="B2" i="36"/>
  <c r="B2" i="30"/>
  <c r="I34" i="2"/>
  <c r="P100" i="16"/>
  <c r="AF100" i="16"/>
  <c r="K37" i="2"/>
  <c r="Q104" i="16"/>
  <c r="AG104" i="16"/>
  <c r="Z39" i="2"/>
  <c r="AP39" i="2"/>
  <c r="L94" i="2"/>
  <c r="E104" i="2"/>
  <c r="K24" i="2"/>
  <c r="K34" i="2"/>
  <c r="Q100" i="16"/>
  <c r="AG100" i="16"/>
  <c r="R104" i="16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R100" i="16"/>
  <c r="C104" i="16"/>
  <c r="S104" i="16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J85" i="17" l="1"/>
  <c r="I28" i="9"/>
  <c r="I30" i="9"/>
  <c r="I35" i="9"/>
  <c r="I33" i="9"/>
  <c r="I29" i="9"/>
  <c r="I32" i="9"/>
  <c r="I34" i="9"/>
  <c r="Z65" i="11"/>
  <c r="Z70" i="11"/>
  <c r="Z74" i="11" s="1"/>
  <c r="Z67" i="11"/>
  <c r="K62" i="2"/>
  <c r="U79" i="2"/>
  <c r="K39" i="2"/>
  <c r="U47" i="2"/>
  <c r="H35" i="17"/>
  <c r="H17" i="17"/>
  <c r="H40" i="17" s="1"/>
  <c r="AD102" i="2"/>
  <c r="AD114" i="2" s="1"/>
  <c r="W65" i="11"/>
  <c r="W70" i="11"/>
  <c r="W74" i="11" s="1"/>
  <c r="AJ102" i="11"/>
  <c r="S48" i="2"/>
  <c r="S102" i="2" s="1"/>
  <c r="S114" i="2" s="1"/>
  <c r="P20" i="17"/>
  <c r="P17" i="17"/>
  <c r="P31" i="17"/>
  <c r="Q47" i="17"/>
  <c r="Q56" i="17"/>
  <c r="AG65" i="11"/>
  <c r="AG70" i="11"/>
  <c r="AG74" i="11" s="1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2" i="11"/>
  <c r="K56" i="17"/>
  <c r="K47" i="17"/>
  <c r="K50" i="17"/>
  <c r="H41" i="9"/>
  <c r="X104" i="16"/>
  <c r="O48" i="2"/>
  <c r="O102" i="2" s="1"/>
  <c r="O114" i="2" s="1"/>
  <c r="M36" i="17"/>
  <c r="L41" i="9"/>
  <c r="P82" i="17"/>
  <c r="P24" i="17"/>
  <c r="P52" i="17"/>
  <c r="P25" i="17"/>
  <c r="P80" i="17"/>
  <c r="P22" i="17"/>
  <c r="P53" i="17"/>
  <c r="P27" i="17"/>
  <c r="P28" i="17"/>
  <c r="P21" i="17"/>
  <c r="P26" i="17"/>
  <c r="H42" i="9"/>
  <c r="Y70" i="11"/>
  <c r="Y74" i="11" s="1"/>
  <c r="Y65" i="11"/>
  <c r="AK48" i="2"/>
  <c r="J36" i="17"/>
  <c r="J25" i="17"/>
  <c r="K36" i="17"/>
  <c r="S5" i="11"/>
  <c r="E113" i="2"/>
  <c r="D129" i="2" s="1"/>
  <c r="F129" i="2" s="1"/>
  <c r="S85" i="17"/>
  <c r="R34" i="9"/>
  <c r="R30" i="9"/>
  <c r="R35" i="9"/>
  <c r="R28" i="9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46" i="9"/>
  <c r="K32" i="9"/>
  <c r="K30" i="9"/>
  <c r="K33" i="9"/>
  <c r="K29" i="9"/>
  <c r="R34" i="17"/>
  <c r="R17" i="17"/>
  <c r="S40" i="17" s="1"/>
  <c r="K34" i="9"/>
  <c r="R32" i="9"/>
  <c r="AR48" i="2"/>
  <c r="AR102" i="2" s="1"/>
  <c r="AR114" i="2" s="1"/>
  <c r="Q36" i="17"/>
  <c r="AT65" i="11"/>
  <c r="AT67" i="11"/>
  <c r="AT70" i="11"/>
  <c r="AT74" i="11" s="1"/>
  <c r="U67" i="11"/>
  <c r="U70" i="11"/>
  <c r="U74" i="11" s="1"/>
  <c r="U65" i="11"/>
  <c r="I36" i="17"/>
  <c r="I17" i="17"/>
  <c r="I40" i="17" s="1"/>
  <c r="AE70" i="11"/>
  <c r="AE74" i="11" s="1"/>
  <c r="AE65" i="11"/>
  <c r="AI67" i="11"/>
  <c r="AI65" i="11"/>
  <c r="AI70" i="11"/>
  <c r="AI74" i="11" s="1"/>
  <c r="E79" i="2"/>
  <c r="AH48" i="2"/>
  <c r="E62" i="2"/>
  <c r="L56" i="17"/>
  <c r="L47" i="17"/>
  <c r="L60" i="17" s="1"/>
  <c r="B57" i="10"/>
  <c r="AH51" i="10"/>
  <c r="AH52" i="10"/>
  <c r="AH56" i="10"/>
  <c r="AH53" i="10"/>
  <c r="AH54" i="10"/>
  <c r="AL64" i="11"/>
  <c r="AO64" i="11"/>
  <c r="G16" i="9"/>
  <c r="H85" i="17" s="1"/>
  <c r="G28" i="9"/>
  <c r="R102" i="2"/>
  <c r="R114" i="2" s="1"/>
  <c r="J41" i="9"/>
  <c r="K16" i="2"/>
  <c r="O21" i="17"/>
  <c r="O27" i="17"/>
  <c r="O78" i="17"/>
  <c r="O24" i="17"/>
  <c r="O28" i="17"/>
  <c r="O77" i="17"/>
  <c r="O76" i="17"/>
  <c r="O79" i="17"/>
  <c r="O25" i="17"/>
  <c r="O52" i="17"/>
  <c r="O22" i="17"/>
  <c r="O53" i="17"/>
  <c r="O51" i="17"/>
  <c r="N71" i="17"/>
  <c r="AP65" i="11"/>
  <c r="AP70" i="11"/>
  <c r="AP74" i="11" s="1"/>
  <c r="Q89" i="33"/>
  <c r="Q51" i="33"/>
  <c r="U5" i="33"/>
  <c r="T8" i="33"/>
  <c r="T1" i="33"/>
  <c r="Q17" i="17"/>
  <c r="Q40" i="17" s="1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25" i="19"/>
  <c r="E28" i="2"/>
  <c r="K112" i="2"/>
  <c r="Z100" i="2"/>
  <c r="K100" i="2" s="1"/>
  <c r="H85" i="2"/>
  <c r="W48" i="2"/>
  <c r="W102" i="2" s="1"/>
  <c r="W114" i="2" s="1"/>
  <c r="Y67" i="11" s="1"/>
  <c r="H16" i="2"/>
  <c r="H50" i="17"/>
  <c r="H47" i="17"/>
  <c r="H56" i="17"/>
  <c r="Q71" i="17"/>
  <c r="AQ42" i="11"/>
  <c r="AQ64" i="11" s="1"/>
  <c r="K20" i="17"/>
  <c r="K17" i="17"/>
  <c r="K31" i="17"/>
  <c r="N47" i="17"/>
  <c r="N60" i="17" s="1"/>
  <c r="N56" i="17"/>
  <c r="I25" i="9"/>
  <c r="J86" i="17" s="1"/>
  <c r="AI102" i="11"/>
  <c r="AA24" i="11"/>
  <c r="AA64" i="11" s="1"/>
  <c r="O29" i="9"/>
  <c r="AR102" i="11"/>
  <c r="R43" i="9"/>
  <c r="R33" i="9"/>
  <c r="G86" i="17"/>
  <c r="G75" i="17" s="1"/>
  <c r="AH64" i="11"/>
  <c r="AB64" i="11"/>
  <c r="Q62" i="33"/>
  <c r="K28" i="11"/>
  <c r="J75" i="17"/>
  <c r="M47" i="17"/>
  <c r="M56" i="17"/>
  <c r="AM65" i="11"/>
  <c r="AM70" i="11"/>
  <c r="AM74" i="11" s="1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E34" i="35"/>
  <c r="D25" i="35"/>
  <c r="I47" i="17"/>
  <c r="I56" i="17"/>
  <c r="J17" i="17"/>
  <c r="J40" i="17" s="1"/>
  <c r="J31" i="17"/>
  <c r="J20" i="17"/>
  <c r="O75" i="17"/>
  <c r="N28" i="9"/>
  <c r="E11" i="17"/>
  <c r="K99" i="11"/>
  <c r="K22" i="8"/>
  <c r="K22" i="18"/>
  <c r="P23" i="17"/>
  <c r="P34" i="17"/>
  <c r="AF64" i="11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25" i="17"/>
  <c r="H36" i="17"/>
  <c r="R31" i="17"/>
  <c r="I35" i="17"/>
  <c r="E44" i="17"/>
  <c r="K31" i="18"/>
  <c r="K31" i="8"/>
  <c r="N31" i="17"/>
  <c r="N17" i="17"/>
  <c r="P47" i="17"/>
  <c r="P56" i="17"/>
  <c r="P50" i="17"/>
  <c r="L17" i="17"/>
  <c r="L40" i="17" s="1"/>
  <c r="L31" i="17"/>
  <c r="P31" i="9"/>
  <c r="P41" i="9"/>
  <c r="AQ102" i="11"/>
  <c r="AP102" i="11"/>
  <c r="M28" i="9"/>
  <c r="M38" i="9"/>
  <c r="M16" i="9"/>
  <c r="M25" i="9" s="1"/>
  <c r="N86" i="17" s="1"/>
  <c r="T64" i="11"/>
  <c r="R64" i="11"/>
  <c r="Q16" i="9"/>
  <c r="R46" i="9" s="1"/>
  <c r="Q28" i="9"/>
  <c r="Q38" i="9"/>
  <c r="L86" i="38"/>
  <c r="L1" i="38"/>
  <c r="L47" i="38"/>
  <c r="L8" i="38"/>
  <c r="L34" i="38"/>
  <c r="M5" i="38"/>
  <c r="AM48" i="2"/>
  <c r="AM102" i="2" s="1"/>
  <c r="AM114" i="2" s="1"/>
  <c r="G29" i="9"/>
  <c r="K25" i="9"/>
  <c r="L86" i="17" s="1"/>
  <c r="L83" i="17" s="1"/>
  <c r="T37" i="38"/>
  <c r="T62" i="38"/>
  <c r="T36" i="38"/>
  <c r="T76" i="38"/>
  <c r="T10" i="38"/>
  <c r="T12" i="38"/>
  <c r="T9" i="38"/>
  <c r="T11" i="38"/>
  <c r="I20" i="2"/>
  <c r="AJ48" i="2"/>
  <c r="M23" i="17"/>
  <c r="M34" i="17"/>
  <c r="R36" i="17"/>
  <c r="P76" i="17"/>
  <c r="O83" i="17"/>
  <c r="O85" i="17"/>
  <c r="N46" i="9"/>
  <c r="Q41" i="9"/>
  <c r="Q31" i="9"/>
  <c r="Q51" i="38"/>
  <c r="K98" i="2"/>
  <c r="I62" i="2"/>
  <c r="AE48" i="2"/>
  <c r="AE102" i="2" s="1"/>
  <c r="AE114" i="2" s="1"/>
  <c r="AG67" i="11" s="1"/>
  <c r="AN48" i="2"/>
  <c r="AN102" i="2" s="1"/>
  <c r="AN114" i="2" s="1"/>
  <c r="AP67" i="11" s="1"/>
  <c r="AQ101" i="2"/>
  <c r="Q74" i="33"/>
  <c r="Q63" i="38"/>
  <c r="C11" i="19"/>
  <c r="E7" i="19"/>
  <c r="D7" i="19"/>
  <c r="P57" i="17"/>
  <c r="P51" i="17"/>
  <c r="S34" i="17"/>
  <c r="G33" i="9"/>
  <c r="L35" i="17"/>
  <c r="E13" i="9"/>
  <c r="K13" i="8"/>
  <c r="K13" i="18"/>
  <c r="AJ64" i="11"/>
  <c r="J60" i="38"/>
  <c r="J73" i="38"/>
  <c r="J60" i="33"/>
  <c r="Q49" i="38"/>
  <c r="F109" i="2"/>
  <c r="H112" i="2"/>
  <c r="J47" i="17"/>
  <c r="J60" i="17" s="1"/>
  <c r="J56" i="17"/>
  <c r="J50" i="17"/>
  <c r="G47" i="17"/>
  <c r="G50" i="17"/>
  <c r="G71" i="17"/>
  <c r="G83" i="17" s="1"/>
  <c r="S57" i="17"/>
  <c r="M17" i="17"/>
  <c r="AD107" i="16"/>
  <c r="AD108" i="16" s="1"/>
  <c r="O28" i="9"/>
  <c r="G34" i="9"/>
  <c r="G31" i="9"/>
  <c r="AR64" i="11"/>
  <c r="H43" i="9"/>
  <c r="AN24" i="11"/>
  <c r="AN64" i="11" s="1"/>
  <c r="O41" i="9"/>
  <c r="O31" i="9"/>
  <c r="N41" i="9"/>
  <c r="N31" i="9"/>
  <c r="P16" i="9"/>
  <c r="P28" i="9"/>
  <c r="P38" i="9"/>
  <c r="J35" i="17"/>
  <c r="J24" i="17"/>
  <c r="E13" i="17"/>
  <c r="K100" i="11"/>
  <c r="K24" i="8"/>
  <c r="K24" i="18"/>
  <c r="S32" i="17"/>
  <c r="AD64" i="11"/>
  <c r="L86" i="33"/>
  <c r="M5" i="33"/>
  <c r="L1" i="33"/>
  <c r="L73" i="33"/>
  <c r="L8" i="33"/>
  <c r="L34" i="33"/>
  <c r="L60" i="33"/>
  <c r="AH55" i="10"/>
  <c r="AO29" i="2"/>
  <c r="S36" i="17"/>
  <c r="J71" i="17"/>
  <c r="J83" i="17" s="1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R60" i="17" s="1"/>
  <c r="J172" i="11"/>
  <c r="P25" i="9"/>
  <c r="Q86" i="17" s="1"/>
  <c r="Q25" i="17" s="1"/>
  <c r="N36" i="17"/>
  <c r="N25" i="17"/>
  <c r="L25" i="9"/>
  <c r="M86" i="17" s="1"/>
  <c r="AO102" i="11"/>
  <c r="AM102" i="11"/>
  <c r="Q35" i="33"/>
  <c r="Q22" i="33" s="1"/>
  <c r="J113" i="37" s="1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AE67" i="11" s="1"/>
  <c r="L75" i="17"/>
  <c r="G76" i="17"/>
  <c r="Q25" i="9"/>
  <c r="R86" i="17" s="1"/>
  <c r="E15" i="9"/>
  <c r="X64" i="11"/>
  <c r="N29" i="9"/>
  <c r="G30" i="9"/>
  <c r="L28" i="9"/>
  <c r="L38" i="9"/>
  <c r="L16" i="9"/>
  <c r="M31" i="9"/>
  <c r="M41" i="9"/>
  <c r="E11" i="9"/>
  <c r="K98" i="11"/>
  <c r="K11" i="8"/>
  <c r="K11" i="18"/>
  <c r="Q75" i="38"/>
  <c r="K73" i="38"/>
  <c r="L91" i="2"/>
  <c r="L86" i="2"/>
  <c r="L106" i="2"/>
  <c r="E14" i="9"/>
  <c r="K14" i="18"/>
  <c r="K14" i="8"/>
  <c r="K53" i="17"/>
  <c r="AL79" i="2"/>
  <c r="I85" i="2"/>
  <c r="P75" i="17"/>
  <c r="N35" i="9"/>
  <c r="O31" i="17"/>
  <c r="O17" i="17"/>
  <c r="O40" i="17" s="1"/>
  <c r="O20" i="17"/>
  <c r="Q24" i="17"/>
  <c r="Q35" i="17"/>
  <c r="M35" i="17"/>
  <c r="AK24" i="11"/>
  <c r="AK64" i="11" s="1"/>
  <c r="J46" i="9"/>
  <c r="K85" i="17"/>
  <c r="K31" i="9"/>
  <c r="K41" i="9"/>
  <c r="E301" i="30"/>
  <c r="Q64" i="11"/>
  <c r="R25" i="9"/>
  <c r="S86" i="17" s="1"/>
  <c r="AS65" i="11"/>
  <c r="AS67" i="11"/>
  <c r="AS70" i="11"/>
  <c r="AS74" i="11" s="1"/>
  <c r="R41" i="9"/>
  <c r="R31" i="9"/>
  <c r="G25" i="9"/>
  <c r="H86" i="17" s="1"/>
  <c r="H24" i="17" s="1"/>
  <c r="U48" i="2"/>
  <c r="K29" i="2"/>
  <c r="S64" i="11"/>
  <c r="V64" i="11"/>
  <c r="AS102" i="11"/>
  <c r="AJ101" i="2"/>
  <c r="E46" i="17"/>
  <c r="K33" i="8"/>
  <c r="K33" i="18"/>
  <c r="G35" i="9"/>
  <c r="P85" i="17"/>
  <c r="O46" i="9"/>
  <c r="P64" i="11"/>
  <c r="E9" i="9"/>
  <c r="E16" i="9" s="1"/>
  <c r="K9" i="18"/>
  <c r="K9" i="8"/>
  <c r="K15" i="11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P83" i="17" s="1"/>
  <c r="O34" i="9"/>
  <c r="N30" i="9"/>
  <c r="R39" i="9"/>
  <c r="R2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D23" i="35"/>
  <c r="O47" i="17"/>
  <c r="O60" i="17" s="1"/>
  <c r="O56" i="17"/>
  <c r="O50" i="17"/>
  <c r="N32" i="9"/>
  <c r="P102" i="11"/>
  <c r="H16" i="9"/>
  <c r="H38" i="9"/>
  <c r="G26" i="17"/>
  <c r="J30" i="9"/>
  <c r="J40" i="9"/>
  <c r="AC64" i="11"/>
  <c r="J127" i="37" l="1"/>
  <c r="K96" i="39"/>
  <c r="R21" i="38"/>
  <c r="AQ70" i="11"/>
  <c r="AQ74" i="11" s="1"/>
  <c r="AQ65" i="11"/>
  <c r="E96" i="39"/>
  <c r="E100" i="39"/>
  <c r="E34" i="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23" i="38" s="1"/>
  <c r="N88" i="39" s="1"/>
  <c r="U64" i="38"/>
  <c r="U76" i="38"/>
  <c r="U74" i="38"/>
  <c r="U12" i="38"/>
  <c r="U10" i="38"/>
  <c r="U90" i="38"/>
  <c r="U49" i="38"/>
  <c r="U87" i="38"/>
  <c r="U50" i="38"/>
  <c r="U11" i="38"/>
  <c r="U9" i="38"/>
  <c r="U35" i="38"/>
  <c r="U22" i="38" s="1"/>
  <c r="N87" i="39" s="1"/>
  <c r="U51" i="38"/>
  <c r="U37" i="38"/>
  <c r="U24" i="38" s="1"/>
  <c r="N89" i="39" s="1"/>
  <c r="U38" i="38"/>
  <c r="AA65" i="11"/>
  <c r="AA67" i="11"/>
  <c r="AA70" i="11"/>
  <c r="AA74" i="11" s="1"/>
  <c r="E85" i="17"/>
  <c r="E30" i="9"/>
  <c r="E32" i="9"/>
  <c r="E28" i="9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M51" i="17"/>
  <c r="M21" i="17"/>
  <c r="M79" i="17"/>
  <c r="M52" i="17"/>
  <c r="M20" i="17"/>
  <c r="M28" i="17"/>
  <c r="M80" i="17"/>
  <c r="M27" i="17"/>
  <c r="M22" i="17"/>
  <c r="M81" i="17"/>
  <c r="M26" i="17"/>
  <c r="M82" i="17"/>
  <c r="M76" i="17"/>
  <c r="M78" i="17"/>
  <c r="M53" i="17"/>
  <c r="M77" i="17"/>
  <c r="M75" i="17"/>
  <c r="M83" i="17"/>
  <c r="M25" i="17"/>
  <c r="M50" i="17"/>
  <c r="M24" i="17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E31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23" i="33" s="1"/>
  <c r="D114" i="37" s="1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22" i="38" s="1"/>
  <c r="K87" i="39" s="1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24" i="38" s="1"/>
  <c r="K89" i="39" s="1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76" i="17"/>
  <c r="H60" i="17"/>
  <c r="T86" i="33"/>
  <c r="U75" i="11"/>
  <c r="R86" i="38"/>
  <c r="S60" i="17"/>
  <c r="Q50" i="17"/>
  <c r="N101" i="2"/>
  <c r="R47" i="33"/>
  <c r="H31" i="9"/>
  <c r="Q60" i="17"/>
  <c r="H83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C10" i="31" s="1"/>
  <c r="C13" i="31" s="1"/>
  <c r="AD78" i="33"/>
  <c r="AD52" i="33"/>
  <c r="AD39" i="33"/>
  <c r="AD65" i="33"/>
  <c r="AD91" i="33"/>
  <c r="Q20" i="17"/>
  <c r="AT75" i="11"/>
  <c r="AK102" i="2"/>
  <c r="AK114" i="2" s="1"/>
  <c r="AM67" i="11" s="1"/>
  <c r="D159" i="2"/>
  <c r="Z75" i="11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T23" i="38" s="1"/>
  <c r="M88" i="39" s="1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23" i="38" s="1"/>
  <c r="E88" i="39" s="1"/>
  <c r="L12" i="38"/>
  <c r="L37" i="38"/>
  <c r="L63" i="38"/>
  <c r="L10" i="38"/>
  <c r="Q75" i="17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AP75" i="11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M75" i="11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22" i="33" s="1"/>
  <c r="M113" i="37" s="1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Q76" i="17"/>
  <c r="Q53" i="17"/>
  <c r="Q81" i="17"/>
  <c r="Q79" i="17"/>
  <c r="Q52" i="17"/>
  <c r="Q51" i="17"/>
  <c r="Q77" i="17"/>
  <c r="Q28" i="17"/>
  <c r="Q21" i="17"/>
  <c r="Q22" i="17"/>
  <c r="Q78" i="17"/>
  <c r="Q26" i="17"/>
  <c r="Q82" i="17"/>
  <c r="Q27" i="17"/>
  <c r="Q80" i="17"/>
  <c r="E29" i="9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22" i="33" s="1"/>
  <c r="E113" i="37" s="1"/>
  <c r="L48" i="33"/>
  <c r="L51" i="33"/>
  <c r="L37" i="33"/>
  <c r="L74" i="33"/>
  <c r="L61" i="33"/>
  <c r="L77" i="33"/>
  <c r="L87" i="33"/>
  <c r="L50" i="33"/>
  <c r="L12" i="33"/>
  <c r="L38" i="33"/>
  <c r="L36" i="33"/>
  <c r="L23" i="33" s="1"/>
  <c r="E114" i="37" s="1"/>
  <c r="L10" i="33"/>
  <c r="H28" i="9"/>
  <c r="AL101" i="2"/>
  <c r="I101" i="2" s="1"/>
  <c r="D149" i="2" s="1"/>
  <c r="F149" i="2" s="1"/>
  <c r="I79" i="2"/>
  <c r="E35" i="9"/>
  <c r="L79" i="2"/>
  <c r="Q23" i="17"/>
  <c r="E33" i="9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21" i="17"/>
  <c r="H53" i="17"/>
  <c r="H23" i="17"/>
  <c r="H20" i="17"/>
  <c r="H26" i="17"/>
  <c r="H81" i="17"/>
  <c r="H27" i="17"/>
  <c r="H52" i="17"/>
  <c r="H78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AG75" i="11"/>
  <c r="W75" i="11"/>
  <c r="L24" i="17"/>
  <c r="K88" i="38"/>
  <c r="K90" i="38"/>
  <c r="M60" i="17"/>
  <c r="Q83" i="17"/>
  <c r="T47" i="33"/>
  <c r="L50" i="17"/>
  <c r="R40" i="17"/>
  <c r="R34" i="33"/>
  <c r="C127" i="37" l="1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U22" i="33" s="1"/>
  <c r="N113" i="37" s="1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23" i="33" s="1"/>
  <c r="F114" i="37" s="1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L89" i="39" l="1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24" i="38" s="1"/>
  <c r="P89" i="39" s="1"/>
  <c r="W9" i="38"/>
  <c r="W11" i="38"/>
  <c r="W10" i="38"/>
  <c r="W12" i="38"/>
  <c r="E119" i="37"/>
  <c r="V22" i="33" l="1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22" i="33" s="1"/>
  <c r="P113" i="37" s="1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22" i="33" s="1"/>
  <c r="H113" i="37" s="1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22" i="38" s="1"/>
  <c r="Q87" i="39" s="1"/>
  <c r="X77" i="38"/>
  <c r="X37" i="38"/>
  <c r="X24" i="38" s="1"/>
  <c r="Q89" i="39" s="1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E60" i="33" l="1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22" i="38" s="1"/>
  <c r="R87" i="39" s="1"/>
  <c r="Y37" i="38"/>
  <c r="Y24" i="38" s="1"/>
  <c r="R89" i="39" s="1"/>
  <c r="Y75" i="38"/>
  <c r="Y63" i="38"/>
  <c r="Y36" i="38"/>
  <c r="Y23" i="38" s="1"/>
  <c r="R88" i="39" s="1"/>
  <c r="Y11" i="38"/>
  <c r="Y9" i="38"/>
  <c r="Y64" i="38"/>
  <c r="Y10" i="38"/>
  <c r="Y12" i="38"/>
  <c r="T78" i="11"/>
  <c r="T80" i="11" s="1"/>
  <c r="T81" i="11" s="1"/>
  <c r="E35" i="33"/>
  <c r="AQ78" i="11"/>
  <c r="AQ80" i="11" s="1"/>
  <c r="AQ81" i="11" s="1"/>
  <c r="E73" i="33"/>
  <c r="P90" i="38"/>
  <c r="P87" i="38"/>
  <c r="E87" i="38" s="1"/>
  <c r="P74" i="38"/>
  <c r="P77" i="38"/>
  <c r="P75" i="38"/>
  <c r="P51" i="38"/>
  <c r="P76" i="38"/>
  <c r="P50" i="38"/>
  <c r="P49" i="38"/>
  <c r="P37" i="38"/>
  <c r="P64" i="38"/>
  <c r="P88" i="38"/>
  <c r="E88" i="38" s="1"/>
  <c r="P63" i="38"/>
  <c r="P48" i="38"/>
  <c r="P11" i="38"/>
  <c r="P62" i="38"/>
  <c r="P12" i="38"/>
  <c r="P36" i="38"/>
  <c r="P61" i="38"/>
  <c r="P38" i="38"/>
  <c r="P35" i="38"/>
  <c r="P89" i="38"/>
  <c r="E89" i="38" s="1"/>
  <c r="P10" i="38"/>
  <c r="P9" i="38"/>
  <c r="X5" i="11"/>
  <c r="I100" i="39"/>
  <c r="H86" i="39"/>
  <c r="H92" i="39" s="1"/>
  <c r="Q123" i="37" l="1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Y22" i="33" l="1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24" i="33" s="1"/>
  <c r="S115" i="37" s="1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AA89" i="33" l="1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22" i="38" s="1"/>
  <c r="U87" i="39" s="1"/>
  <c r="AB49" i="38"/>
  <c r="AB37" i="38"/>
  <c r="AB24" i="38" s="1"/>
  <c r="U89" i="39" s="1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A23" i="33" l="1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8" i="11"/>
  <c r="C78" i="11"/>
  <c r="AB23" i="38"/>
  <c r="U88" i="39" s="1"/>
  <c r="U126" i="37"/>
  <c r="U97" i="39"/>
  <c r="AB25" i="38"/>
  <c r="T112" i="37"/>
  <c r="T118" i="37" s="1"/>
  <c r="T93" i="39"/>
  <c r="W96" i="39" l="1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53" i="8"/>
  <c r="I53" i="8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C50" i="11"/>
  <c r="C29" i="11"/>
  <c r="C47" i="11"/>
  <c r="J12" i="11"/>
  <c r="J7" i="11"/>
  <c r="I14" i="11"/>
  <c r="C15" i="9" s="1"/>
  <c r="J53" i="11"/>
  <c r="C155" i="11" s="1"/>
  <c r="K53" i="11" s="1"/>
  <c r="D51" i="11"/>
  <c r="D46" i="11"/>
  <c r="D44" i="11"/>
  <c r="J61" i="11"/>
  <c r="C163" i="11" s="1"/>
  <c r="K61" i="11" s="1"/>
  <c r="J49" i="11"/>
  <c r="J38" i="11"/>
  <c r="F49" i="11"/>
  <c r="F14" i="11"/>
  <c r="C41" i="11"/>
  <c r="C27" i="1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7" i="11" s="1"/>
  <c r="K55" i="11" s="1"/>
  <c r="C45" i="11"/>
  <c r="F52" i="11"/>
  <c r="F71" i="11" s="1"/>
  <c r="C33" i="11"/>
  <c r="G50" i="11"/>
  <c r="I18" i="11"/>
  <c r="C19" i="9" s="1"/>
  <c r="I47" i="11"/>
  <c r="F57" i="11"/>
  <c r="F79" i="11" s="1"/>
  <c r="C39" i="11"/>
  <c r="G10" i="11"/>
  <c r="J29" i="11"/>
  <c r="I44" i="11"/>
  <c r="I35" i="11"/>
  <c r="C61" i="11"/>
  <c r="F41" i="11"/>
  <c r="I45" i="11"/>
  <c r="F21" i="11"/>
  <c r="D34" i="11"/>
  <c r="G33" i="11"/>
  <c r="G18" i="11"/>
  <c r="G11" i="11"/>
  <c r="I9" i="11"/>
  <c r="F78" i="11"/>
  <c r="F53" i="8" s="1"/>
  <c r="I8" i="11"/>
  <c r="G30" i="11"/>
  <c r="G35" i="11"/>
  <c r="D28" i="1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F31" i="1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2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J48" i="11"/>
  <c r="J54" i="11"/>
  <c r="D32" i="11"/>
  <c r="F8" i="11"/>
  <c r="F11" i="11"/>
  <c r="D18" i="11"/>
  <c r="F61" i="11"/>
  <c r="G41" i="11"/>
  <c r="I49" i="11"/>
  <c r="G44" i="11"/>
  <c r="D38" i="11"/>
  <c r="D33" i="11"/>
  <c r="G54" i="11"/>
  <c r="G72" i="11" s="1"/>
  <c r="C17" i="11"/>
  <c r="C46" i="11"/>
  <c r="F10" i="11"/>
  <c r="D21" i="11"/>
  <c r="G8" i="11"/>
  <c r="I46" i="11"/>
  <c r="F38" i="11"/>
  <c r="I28" i="11"/>
  <c r="J9" i="11"/>
  <c r="G31" i="11"/>
  <c r="J41" i="11"/>
  <c r="J57" i="11"/>
  <c r="G46" i="11"/>
  <c r="I13" i="11"/>
  <c r="G78" i="11"/>
  <c r="C20" i="11"/>
  <c r="C48" i="11"/>
  <c r="D27" i="11"/>
  <c r="J47" i="11"/>
  <c r="I56" i="11"/>
  <c r="J21" i="11"/>
  <c r="F48" i="11"/>
  <c r="C28" i="11"/>
  <c r="C53" i="11"/>
  <c r="I27" i="1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D49" i="11"/>
  <c r="J58" i="11"/>
  <c r="D29" i="11"/>
  <c r="D31" i="11"/>
  <c r="J27" i="1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56" i="11"/>
  <c r="J59" i="11"/>
  <c r="C160" i="11" s="1"/>
  <c r="K59" i="11" s="1"/>
  <c r="C59" i="11"/>
  <c r="D20" i="11"/>
  <c r="C7" i="11"/>
  <c r="D48" i="11"/>
  <c r="J28" i="11"/>
  <c r="F39" i="11"/>
  <c r="D9" i="11"/>
  <c r="D35" i="11"/>
  <c r="J30" i="11"/>
  <c r="I11" i="11"/>
  <c r="D11" i="11"/>
  <c r="D7" i="11"/>
  <c r="I39" i="11"/>
  <c r="D8" i="11"/>
  <c r="G56" i="11"/>
  <c r="D30" i="11"/>
  <c r="D78" i="11"/>
  <c r="D53" i="8" s="1"/>
  <c r="D13" i="11"/>
  <c r="J40" i="11"/>
  <c r="D58" i="11"/>
  <c r="D73" i="11" s="1"/>
  <c r="D12" i="11"/>
  <c r="D60" i="11"/>
  <c r="G17" i="11"/>
  <c r="G22" i="11" s="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AC13" i="38" l="1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F7" i="35"/>
  <c r="J20" i="8"/>
  <c r="J20" i="18"/>
  <c r="N28" i="11"/>
  <c r="M28" i="11"/>
  <c r="K78" i="11"/>
  <c r="F86" i="11"/>
  <c r="F51" i="8" s="1"/>
  <c r="F36" i="18"/>
  <c r="F62" i="11"/>
  <c r="F36" i="8"/>
  <c r="G84" i="11"/>
  <c r="G23" i="18"/>
  <c r="G23" i="8"/>
  <c r="F25" i="18"/>
  <c r="F25" i="8"/>
  <c r="C99" i="11"/>
  <c r="C61" i="8" s="1"/>
  <c r="C22" i="18"/>
  <c r="C22" i="8"/>
  <c r="G101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G24" i="11"/>
  <c r="D10" i="18"/>
  <c r="D10" i="8"/>
  <c r="G21" i="18"/>
  <c r="G21" i="8"/>
  <c r="I40" i="8"/>
  <c r="C67" i="17" s="1"/>
  <c r="I40" i="18"/>
  <c r="J79" i="11"/>
  <c r="K79" i="11" s="1"/>
  <c r="C159" i="11"/>
  <c r="K57" i="11" s="1"/>
  <c r="I41" i="18"/>
  <c r="I41" i="8"/>
  <c r="C68" i="17" s="1"/>
  <c r="C11" i="9"/>
  <c r="I98" i="11"/>
  <c r="I11" i="18"/>
  <c r="I11" i="8"/>
  <c r="G10" i="18"/>
  <c r="G10" i="8"/>
  <c r="C26" i="18"/>
  <c r="C26" i="8"/>
  <c r="G12" i="8"/>
  <c r="G12" i="18"/>
  <c r="G42" i="8"/>
  <c r="G42" i="18"/>
  <c r="C33" i="8"/>
  <c r="C33" i="18"/>
  <c r="C100" i="11"/>
  <c r="C62" i="8" s="1"/>
  <c r="C24" i="18"/>
  <c r="C24" i="8"/>
  <c r="W97" i="39"/>
  <c r="AD25" i="38"/>
  <c r="H33" i="38"/>
  <c r="H41" i="38" s="1"/>
  <c r="F33" i="38"/>
  <c r="E39" i="38" s="1"/>
  <c r="D18" i="9"/>
  <c r="D23" i="9" s="1"/>
  <c r="J22" i="11"/>
  <c r="J24" i="11" s="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9" i="11"/>
  <c r="J84" i="11"/>
  <c r="J23" i="18"/>
  <c r="J23" i="8"/>
  <c r="C101" i="11"/>
  <c r="C63" i="8" s="1"/>
  <c r="C37" i="8"/>
  <c r="C37" i="18"/>
  <c r="H85" i="38"/>
  <c r="H94" i="38" s="1"/>
  <c r="C8" i="18"/>
  <c r="C15" i="11"/>
  <c r="C8" i="8"/>
  <c r="F12" i="18"/>
  <c r="F12" i="8"/>
  <c r="C84" i="11"/>
  <c r="C23" i="8"/>
  <c r="C23" i="18"/>
  <c r="G41" i="18"/>
  <c r="G41" i="8"/>
  <c r="C13" i="17"/>
  <c r="I100" i="11"/>
  <c r="I62" i="8" s="1"/>
  <c r="I24" i="8"/>
  <c r="I24" i="18"/>
  <c r="M55" i="11"/>
  <c r="N55" i="11"/>
  <c r="C10" i="8"/>
  <c r="C10" i="18"/>
  <c r="F42" i="11"/>
  <c r="F30" i="18"/>
  <c r="F30" i="8"/>
  <c r="F26" i="18"/>
  <c r="F26" i="8"/>
  <c r="D84" i="11"/>
  <c r="D23" i="18"/>
  <c r="D23" i="8"/>
  <c r="C11" i="17"/>
  <c r="I99" i="11"/>
  <c r="I61" i="8" s="1"/>
  <c r="I22" i="18"/>
  <c r="I22" i="8"/>
  <c r="F84" i="11"/>
  <c r="F23" i="8"/>
  <c r="F23" i="18"/>
  <c r="D44" i="17"/>
  <c r="J31" i="8"/>
  <c r="J31" i="18"/>
  <c r="M39" i="11"/>
  <c r="N39" i="11"/>
  <c r="M59" i="11"/>
  <c r="N59" i="11"/>
  <c r="J72" i="11"/>
  <c r="C156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9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7" i="11"/>
  <c r="K45" i="11" s="1"/>
  <c r="J101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9" i="11"/>
  <c r="F61" i="8" s="1"/>
  <c r="F22" i="8"/>
  <c r="F22" i="18"/>
  <c r="D20" i="8"/>
  <c r="D20" i="18"/>
  <c r="D10" i="17"/>
  <c r="F8" i="35"/>
  <c r="G8" i="35" s="1"/>
  <c r="H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C24" i="11" s="1"/>
  <c r="G40" i="18"/>
  <c r="G40" i="8"/>
  <c r="G52" i="8"/>
  <c r="F43" i="18"/>
  <c r="F43" i="8"/>
  <c r="F14" i="8"/>
  <c r="F14" i="18"/>
  <c r="G42" i="11"/>
  <c r="G30" i="8"/>
  <c r="G34" i="8" s="1"/>
  <c r="G30" i="18"/>
  <c r="G34" i="18" s="1"/>
  <c r="G27" i="18"/>
  <c r="G27" i="8"/>
  <c r="G98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D24" i="11" s="1"/>
  <c r="C9" i="17"/>
  <c r="I20" i="18"/>
  <c r="I20" i="8"/>
  <c r="D9" i="9"/>
  <c r="J9" i="18"/>
  <c r="J9" i="8"/>
  <c r="N8" i="11"/>
  <c r="M8" i="11"/>
  <c r="G20" i="18"/>
  <c r="G20" i="8"/>
  <c r="C12" i="17"/>
  <c r="I84" i="11"/>
  <c r="I23" i="8"/>
  <c r="I23" i="18"/>
  <c r="J41" i="8"/>
  <c r="D68" i="17" s="1"/>
  <c r="C151" i="11"/>
  <c r="K49" i="11" s="1"/>
  <c r="J41" i="18"/>
  <c r="D14" i="18"/>
  <c r="D14" i="8"/>
  <c r="C20" i="8"/>
  <c r="C20" i="18"/>
  <c r="J43" i="18"/>
  <c r="C153" i="11"/>
  <c r="K51" i="11" s="1"/>
  <c r="J43" i="8"/>
  <c r="D70" i="17" s="1"/>
  <c r="G43" i="8"/>
  <c r="G43" i="18"/>
  <c r="I101" i="11"/>
  <c r="I63" i="8" s="1"/>
  <c r="I37" i="8"/>
  <c r="C64" i="17" s="1"/>
  <c r="I37" i="18"/>
  <c r="J86" i="11"/>
  <c r="J51" i="8" s="1"/>
  <c r="J62" i="11"/>
  <c r="C146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9" i="11"/>
  <c r="D14" i="9"/>
  <c r="J14" i="8"/>
  <c r="J14" i="18"/>
  <c r="N13" i="11"/>
  <c r="M13" i="11"/>
  <c r="D20" i="9"/>
  <c r="N19" i="11"/>
  <c r="M19" i="11"/>
  <c r="D13" i="17"/>
  <c r="J100" i="11"/>
  <c r="J24" i="18"/>
  <c r="J24" i="8"/>
  <c r="N32" i="11"/>
  <c r="M32" i="11"/>
  <c r="D43" i="8"/>
  <c r="D43" i="18"/>
  <c r="V93" i="39"/>
  <c r="D15" i="9"/>
  <c r="M14" i="11"/>
  <c r="N14" i="11"/>
  <c r="F98" i="11"/>
  <c r="F11" i="18"/>
  <c r="F11" i="8"/>
  <c r="J42" i="18"/>
  <c r="J42" i="8"/>
  <c r="D69" i="17" s="1"/>
  <c r="F22" i="11"/>
  <c r="M53" i="11"/>
  <c r="N53" i="11"/>
  <c r="C154" i="11"/>
  <c r="K52" i="11" s="1"/>
  <c r="J71" i="11"/>
  <c r="D12" i="18"/>
  <c r="D12" i="8"/>
  <c r="D12" i="9"/>
  <c r="J12" i="18"/>
  <c r="J12" i="8"/>
  <c r="M11" i="11"/>
  <c r="N11" i="11"/>
  <c r="D52" i="8"/>
  <c r="G100" i="11"/>
  <c r="G62" i="8" s="1"/>
  <c r="G24" i="18"/>
  <c r="G24" i="8"/>
  <c r="F101" i="11"/>
  <c r="F63" i="8" s="1"/>
  <c r="F37" i="8"/>
  <c r="F37" i="18"/>
  <c r="F42" i="18"/>
  <c r="F42" i="8"/>
  <c r="D42" i="8"/>
  <c r="D42" i="18"/>
  <c r="G99" i="11"/>
  <c r="G61" i="8" s="1"/>
  <c r="G22" i="18"/>
  <c r="G22" i="8"/>
  <c r="C31" i="18"/>
  <c r="C31" i="8"/>
  <c r="D101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100" i="11"/>
  <c r="D62" i="8" s="1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34" i="18" s="1"/>
  <c r="C42" i="11"/>
  <c r="C30" i="8"/>
  <c r="C34" i="8" s="1"/>
  <c r="F100" i="11"/>
  <c r="F62" i="8" s="1"/>
  <c r="F24" i="18"/>
  <c r="F24" i="8"/>
  <c r="F27" i="18"/>
  <c r="F27" i="8"/>
  <c r="D11" i="9"/>
  <c r="J98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9" i="11"/>
  <c r="D61" i="8" s="1"/>
  <c r="D22" i="18"/>
  <c r="D22" i="8"/>
  <c r="G9" i="8"/>
  <c r="G9" i="18"/>
  <c r="F20" i="8"/>
  <c r="F20" i="18"/>
  <c r="AD94" i="38"/>
  <c r="J73" i="11"/>
  <c r="C161" i="11"/>
  <c r="K58" i="11" s="1"/>
  <c r="C150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9" i="11"/>
  <c r="J22" i="8"/>
  <c r="J22" i="18"/>
  <c r="N30" i="11"/>
  <c r="M30" i="11"/>
  <c r="C14" i="9"/>
  <c r="I14" i="8"/>
  <c r="I14" i="18"/>
  <c r="D42" i="11"/>
  <c r="D30" i="8"/>
  <c r="D34" i="8" s="1"/>
  <c r="D30" i="18"/>
  <c r="D34" i="18" s="1"/>
  <c r="C13" i="9"/>
  <c r="I13" i="8"/>
  <c r="I13" i="18"/>
  <c r="C62" i="11"/>
  <c r="C86" i="11"/>
  <c r="C51" i="8" s="1"/>
  <c r="C36" i="18"/>
  <c r="C36" i="8"/>
  <c r="D21" i="9"/>
  <c r="M20" i="11"/>
  <c r="N20" i="11"/>
  <c r="C98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8" i="11"/>
  <c r="D11" i="18"/>
  <c r="D11" i="8"/>
  <c r="D27" i="18"/>
  <c r="D27" i="8"/>
  <c r="C148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I24" i="11" s="1"/>
  <c r="C10" i="9"/>
  <c r="I10" i="18"/>
  <c r="I10" i="8"/>
  <c r="C36" i="11"/>
  <c r="C19" i="18"/>
  <c r="C19" i="8"/>
  <c r="C42" i="8"/>
  <c r="C42" i="18"/>
  <c r="C41" i="8"/>
  <c r="C41" i="18"/>
  <c r="E46" i="38" l="1"/>
  <c r="E52" i="38"/>
  <c r="AC78" i="33"/>
  <c r="AC72" i="33" s="1"/>
  <c r="AD80" i="33"/>
  <c r="E33" i="38"/>
  <c r="F41" i="38"/>
  <c r="W123" i="37"/>
  <c r="AD42" i="33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91" i="11"/>
  <c r="G54" i="8"/>
  <c r="J64" i="11"/>
  <c r="J16" i="8"/>
  <c r="J16" i="18"/>
  <c r="N32" i="8"/>
  <c r="M32" i="8"/>
  <c r="M15" i="11"/>
  <c r="N27" i="8"/>
  <c r="M27" i="8"/>
  <c r="C17" i="17"/>
  <c r="W93" i="39"/>
  <c r="F94" i="38"/>
  <c r="F93" i="33"/>
  <c r="F85" i="33"/>
  <c r="E91" i="33" s="1"/>
  <c r="E85" i="33" s="1"/>
  <c r="AD68" i="33"/>
  <c r="F64" i="33"/>
  <c r="H64" i="33"/>
  <c r="AD23" i="33"/>
  <c r="H36" i="33"/>
  <c r="F36" i="33"/>
  <c r="F93" i="38"/>
  <c r="C102" i="11"/>
  <c r="C60" i="8"/>
  <c r="C64" i="8" s="1"/>
  <c r="N13" i="8"/>
  <c r="M13" i="8"/>
  <c r="D58" i="17"/>
  <c r="E58" i="17"/>
  <c r="N27" i="18"/>
  <c r="M27" i="18"/>
  <c r="M26" i="8"/>
  <c r="N26" i="8"/>
  <c r="I102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AD55" i="33"/>
  <c r="H51" i="33"/>
  <c r="H46" i="33" s="1"/>
  <c r="H54" i="33" s="1"/>
  <c r="F51" i="33"/>
  <c r="J53" i="8"/>
  <c r="AD33" i="33"/>
  <c r="J45" i="18"/>
  <c r="J44" i="18" s="1"/>
  <c r="J45" i="8"/>
  <c r="J44" i="8" s="1"/>
  <c r="D71" i="17" s="1"/>
  <c r="D45" i="9"/>
  <c r="E45" i="9"/>
  <c r="M49" i="11"/>
  <c r="K41" i="18"/>
  <c r="N49" i="11"/>
  <c r="K41" i="8"/>
  <c r="D25" i="9"/>
  <c r="D86" i="17" s="1"/>
  <c r="D22" i="17" s="1"/>
  <c r="H72" i="33"/>
  <c r="H80" i="33" s="1"/>
  <c r="C28" i="8"/>
  <c r="N25" i="8"/>
  <c r="M25" i="8"/>
  <c r="G64" i="11"/>
  <c r="G16" i="18"/>
  <c r="G16" i="8"/>
  <c r="V115" i="37"/>
  <c r="I45" i="18"/>
  <c r="I44" i="18" s="1"/>
  <c r="I45" i="8"/>
  <c r="I44" i="8" s="1"/>
  <c r="C71" i="17" s="1"/>
  <c r="I28" i="18"/>
  <c r="G45" i="18"/>
  <c r="G44" i="18" s="1"/>
  <c r="G45" i="8"/>
  <c r="G44" i="8" s="1"/>
  <c r="C152" i="11"/>
  <c r="K50" i="11" s="1"/>
  <c r="C124" i="11"/>
  <c r="K18" i="11"/>
  <c r="I55" i="8"/>
  <c r="N13" i="18"/>
  <c r="M13" i="18"/>
  <c r="G28" i="18"/>
  <c r="J62" i="8"/>
  <c r="N100" i="11"/>
  <c r="M100" i="11"/>
  <c r="M42" i="11"/>
  <c r="D16" i="9"/>
  <c r="D28" i="9"/>
  <c r="D38" i="9"/>
  <c r="E38" i="9"/>
  <c r="C64" i="11"/>
  <c r="C16" i="18"/>
  <c r="C16" i="8"/>
  <c r="F55" i="38"/>
  <c r="D57" i="17"/>
  <c r="E57" i="17"/>
  <c r="F34" i="8"/>
  <c r="J91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72" i="17"/>
  <c r="C28" i="18"/>
  <c r="D44" i="9"/>
  <c r="D34" i="9"/>
  <c r="E44" i="9"/>
  <c r="M32" i="18"/>
  <c r="N32" i="18"/>
  <c r="M26" i="18"/>
  <c r="N26" i="18"/>
  <c r="AD85" i="33"/>
  <c r="D43" i="9"/>
  <c r="D33" i="9"/>
  <c r="E43" i="9"/>
  <c r="H20" i="38"/>
  <c r="H28" i="38" s="1"/>
  <c r="I34" i="8"/>
  <c r="C32" i="9"/>
  <c r="D36" i="17"/>
  <c r="E36" i="17"/>
  <c r="N9" i="8"/>
  <c r="M9" i="8"/>
  <c r="F28" i="18"/>
  <c r="K101" i="11"/>
  <c r="M45" i="11"/>
  <c r="N45" i="11"/>
  <c r="K37" i="18"/>
  <c r="K37" i="8"/>
  <c r="H55" i="38"/>
  <c r="F34" i="18"/>
  <c r="C91" i="11"/>
  <c r="C54" i="8"/>
  <c r="C55" i="8" s="1"/>
  <c r="K31" i="11"/>
  <c r="C136" i="11"/>
  <c r="N79" i="11"/>
  <c r="M79" i="11"/>
  <c r="AD46" i="33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26" i="17"/>
  <c r="D37" i="17"/>
  <c r="E37" i="17"/>
  <c r="V113" i="37"/>
  <c r="H93" i="38"/>
  <c r="H16" i="38"/>
  <c r="D39" i="17"/>
  <c r="E39" i="17"/>
  <c r="N24" i="8"/>
  <c r="M24" i="8"/>
  <c r="C25" i="9"/>
  <c r="C86" i="17" s="1"/>
  <c r="C27" i="17" s="1"/>
  <c r="N24" i="18"/>
  <c r="M24" i="18"/>
  <c r="F54" i="38"/>
  <c r="F54" i="33"/>
  <c r="F46" i="33"/>
  <c r="E52" i="33" s="1"/>
  <c r="E46" i="33" s="1"/>
  <c r="AD20" i="38"/>
  <c r="AD28" i="38" s="1"/>
  <c r="N11" i="18"/>
  <c r="M11" i="18"/>
  <c r="G28" i="8"/>
  <c r="AD59" i="33"/>
  <c r="J61" i="8"/>
  <c r="N99" i="11"/>
  <c r="M99" i="11"/>
  <c r="M11" i="8"/>
  <c r="N11" i="8"/>
  <c r="I34" i="18"/>
  <c r="N46" i="11"/>
  <c r="M46" i="11"/>
  <c r="K38" i="18"/>
  <c r="K38" i="8"/>
  <c r="D34" i="17"/>
  <c r="E34" i="17"/>
  <c r="J102" i="11"/>
  <c r="J60" i="8"/>
  <c r="M98" i="11"/>
  <c r="N98" i="11"/>
  <c r="F81" i="38"/>
  <c r="C16" i="9"/>
  <c r="C28" i="9"/>
  <c r="M9" i="18"/>
  <c r="N9" i="18"/>
  <c r="M30" i="18"/>
  <c r="J34" i="18"/>
  <c r="N34" i="18" s="1"/>
  <c r="N30" i="18"/>
  <c r="F28" i="8"/>
  <c r="M47" i="11"/>
  <c r="K39" i="8"/>
  <c r="N47" i="11"/>
  <c r="K39" i="18"/>
  <c r="D35" i="17"/>
  <c r="D24" i="17"/>
  <c r="H75" i="33"/>
  <c r="F75" i="33"/>
  <c r="V119" i="37"/>
  <c r="AD81" i="33"/>
  <c r="H77" i="33"/>
  <c r="F77" i="33"/>
  <c r="D80" i="17"/>
  <c r="E93" i="38"/>
  <c r="E94" i="38"/>
  <c r="M8" i="18"/>
  <c r="N8" i="18"/>
  <c r="M31" i="8"/>
  <c r="N31" i="8"/>
  <c r="N22" i="8"/>
  <c r="M22" i="8"/>
  <c r="D17" i="17"/>
  <c r="D40" i="17" s="1"/>
  <c r="D20" i="17"/>
  <c r="D31" i="17"/>
  <c r="E31" i="17"/>
  <c r="C45" i="18"/>
  <c r="C44" i="18" s="1"/>
  <c r="C45" i="8"/>
  <c r="C44" i="8" s="1"/>
  <c r="D41" i="9"/>
  <c r="D31" i="9"/>
  <c r="E41" i="9"/>
  <c r="H81" i="38"/>
  <c r="C47" i="17"/>
  <c r="AC16" i="33"/>
  <c r="C53" i="17"/>
  <c r="D29" i="9"/>
  <c r="D39" i="9"/>
  <c r="E39" i="9"/>
  <c r="J34" i="8"/>
  <c r="N34" i="8" s="1"/>
  <c r="N30" i="8"/>
  <c r="M30" i="8"/>
  <c r="N33" i="8"/>
  <c r="M33" i="8"/>
  <c r="G102" i="11"/>
  <c r="G60" i="8"/>
  <c r="G64" i="8" s="1"/>
  <c r="F91" i="11"/>
  <c r="F54" i="8"/>
  <c r="F55" i="8" s="1"/>
  <c r="H59" i="38"/>
  <c r="H67" i="38" s="1"/>
  <c r="H11" i="33"/>
  <c r="F11" i="33"/>
  <c r="N20" i="18"/>
  <c r="M20" i="18"/>
  <c r="C21" i="17"/>
  <c r="D28" i="8"/>
  <c r="K72" i="11"/>
  <c r="N54" i="11"/>
  <c r="M54" i="11"/>
  <c r="D102" i="11"/>
  <c r="D60" i="8"/>
  <c r="D64" i="8" s="1"/>
  <c r="W87" i="39"/>
  <c r="N14" i="18"/>
  <c r="M14" i="18"/>
  <c r="C23" i="17"/>
  <c r="D30" i="9"/>
  <c r="D40" i="9"/>
  <c r="E40" i="9"/>
  <c r="AC39" i="38"/>
  <c r="AD41" i="38"/>
  <c r="F42" i="38"/>
  <c r="M25" i="18"/>
  <c r="N25" i="18"/>
  <c r="H42" i="38"/>
  <c r="M52" i="11"/>
  <c r="N52" i="11"/>
  <c r="K71" i="11"/>
  <c r="D91" i="11"/>
  <c r="D54" i="8"/>
  <c r="D55" i="8" s="1"/>
  <c r="AD42" i="38"/>
  <c r="J28" i="18"/>
  <c r="M19" i="18"/>
  <c r="N19" i="18"/>
  <c r="W89" i="39"/>
  <c r="N19" i="8"/>
  <c r="J28" i="8"/>
  <c r="M19" i="8"/>
  <c r="E54" i="38"/>
  <c r="E55" i="38"/>
  <c r="M31" i="18"/>
  <c r="N31" i="18"/>
  <c r="F59" i="38"/>
  <c r="E65" i="38" s="1"/>
  <c r="F24" i="11"/>
  <c r="D27" i="17"/>
  <c r="D38" i="17"/>
  <c r="E38" i="17"/>
  <c r="N12" i="8"/>
  <c r="M12" i="8"/>
  <c r="F102" i="11"/>
  <c r="F60" i="8"/>
  <c r="F64" i="8" s="1"/>
  <c r="D75" i="17"/>
  <c r="D72" i="17"/>
  <c r="N33" i="18"/>
  <c r="M33" i="18"/>
  <c r="M21" i="18"/>
  <c r="N21" i="18"/>
  <c r="C51" i="17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C33" i="9"/>
  <c r="AC52" i="38"/>
  <c r="AC46" i="38" s="1"/>
  <c r="AD54" i="38"/>
  <c r="D64" i="11"/>
  <c r="D16" i="18"/>
  <c r="D16" i="8"/>
  <c r="D28" i="18"/>
  <c r="D33" i="17"/>
  <c r="E33" i="17"/>
  <c r="G55" i="8"/>
  <c r="J52" i="8"/>
  <c r="J55" i="8" s="1"/>
  <c r="AC65" i="38"/>
  <c r="AC59" i="38" s="1"/>
  <c r="AD67" i="38"/>
  <c r="I91" i="11"/>
  <c r="I54" i="8"/>
  <c r="W88" i="39"/>
  <c r="I64" i="11"/>
  <c r="I16" i="18"/>
  <c r="I16" i="8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C78" i="17"/>
  <c r="K73" i="11"/>
  <c r="N58" i="11"/>
  <c r="M58" i="11"/>
  <c r="AA91" i="38"/>
  <c r="AA85" i="38" s="1"/>
  <c r="AB93" i="38"/>
  <c r="AB94" i="38"/>
  <c r="N12" i="18"/>
  <c r="M12" i="18"/>
  <c r="C167" i="11"/>
  <c r="K44" i="11"/>
  <c r="D56" i="17"/>
  <c r="D47" i="17"/>
  <c r="D50" i="17"/>
  <c r="E56" i="17"/>
  <c r="D53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F10" i="35"/>
  <c r="F25" i="35" s="1"/>
  <c r="G7" i="35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AD29" i="38" l="1"/>
  <c r="D47" i="8"/>
  <c r="D15" i="8"/>
  <c r="F64" i="11"/>
  <c r="F16" i="18"/>
  <c r="F16" i="8"/>
  <c r="F81" i="33"/>
  <c r="M34" i="18"/>
  <c r="E12" i="17"/>
  <c r="M31" i="11"/>
  <c r="M36" i="11" s="1"/>
  <c r="K84" i="11"/>
  <c r="N31" i="11"/>
  <c r="K23" i="18"/>
  <c r="K23" i="8"/>
  <c r="K36" i="11"/>
  <c r="N36" i="11" s="1"/>
  <c r="D25" i="17"/>
  <c r="E93" i="33"/>
  <c r="E94" i="33"/>
  <c r="F72" i="33"/>
  <c r="E65" i="17"/>
  <c r="N38" i="8"/>
  <c r="M38" i="8"/>
  <c r="N50" i="11"/>
  <c r="M50" i="11"/>
  <c r="K42" i="18"/>
  <c r="K42" i="8"/>
  <c r="E41" i="33"/>
  <c r="E42" i="33"/>
  <c r="D52" i="17"/>
  <c r="D65" i="11"/>
  <c r="D70" i="11"/>
  <c r="D74" i="11" s="1"/>
  <c r="D67" i="11"/>
  <c r="C75" i="17"/>
  <c r="D85" i="17"/>
  <c r="D46" i="9"/>
  <c r="E46" i="9"/>
  <c r="E68" i="17"/>
  <c r="E80" i="17" s="1"/>
  <c r="N41" i="8"/>
  <c r="M41" i="8"/>
  <c r="F41" i="33"/>
  <c r="F16" i="33"/>
  <c r="C50" i="17"/>
  <c r="D77" i="17"/>
  <c r="H16" i="33"/>
  <c r="C24" i="17"/>
  <c r="F29" i="38"/>
  <c r="F68" i="33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I15" i="8"/>
  <c r="I47" i="8"/>
  <c r="E59" i="38"/>
  <c r="F67" i="38"/>
  <c r="K62" i="11"/>
  <c r="N44" i="11"/>
  <c r="M44" i="11"/>
  <c r="M62" i="11" s="1"/>
  <c r="K36" i="8"/>
  <c r="K36" i="18"/>
  <c r="N71" i="11"/>
  <c r="M71" i="11"/>
  <c r="K52" i="8"/>
  <c r="D78" i="17"/>
  <c r="AA13" i="33"/>
  <c r="AA7" i="33" s="1"/>
  <c r="AB15" i="33"/>
  <c r="AB16" i="33"/>
  <c r="C83" i="17"/>
  <c r="J47" i="8"/>
  <c r="J15" i="8"/>
  <c r="F42" i="33"/>
  <c r="AC33" i="38"/>
  <c r="AC26" i="38"/>
  <c r="AC20" i="38" s="1"/>
  <c r="M38" i="18"/>
  <c r="N38" i="18"/>
  <c r="F15" i="33"/>
  <c r="AL86" i="11"/>
  <c r="AL91" i="11" s="1"/>
  <c r="AL93" i="11" s="1"/>
  <c r="K86" i="11"/>
  <c r="V86" i="11"/>
  <c r="V91" i="11" s="1"/>
  <c r="V93" i="11" s="1"/>
  <c r="S86" i="11"/>
  <c r="S91" i="11" s="1"/>
  <c r="S93" i="11" s="1"/>
  <c r="P86" i="11"/>
  <c r="P91" i="11" s="1"/>
  <c r="P93" i="11" s="1"/>
  <c r="AT86" i="11"/>
  <c r="AT91" i="11" s="1"/>
  <c r="AT93" i="11" s="1"/>
  <c r="AQ86" i="11"/>
  <c r="AQ91" i="11" s="1"/>
  <c r="AQ93" i="11" s="1"/>
  <c r="T86" i="11"/>
  <c r="T91" i="11" s="1"/>
  <c r="T93" i="11" s="1"/>
  <c r="AE86" i="11"/>
  <c r="AE91" i="11" s="1"/>
  <c r="AE93" i="11" s="1"/>
  <c r="AJ86" i="11"/>
  <c r="AJ91" i="11" s="1"/>
  <c r="AJ93" i="11" s="1"/>
  <c r="AH86" i="11"/>
  <c r="AH91" i="11" s="1"/>
  <c r="AH93" i="11" s="1"/>
  <c r="AF86" i="11"/>
  <c r="AF91" i="11" s="1"/>
  <c r="AF93" i="11" s="1"/>
  <c r="AI86" i="11"/>
  <c r="AI91" i="11" s="1"/>
  <c r="AI93" i="11" s="1"/>
  <c r="AM86" i="11"/>
  <c r="AM91" i="11" s="1"/>
  <c r="AM93" i="11" s="1"/>
  <c r="X86" i="11"/>
  <c r="X91" i="11" s="1"/>
  <c r="X93" i="11" s="1"/>
  <c r="W86" i="11"/>
  <c r="W91" i="11" s="1"/>
  <c r="W93" i="11" s="1"/>
  <c r="AG86" i="11"/>
  <c r="AG91" i="11" s="1"/>
  <c r="AG93" i="11" s="1"/>
  <c r="Q86" i="11"/>
  <c r="Q91" i="11" s="1"/>
  <c r="Q93" i="11" s="1"/>
  <c r="AC86" i="11"/>
  <c r="AC91" i="11" s="1"/>
  <c r="AC93" i="11" s="1"/>
  <c r="AB86" i="11"/>
  <c r="AB91" i="11" s="1"/>
  <c r="AB93" i="11" s="1"/>
  <c r="AP86" i="11"/>
  <c r="AP91" i="11" s="1"/>
  <c r="AP93" i="11" s="1"/>
  <c r="Z86" i="11"/>
  <c r="Z91" i="11" s="1"/>
  <c r="Z93" i="11" s="1"/>
  <c r="AN86" i="11"/>
  <c r="AN91" i="11" s="1"/>
  <c r="AN93" i="11" s="1"/>
  <c r="AS86" i="11"/>
  <c r="AS91" i="11" s="1"/>
  <c r="AS93" i="11" s="1"/>
  <c r="Y86" i="11"/>
  <c r="Y91" i="11" s="1"/>
  <c r="Y93" i="11" s="1"/>
  <c r="AA86" i="11"/>
  <c r="AA91" i="11" s="1"/>
  <c r="AA93" i="11" s="1"/>
  <c r="U86" i="11"/>
  <c r="U91" i="11" s="1"/>
  <c r="U93" i="11" s="1"/>
  <c r="AR86" i="11"/>
  <c r="AR91" i="11" s="1"/>
  <c r="AR93" i="11" s="1"/>
  <c r="R86" i="11"/>
  <c r="R91" i="11" s="1"/>
  <c r="R93" i="11" s="1"/>
  <c r="AK86" i="11"/>
  <c r="AK91" i="11" s="1"/>
  <c r="AK93" i="11" s="1"/>
  <c r="AO86" i="11"/>
  <c r="AO91" i="11" s="1"/>
  <c r="AO93" i="11" s="1"/>
  <c r="AD86" i="11"/>
  <c r="AD91" i="11" s="1"/>
  <c r="AD93" i="11" s="1"/>
  <c r="D28" i="17"/>
  <c r="E64" i="17"/>
  <c r="E76" i="17" s="1"/>
  <c r="N37" i="8"/>
  <c r="M37" i="8"/>
  <c r="M62" i="8"/>
  <c r="N62" i="8"/>
  <c r="C34" i="9"/>
  <c r="J65" i="11"/>
  <c r="J70" i="11"/>
  <c r="J74" i="11" s="1"/>
  <c r="J67" i="11"/>
  <c r="H42" i="33"/>
  <c r="N37" i="18"/>
  <c r="M37" i="18"/>
  <c r="D81" i="17"/>
  <c r="F24" i="33"/>
  <c r="C20" i="17"/>
  <c r="W119" i="37"/>
  <c r="AD29" i="33"/>
  <c r="F25" i="33"/>
  <c r="F20" i="33" s="1"/>
  <c r="H25" i="33"/>
  <c r="H20" i="33" s="1"/>
  <c r="H28" i="33" s="1"/>
  <c r="E67" i="17"/>
  <c r="E79" i="17" s="1"/>
  <c r="N40" i="8"/>
  <c r="M40" i="8"/>
  <c r="C77" i="17"/>
  <c r="J64" i="8"/>
  <c r="M60" i="8"/>
  <c r="N60" i="8"/>
  <c r="AC65" i="33"/>
  <c r="AC59" i="33" s="1"/>
  <c r="AD67" i="33"/>
  <c r="D35" i="9"/>
  <c r="I47" i="18"/>
  <c r="I48" i="18" s="1"/>
  <c r="I15" i="18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N39" i="18"/>
  <c r="M39" i="18"/>
  <c r="AC91" i="33"/>
  <c r="AC85" i="33" s="1"/>
  <c r="AD93" i="33"/>
  <c r="D32" i="9"/>
  <c r="D51" i="17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101" i="11"/>
  <c r="M102" i="11" s="1"/>
  <c r="K63" i="8"/>
  <c r="N101" i="11"/>
  <c r="K102" i="11"/>
  <c r="N102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D76" i="17"/>
  <c r="E66" i="17"/>
  <c r="E78" i="17" s="1"/>
  <c r="M39" i="8"/>
  <c r="N39" i="8"/>
  <c r="D23" i="17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D47" i="18"/>
  <c r="D48" i="18" s="1"/>
  <c r="D15" i="18"/>
  <c r="I65" i="11"/>
  <c r="I67" i="11"/>
  <c r="I70" i="11"/>
  <c r="I74" i="11" s="1"/>
  <c r="D60" i="17"/>
  <c r="E60" i="17"/>
  <c r="E70" i="17"/>
  <c r="E82" i="17" s="1"/>
  <c r="M43" i="8"/>
  <c r="N43" i="8"/>
  <c r="C26" i="17"/>
  <c r="D82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H7" i="35"/>
  <c r="H10" i="35" s="1"/>
  <c r="H25" i="35" s="1"/>
  <c r="G10" i="35"/>
  <c r="G25" i="35" s="1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15" i="18"/>
  <c r="C47" i="18"/>
  <c r="C48" i="18" s="1"/>
  <c r="C30" i="9"/>
  <c r="F55" i="33"/>
  <c r="H68" i="33"/>
  <c r="AD94" i="33"/>
  <c r="AB78" i="33"/>
  <c r="AB72" i="33" s="1"/>
  <c r="AC80" i="33"/>
  <c r="AC81" i="33"/>
  <c r="E26" i="33" l="1"/>
  <c r="E20" i="33" s="1"/>
  <c r="F28" i="33"/>
  <c r="N36" i="18"/>
  <c r="M36" i="18"/>
  <c r="D75" i="11"/>
  <c r="D80" i="11"/>
  <c r="C57" i="8"/>
  <c r="C48" i="8"/>
  <c r="AF104" i="11"/>
  <c r="AF105" i="11" s="1"/>
  <c r="AF94" i="11"/>
  <c r="AB39" i="38"/>
  <c r="AC41" i="38"/>
  <c r="AC42" i="38"/>
  <c r="E63" i="17"/>
  <c r="M36" i="8"/>
  <c r="N36" i="8"/>
  <c r="M23" i="8"/>
  <c r="M28" i="8" s="1"/>
  <c r="N23" i="8"/>
  <c r="K28" i="8"/>
  <c r="U94" i="11"/>
  <c r="U104" i="11"/>
  <c r="U105" i="11" s="1"/>
  <c r="AH104" i="11"/>
  <c r="AH105" i="11" s="1"/>
  <c r="AH94" i="11"/>
  <c r="M23" i="18"/>
  <c r="M28" i="18" s="1"/>
  <c r="N23" i="18"/>
  <c r="K28" i="18"/>
  <c r="N28" i="18" s="1"/>
  <c r="AA104" i="11"/>
  <c r="AA105" i="11" s="1"/>
  <c r="AA94" i="11"/>
  <c r="AJ94" i="11"/>
  <c r="AJ104" i="11"/>
  <c r="AJ105" i="11" s="1"/>
  <c r="Z78" i="38"/>
  <c r="Z72" i="38" s="1"/>
  <c r="AA80" i="38"/>
  <c r="AA81" i="38"/>
  <c r="Y104" i="11"/>
  <c r="Y105" i="11" s="1"/>
  <c r="Y94" i="11"/>
  <c r="AE104" i="11"/>
  <c r="AE105" i="11" s="1"/>
  <c r="AE94" i="11"/>
  <c r="J57" i="8"/>
  <c r="J58" i="8" s="1"/>
  <c r="J48" i="8"/>
  <c r="K45" i="18"/>
  <c r="N62" i="11"/>
  <c r="K45" i="8"/>
  <c r="M84" i="11"/>
  <c r="M91" i="11" s="1"/>
  <c r="M93" i="11" s="1"/>
  <c r="M104" i="11" s="1"/>
  <c r="K91" i="11"/>
  <c r="N84" i="11"/>
  <c r="K54" i="8"/>
  <c r="AM94" i="11"/>
  <c r="AM104" i="11"/>
  <c r="AM105" i="11" s="1"/>
  <c r="AS104" i="11"/>
  <c r="AS105" i="11" s="1"/>
  <c r="AS94" i="11"/>
  <c r="T104" i="11"/>
  <c r="T105" i="11" s="1"/>
  <c r="T94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4" i="11"/>
  <c r="AN104" i="11"/>
  <c r="AN105" i="11" s="1"/>
  <c r="AQ104" i="11"/>
  <c r="AQ105" i="11" s="1"/>
  <c r="AQ94" i="11"/>
  <c r="E67" i="38"/>
  <c r="E68" i="38"/>
  <c r="N42" i="18"/>
  <c r="M42" i="18"/>
  <c r="E35" i="17"/>
  <c r="E24" i="17"/>
  <c r="E17" i="17"/>
  <c r="E40" i="17" s="1"/>
  <c r="AK104" i="11"/>
  <c r="AK105" i="11" s="1"/>
  <c r="AK94" i="11"/>
  <c r="AR104" i="11"/>
  <c r="AR105" i="11" s="1"/>
  <c r="AR94" i="11"/>
  <c r="E20" i="38"/>
  <c r="F28" i="38"/>
  <c r="Z104" i="11"/>
  <c r="Z105" i="11" s="1"/>
  <c r="Z94" i="11"/>
  <c r="AT104" i="11"/>
  <c r="AT105" i="11" s="1"/>
  <c r="AT94" i="11"/>
  <c r="I57" i="8"/>
  <c r="I48" i="8"/>
  <c r="R104" i="11"/>
  <c r="R105" i="11" s="1"/>
  <c r="R94" i="11"/>
  <c r="AB52" i="33"/>
  <c r="AB46" i="33" s="1"/>
  <c r="AC54" i="33"/>
  <c r="AC55" i="33"/>
  <c r="AB91" i="33"/>
  <c r="AB85" i="33" s="1"/>
  <c r="AC93" i="33"/>
  <c r="AC94" i="33"/>
  <c r="AP94" i="11"/>
  <c r="AP104" i="11"/>
  <c r="AP105" i="11" s="1"/>
  <c r="P104" i="11"/>
  <c r="P105" i="11" s="1"/>
  <c r="P94" i="11"/>
  <c r="G80" i="11"/>
  <c r="G75" i="11"/>
  <c r="D13" i="38"/>
  <c r="D7" i="38" s="1"/>
  <c r="E15" i="38"/>
  <c r="E16" i="38"/>
  <c r="AB104" i="11"/>
  <c r="AB105" i="11" s="1"/>
  <c r="AB94" i="11"/>
  <c r="S94" i="11"/>
  <c r="S104" i="11"/>
  <c r="S105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4" i="11"/>
  <c r="AC105" i="11" s="1"/>
  <c r="AC94" i="11"/>
  <c r="V94" i="11"/>
  <c r="V104" i="11"/>
  <c r="V105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4" i="11"/>
  <c r="Q105" i="11" s="1"/>
  <c r="Q94" i="11"/>
  <c r="M86" i="11"/>
  <c r="K51" i="8"/>
  <c r="M64" i="11"/>
  <c r="M70" i="11" s="1"/>
  <c r="M74" i="11" s="1"/>
  <c r="M80" i="11" s="1"/>
  <c r="E77" i="17"/>
  <c r="F65" i="11"/>
  <c r="F67" i="11"/>
  <c r="F70" i="11"/>
  <c r="F74" i="11" s="1"/>
  <c r="AO94" i="11"/>
  <c r="AO104" i="11"/>
  <c r="AO105" i="11" s="1"/>
  <c r="J80" i="11"/>
  <c r="J75" i="11"/>
  <c r="H29" i="33"/>
  <c r="AC26" i="33"/>
  <c r="AC20" i="33" s="1"/>
  <c r="AC33" i="33"/>
  <c r="AG104" i="11"/>
  <c r="AG105" i="11" s="1"/>
  <c r="AG94" i="11"/>
  <c r="AL104" i="11"/>
  <c r="AL105" i="11" s="1"/>
  <c r="AL94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4" i="11"/>
  <c r="X105" i="11" s="1"/>
  <c r="X94" i="11"/>
  <c r="AI104" i="11"/>
  <c r="AI105" i="11" s="1"/>
  <c r="AI94" i="11"/>
  <c r="M63" i="8"/>
  <c r="M64" i="8" s="1"/>
  <c r="N63" i="8"/>
  <c r="K64" i="8"/>
  <c r="J66" i="8"/>
  <c r="J67" i="8" s="1"/>
  <c r="AD104" i="11"/>
  <c r="AD105" i="11" s="1"/>
  <c r="AD94" i="11"/>
  <c r="W94" i="11"/>
  <c r="W104" i="11"/>
  <c r="W105" i="11" s="1"/>
  <c r="N52" i="8"/>
  <c r="M52" i="8"/>
  <c r="D16" i="33"/>
  <c r="C13" i="33"/>
  <c r="C7" i="33" s="1"/>
  <c r="D15" i="33"/>
  <c r="D48" i="8"/>
  <c r="D57" i="8"/>
  <c r="E28" i="38" l="1"/>
  <c r="E29" i="38"/>
  <c r="G58" i="8"/>
  <c r="G66" i="8"/>
  <c r="G67" i="8" s="1"/>
  <c r="I81" i="11"/>
  <c r="I93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3" i="11"/>
  <c r="J81" i="11"/>
  <c r="J93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91" i="11"/>
  <c r="C81" i="11"/>
  <c r="C93" i="11"/>
  <c r="AA52" i="33"/>
  <c r="AA46" i="33" s="1"/>
  <c r="AB54" i="33"/>
  <c r="AB55" i="33"/>
  <c r="C16" i="33"/>
  <c r="C15" i="33"/>
  <c r="Y13" i="38"/>
  <c r="Y7" i="38" s="1"/>
  <c r="Z15" i="38"/>
  <c r="Z16" i="38"/>
  <c r="G81" i="11"/>
  <c r="G93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M55" i="8" s="1"/>
  <c r="K55" i="8"/>
  <c r="N55" i="8" s="1"/>
  <c r="Z52" i="38"/>
  <c r="Z46" i="38" s="1"/>
  <c r="AA54" i="38"/>
  <c r="AA55" i="38"/>
  <c r="F48" i="8"/>
  <c r="F57" i="8"/>
  <c r="E28" i="33"/>
  <c r="E29" i="33"/>
  <c r="K65" i="11" l="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4" i="11"/>
  <c r="G105" i="11" s="1"/>
  <c r="G94" i="11"/>
  <c r="E71" i="17"/>
  <c r="N44" i="8"/>
  <c r="M44" i="8"/>
  <c r="M45" i="8" s="1"/>
  <c r="AA39" i="38"/>
  <c r="AA33" i="38" s="1"/>
  <c r="AB41" i="38"/>
  <c r="AB42" i="38"/>
  <c r="J104" i="11"/>
  <c r="J105" i="11" s="1"/>
  <c r="J94" i="11"/>
  <c r="I94" i="11"/>
  <c r="I104" i="11"/>
  <c r="I105" i="11" s="1"/>
  <c r="F58" i="8"/>
  <c r="F66" i="8"/>
  <c r="F67" i="8" s="1"/>
  <c r="D104" i="11"/>
  <c r="D105" i="11" s="1"/>
  <c r="D94" i="11"/>
  <c r="C94" i="11"/>
  <c r="C104" i="11"/>
  <c r="C105" i="11" s="1"/>
  <c r="F81" i="11"/>
  <c r="F93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N15" i="18" l="1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4" i="11"/>
  <c r="F104" i="11"/>
  <c r="F105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Z26" i="33" l="1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W91" i="33" l="1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3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X26" i="33" l="1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4" i="11"/>
  <c r="N93" i="11"/>
  <c r="K94" i="11"/>
  <c r="V91" i="33"/>
  <c r="V85" i="33" s="1"/>
  <c r="W93" i="33"/>
  <c r="W94" i="33"/>
  <c r="T65" i="38" l="1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4" i="11"/>
  <c r="K105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78" i="33" l="1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T39" i="38" l="1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52" i="38" l="1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78" i="38" l="1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13" i="38" l="1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L91" i="38" l="1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N52" i="33" l="1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O26" i="33" l="1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N39" i="33" l="1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L26" i="38" l="1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J80" i="33" l="1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J26" i="38" l="1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<sst xmlns="http://schemas.openxmlformats.org/spreadsheetml/2006/main" count="21721" uniqueCount="1577">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</sst>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79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4" fontId="48" fillId="0" borderId="14" xfId="3" applyNumberFormat="1" applyFont="1" applyBorder="1" applyAlignment="1">
      <alignment horizontal="right"/>
    </xf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175" fontId="12" fillId="0" borderId="0" xfId="0" applyNumberFormat="1" applyFont="1"/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8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C1C1"/>
      <color rgb="FF7B0000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4" t="s">
        <v>0</v>
      </c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2:17" ht="25.5">
      <c r="B25" s="276" t="s">
        <v>326</v>
      </c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</row>
    <row r="26" spans="2:17" ht="23.25">
      <c r="B26" s="277" t="str">
        <f ca="1">"As of "&amp;TEXT(TODAY(),"mm/dd/yy")</f>
        <v>As of 09/10/26</v>
      </c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zoomScaleNormal="100" zoomScaleSheetLayoutView="100" workbookViewId="0">
      <selection activeCell="C2" sqref="C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Forecast'!B93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Forecast'!C98</f>
        <v>-44.058500000000002</v>
      </c>
      <c r="D60" s="53">
        <f>+'P&amp;L Forecast'!D98</f>
        <v>-74.519299999999987</v>
      </c>
      <c r="F60" s="53">
        <f>+'P&amp;L Forecast'!F98</f>
        <v>-42.254049999999999</v>
      </c>
      <c r="G60" s="53">
        <f>+'P&amp;L Forecast'!G98</f>
        <v>-59.055000000000007</v>
      </c>
      <c r="I60" s="53">
        <f>+'P&amp;L Forecast'!I98</f>
        <v>-57.492550000000001</v>
      </c>
      <c r="J60" s="53">
        <f>+'P&amp;L Forecast'!J98</f>
        <v>-91.320250000000001</v>
      </c>
      <c r="K60" s="53">
        <f>+'P&amp;L Forecast'!K98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1332</v>
      </c>
    </row>
    <row r="61" spans="2:46">
      <c r="B61" s="146" t="s">
        <v>37</v>
      </c>
      <c r="C61" s="53">
        <f>+'P&amp;L Forecast'!C99</f>
        <v>122.81254999999999</v>
      </c>
      <c r="D61" s="53">
        <f>+'P&amp;L Forecast'!D99</f>
        <v>152.16972000000001</v>
      </c>
      <c r="F61" s="53">
        <f>+'P&amp;L Forecast'!F99</f>
        <v>73.949619999999996</v>
      </c>
      <c r="G61" s="53">
        <f>+'P&amp;L Forecast'!G99</f>
        <v>111.27999</v>
      </c>
      <c r="I61" s="53">
        <f>+'P&amp;L Forecast'!I99</f>
        <v>121.30735</v>
      </c>
      <c r="J61" s="53">
        <f>+'P&amp;L Forecast'!J99</f>
        <v>189.50009</v>
      </c>
      <c r="K61" s="53">
        <f>+'P&amp;L Forecast'!K99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1332</v>
      </c>
    </row>
    <row r="62" spans="2:46">
      <c r="B62" s="146" t="s">
        <v>278</v>
      </c>
      <c r="C62" s="53">
        <f>+'P&amp;L Forecast'!C100</f>
        <v>0</v>
      </c>
      <c r="D62" s="53">
        <f>+'P&amp;L Forecast'!D100</f>
        <v>19.149630000000002</v>
      </c>
      <c r="F62" s="53">
        <f>+'P&amp;L Forecast'!F100</f>
        <v>3.09945</v>
      </c>
      <c r="G62" s="53">
        <f>+'P&amp;L Forecast'!G100</f>
        <v>51.941310000000001</v>
      </c>
      <c r="I62" s="53">
        <f>+'P&amp;L Forecast'!I100</f>
        <v>3.09945</v>
      </c>
      <c r="J62" s="53">
        <f>+'P&amp;L Forecast'!J100</f>
        <v>67.991489999999999</v>
      </c>
      <c r="K62" s="53">
        <f>+'P&amp;L Forecast'!K100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1328</v>
      </c>
    </row>
    <row r="63" spans="2:46">
      <c r="B63" s="146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1329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69" spans="2:14">
      <c r="K69" s="273"/>
    </row>
    <row r="70" spans="2:14">
      <c r="K70" s="142"/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47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4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topLeftCell="C1" zoomScale="115" zoomScaleNormal="115" workbookViewId="0">
      <pane ySplit="5" topLeftCell="A6" activePane="bottomLeft" state="frozen"/>
      <selection pane="bottomLeft" activeCell="AT15" sqref="AT15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SUMIFS($P7:$AT7,$P$5:$AT$5,"&gt;"&amp;C$171,$P$5:$AT$5,"&lt;"&amp;C$172)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SUMIFS($P7:$AT7,$P$5:$AT$5,"&gt;"&amp;F$171,$P$5:$AT$5,"&lt;"&amp;F$172)</f>
        <v>751.52859999999987</v>
      </c>
      <c r="G7" s="48">
        <f t="shared" si="2"/>
        <v>1261.47685</v>
      </c>
      <c r="H7" s="48"/>
      <c r="I7" s="48">
        <f t="shared" ref="I7:J14" si="3">SUMIFS($P7:$AT7,$P$5:$AT$5,"&gt;"&amp;I$171,$P$5:$AT$5,"&lt;"&amp;I$172)</f>
        <v>1152.3202500000002</v>
      </c>
      <c r="J7" s="48">
        <f t="shared" si="3"/>
        <v>1960.4406000000001</v>
      </c>
      <c r="K7" s="50">
        <f>+C109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+C110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+C112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+C113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+C115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+C116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SUMIFS($P17:$AT17,$P$5:$AT$5,"&gt;"&amp;C$171,$P$5:$AT$5,"&lt;"&amp;C$172)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SUMIFS($P17:$AT17,$P$5:$AT$5,"&gt;"&amp;F$171,$P$5:$AT$5,"&lt;"&amp;F$172)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SUMIFS($P17:$AT17,$P$5:$AT$5,"&gt;"&amp;I$171,$P$5:$AT$5,"&lt;"&amp;I$172)</f>
        <v>18.329350000000002</v>
      </c>
      <c r="J17" s="23">
        <f t="shared" si="9"/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+C123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SUMIFS($P27:$AT27,$P$5:$AT$5,"&gt;"&amp;C$171,$P$5:$AT$5,"&lt;"&amp;C$172)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SUMIFS($P27:$AT27,$P$5:$AT$5,"&gt;"&amp;F$171,$P$5:$AT$5,"&lt;"&amp;F$172)</f>
        <v>136.29648</v>
      </c>
      <c r="G27" s="23">
        <f t="shared" si="46"/>
        <v>357.27472</v>
      </c>
      <c r="H27" s="23"/>
      <c r="I27" s="23">
        <f t="shared" ref="I27:J35" si="47">SUMIFS($P27:$AT27,$P$5:$AT$5,"&gt;"&amp;I$171,$P$5:$AT$5,"&lt;"&amp;I$172)</f>
        <v>202.41598000000002</v>
      </c>
      <c r="J27" s="23">
        <f t="shared" si="47"/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+C128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+C130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+C134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+C129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+C131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+C132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+C133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+C135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SUMIFS($P38:$AT38,$P$5:$AT$5,"&gt;"&amp;C$171,$P$5:$AT$5,"&lt;"&amp;C$172)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SUMIFS($P38:$AT38,$P$5:$AT$5,"&gt;"&amp;F$171,$P$5:$AT$5,"&lt;"&amp;F$172)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SUMIFS($P38:$AT38,$P$5:$AT$5,"&gt;"&amp;I$171,$P$5:$AT$5,"&lt;"&amp;I$172)</f>
        <v>142.28344999999999</v>
      </c>
      <c r="J38" s="23">
        <f t="shared" si="54"/>
        <v>224.80769000000001</v>
      </c>
      <c r="K38" s="65">
        <f>+C139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+C140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+C141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+C142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SUMIFS($P44:$AT44,$P$5:$AT$5,"&gt;"&amp;C$171,$P$5:$AT$5,"&lt;"&amp;C$172)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SUMIFS($P44:$AT44,$P$5:$AT$5,"&gt;"&amp;F$171,$P$5:$AT$5,"&lt;"&amp;F$172)</f>
        <v>12.014000000000001</v>
      </c>
      <c r="G44" s="23">
        <f t="shared" si="63"/>
        <v>57.55</v>
      </c>
      <c r="H44" s="23"/>
      <c r="I44" s="23">
        <f t="shared" ref="I44:J61" si="64">SUMIFS($P44:$AT44,$P$5:$AT$5,"&gt;"&amp;I$171,$P$5:$AT$5,"&lt;"&amp;I$172)</f>
        <v>21.74858</v>
      </c>
      <c r="J44" s="23">
        <f t="shared" si="64"/>
        <v>72.576949999999997</v>
      </c>
      <c r="K44" s="65">
        <f t="shared" ref="K44:K49" si="65">+C146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+C153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+C154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+C161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+C160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+C163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SUMIFS($P78:$AT78,$P$5:$AT$5,"&gt;"&amp;C$171,$P$5:$AT$5,"&lt;"&amp;C$172)</f>
        <v>0</v>
      </c>
      <c r="D78" s="23">
        <f>SUMIFS($P78:$AT78,$P$5:$AT$5,"&gt;"&amp;D$171,$P$5:$AT$5,"&lt;"&amp;D$172)</f>
        <v>2.7040000000000002</v>
      </c>
      <c r="E78" s="23"/>
      <c r="F78" s="23">
        <f>SUMIFS($P78:$AT78,$P$5:$AT$5,"&gt;"&amp;F$171,$P$5:$AT$5,"&lt;"&amp;F$172)</f>
        <v>0</v>
      </c>
      <c r="G78" s="23">
        <f>SUMIFS($P78:$AT78,$P$5:$AT$5,"&gt;"&amp;G$171,$P$5:$AT$5,"&lt;"&amp;G$172)</f>
        <v>0</v>
      </c>
      <c r="H78" s="23"/>
      <c r="I78" s="23">
        <f>SUMIFS($P78:$AT78,$P$5:$AT$5,"&gt;"&amp;I$171,$P$5:$AT$5,"&lt;"&amp;I$172)</f>
        <v>0</v>
      </c>
      <c r="J78" s="23">
        <f>SUMIFS($P78:$AT78,$P$5:$AT$5,"&gt;"&amp;J$171,$P$5:$AT$5,"&lt;"&amp;J$172)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1337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-$C$166+C$31</f>
        <v>-200</v>
      </c>
      <c r="D84" s="65">
        <f>-$C$166+D$31</f>
        <v>-109.33296</v>
      </c>
      <c r="E84" s="23"/>
      <c r="F84" s="65">
        <f>-$C$166/12*7+F$31</f>
        <v>-71.200546666666668</v>
      </c>
      <c r="G84" s="65">
        <f>-$C$166/12*7+G$31</f>
        <v>-53.523646666666679</v>
      </c>
      <c r="H84" s="23"/>
      <c r="I84" s="65">
        <f>-$C$166+I$31</f>
        <v>-154.53388000000001</v>
      </c>
      <c r="J84" s="65">
        <f>-$C$166+J$31</f>
        <v>-91.656059999999997</v>
      </c>
      <c r="K84" s="65">
        <f>-$C$166+K$31</f>
        <v>-91.656059999999997</v>
      </c>
      <c r="L84" s="65"/>
      <c r="M84" s="23">
        <f t="shared" ref="M84:M90" si="134">K84-J84</f>
        <v>0</v>
      </c>
      <c r="N84" s="66">
        <f t="shared" ref="N84" si="135">IFERROR(K84/J84-1,0)</f>
        <v>0</v>
      </c>
      <c r="P84" s="65">
        <f t="shared" ref="P84:AT84" si="136">-$C$166/12+P$31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6" t="s">
        <v>1567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6" t="s">
        <v>325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34"/>
        <v>0</v>
      </c>
      <c r="N86" s="66"/>
      <c r="P86" s="65">
        <f t="shared" ref="P86:AT86" si="137">+P44-$C$167/12</f>
        <v>-6.0480791666666667</v>
      </c>
      <c r="Q86" s="65">
        <f t="shared" si="137"/>
        <v>-4.8815791666666666</v>
      </c>
      <c r="R86" s="65">
        <f t="shared" si="137"/>
        <v>-4.8815791666666666</v>
      </c>
      <c r="S86" s="65">
        <f t="shared" si="137"/>
        <v>-4.8814091666666668</v>
      </c>
      <c r="T86" s="65">
        <f t="shared" si="137"/>
        <v>-4.8814091666666668</v>
      </c>
      <c r="U86" s="65">
        <f t="shared" si="137"/>
        <v>-3.3814191666666669</v>
      </c>
      <c r="V86" s="65">
        <f t="shared" si="137"/>
        <v>-4.8814091666666668</v>
      </c>
      <c r="W86" s="65">
        <f t="shared" si="137"/>
        <v>-4.8814091666666668</v>
      </c>
      <c r="X86" s="65">
        <f t="shared" si="137"/>
        <v>-2.9801691666666668</v>
      </c>
      <c r="Y86" s="65">
        <f t="shared" si="137"/>
        <v>-4.8814091666666668</v>
      </c>
      <c r="Z86" s="65">
        <f t="shared" si="137"/>
        <v>-3.8814091666666668</v>
      </c>
      <c r="AA86" s="65">
        <f t="shared" si="137"/>
        <v>-3.8814191666666669</v>
      </c>
      <c r="AB86" s="65">
        <f t="shared" si="137"/>
        <v>-3.8814091666666668</v>
      </c>
      <c r="AC86" s="65">
        <f t="shared" si="137"/>
        <v>-3.8814091666666668</v>
      </c>
      <c r="AD86" s="65">
        <f t="shared" si="137"/>
        <v>-3.8814191666666669</v>
      </c>
      <c r="AE86" s="65">
        <f t="shared" si="137"/>
        <v>-3.2874091666666665</v>
      </c>
      <c r="AF86" s="65">
        <f t="shared" si="137"/>
        <v>-4.4614091666666669</v>
      </c>
      <c r="AG86" s="65">
        <f t="shared" si="137"/>
        <v>-4.8814191666666664</v>
      </c>
      <c r="AH86" s="65">
        <f t="shared" si="137"/>
        <v>-6.0480791666666667</v>
      </c>
      <c r="AI86" s="65">
        <f t="shared" si="137"/>
        <v>-5.8480791666666665</v>
      </c>
      <c r="AJ86" s="65">
        <f t="shared" si="137"/>
        <v>-4.7211291666666666</v>
      </c>
      <c r="AK86" s="65">
        <f t="shared" si="137"/>
        <v>-6.0480791666666667</v>
      </c>
      <c r="AL86" s="65">
        <f t="shared" si="137"/>
        <v>-4.8079166666666673E-2</v>
      </c>
      <c r="AM86" s="65">
        <f t="shared" si="137"/>
        <v>1.4519208333333333</v>
      </c>
      <c r="AN86" s="65">
        <f t="shared" si="137"/>
        <v>-6.0480791666666667</v>
      </c>
      <c r="AO86" s="65">
        <f t="shared" si="137"/>
        <v>-6.0480791666666667</v>
      </c>
      <c r="AP86" s="65">
        <f t="shared" si="137"/>
        <v>0.55192083333333297</v>
      </c>
      <c r="AQ86" s="65">
        <f t="shared" si="137"/>
        <v>7.9519208333333333</v>
      </c>
      <c r="AR86" s="65">
        <f t="shared" si="137"/>
        <v>11.951920833333332</v>
      </c>
      <c r="AS86" s="65">
        <f t="shared" si="137"/>
        <v>-6.0480791666666667</v>
      </c>
      <c r="AT86" s="65">
        <f t="shared" si="137"/>
        <v>12.901920833333332</v>
      </c>
    </row>
    <row r="87" spans="2:46" ht="12" customHeight="1">
      <c r="B87" s="216" t="s">
        <v>325</v>
      </c>
      <c r="C87" s="65"/>
      <c r="D87" s="65"/>
      <c r="F87" s="65"/>
      <c r="G87" s="65"/>
      <c r="I87" s="65"/>
      <c r="J87" s="65"/>
      <c r="K87" s="65"/>
      <c r="M87" s="23"/>
      <c r="N87" s="66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</row>
    <row r="88" spans="2:46">
      <c r="B88" s="115" t="s">
        <v>322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" si="138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15" t="s">
        <v>1340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34"/>
        <v>0</v>
      </c>
      <c r="N89" s="66">
        <f t="shared" ref="N89" si="139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123" t="s">
        <v>323</v>
      </c>
      <c r="C90" s="116">
        <v>0</v>
      </c>
      <c r="D90" s="116">
        <v>0</v>
      </c>
      <c r="F90" s="116">
        <v>0</v>
      </c>
      <c r="G90" s="116">
        <v>0</v>
      </c>
      <c r="I90" s="116">
        <v>0</v>
      </c>
      <c r="J90" s="116">
        <v>0</v>
      </c>
      <c r="K90" s="116">
        <v>0</v>
      </c>
      <c r="M90" s="23">
        <f t="shared" si="134"/>
        <v>0</v>
      </c>
      <c r="N90" s="66">
        <f t="shared" ref="N90:N93" si="140">IFERROR(K90/J90-1,0)</f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</row>
    <row r="91" spans="2:46">
      <c r="B91" s="92" t="s">
        <v>329</v>
      </c>
      <c r="C91" s="59">
        <f>SUM(C84:C90)</f>
        <v>-181.76575</v>
      </c>
      <c r="D91" s="59">
        <f>SUM(D84:D90)</f>
        <v>-82.292010000000005</v>
      </c>
      <c r="F91" s="59">
        <f>SUM(F84:F90)</f>
        <v>-59.186546666666665</v>
      </c>
      <c r="G91" s="59">
        <f>SUM(G84:G90)</f>
        <v>4.0263533333333186</v>
      </c>
      <c r="I91" s="59">
        <f>SUM(I84:I90)</f>
        <v>-132.78530000000001</v>
      </c>
      <c r="J91" s="59">
        <f>SUM(J84:J90)</f>
        <v>-19.07911</v>
      </c>
      <c r="K91" s="59">
        <f>SUM(K84:K90)</f>
        <v>-19.07911</v>
      </c>
      <c r="L91" s="71"/>
      <c r="M91" s="59">
        <f>SUM(M84:M90)</f>
        <v>0</v>
      </c>
      <c r="N91" s="90">
        <f t="shared" si="140"/>
        <v>0</v>
      </c>
      <c r="P91" s="59">
        <f t="shared" ref="P91:AT91" si="141">SUM(P84:P90)</f>
        <v>-22.714745833333335</v>
      </c>
      <c r="Q91" s="59">
        <f t="shared" si="141"/>
        <v>-21.548245833333333</v>
      </c>
      <c r="R91" s="59">
        <f t="shared" si="141"/>
        <v>-21.548245833333333</v>
      </c>
      <c r="S91" s="59">
        <f t="shared" si="141"/>
        <v>-21.548075833333336</v>
      </c>
      <c r="T91" s="59">
        <f t="shared" si="141"/>
        <v>-21.548075833333336</v>
      </c>
      <c r="U91" s="59">
        <f t="shared" si="141"/>
        <v>-20.048085833333335</v>
      </c>
      <c r="V91" s="59">
        <f t="shared" si="141"/>
        <v>-21.548075833333336</v>
      </c>
      <c r="W91" s="59">
        <f t="shared" si="141"/>
        <v>-21.548075833333336</v>
      </c>
      <c r="X91" s="59">
        <f t="shared" si="141"/>
        <v>-19.646835833333334</v>
      </c>
      <c r="Y91" s="59">
        <f t="shared" si="141"/>
        <v>-21.548075833333336</v>
      </c>
      <c r="Z91" s="59">
        <f t="shared" si="141"/>
        <v>-20.548075833333336</v>
      </c>
      <c r="AA91" s="59">
        <f t="shared" si="141"/>
        <v>-20.548085833333335</v>
      </c>
      <c r="AB91" s="59">
        <f t="shared" si="141"/>
        <v>-20.548075833333336</v>
      </c>
      <c r="AC91" s="59">
        <f t="shared" si="141"/>
        <v>-20.548075833333336</v>
      </c>
      <c r="AD91" s="59">
        <f t="shared" si="141"/>
        <v>-11.641695833333335</v>
      </c>
      <c r="AE91" s="59">
        <f t="shared" si="141"/>
        <v>-10.720845833333335</v>
      </c>
      <c r="AF91" s="59">
        <f t="shared" si="141"/>
        <v>-12.019235833333333</v>
      </c>
      <c r="AG91" s="59">
        <f t="shared" si="141"/>
        <v>-12.853295833333334</v>
      </c>
      <c r="AH91" s="59">
        <f t="shared" si="141"/>
        <v>-13.191875833333334</v>
      </c>
      <c r="AI91" s="59">
        <f t="shared" si="141"/>
        <v>-13.819935833333334</v>
      </c>
      <c r="AJ91" s="59">
        <f t="shared" si="141"/>
        <v>-12.278955833333335</v>
      </c>
      <c r="AK91" s="59">
        <f t="shared" si="141"/>
        <v>-13.191875833333334</v>
      </c>
      <c r="AL91" s="59">
        <f t="shared" si="141"/>
        <v>-8.4339858333333346</v>
      </c>
      <c r="AM91" s="59">
        <f t="shared" si="141"/>
        <v>-5.6211058333333357</v>
      </c>
      <c r="AN91" s="59">
        <f t="shared" si="141"/>
        <v>-13.438535833333336</v>
      </c>
      <c r="AO91" s="59">
        <f t="shared" si="141"/>
        <v>-14.392115833333335</v>
      </c>
      <c r="AP91" s="59">
        <f t="shared" si="141"/>
        <v>-7.0059158333333356</v>
      </c>
      <c r="AQ91" s="59">
        <f t="shared" si="141"/>
        <v>0.39408416666666479</v>
      </c>
      <c r="AR91" s="59">
        <f t="shared" si="141"/>
        <v>3.980064166666665</v>
      </c>
      <c r="AS91" s="59">
        <f t="shared" si="141"/>
        <v>-13.605905833333335</v>
      </c>
      <c r="AT91" s="59">
        <f t="shared" si="141"/>
        <v>5.7581241666666649</v>
      </c>
    </row>
    <row r="92" spans="2:46" ht="3.95" customHeight="1">
      <c r="B92" s="123"/>
      <c r="C92" s="116"/>
      <c r="D92" s="116"/>
      <c r="F92" s="116"/>
      <c r="G92" s="116"/>
      <c r="I92" s="116"/>
      <c r="J92" s="116"/>
      <c r="K92" s="116"/>
      <c r="M92" s="23"/>
      <c r="N92" s="6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spans="2:46">
      <c r="B93" s="104" t="s">
        <v>469</v>
      </c>
      <c r="C93" s="105">
        <f>+C91+C80</f>
        <v>-20.98442999999989</v>
      </c>
      <c r="D93" s="106">
        <f>+D91+D80</f>
        <v>72.763099999999838</v>
      </c>
      <c r="F93" s="110">
        <f>+F91+F80</f>
        <v>53.646803333333061</v>
      </c>
      <c r="G93" s="106">
        <f>+G91+G80</f>
        <v>84.095883333333646</v>
      </c>
      <c r="I93" s="110">
        <f>+I91+I80</f>
        <v>17.181709999999924</v>
      </c>
      <c r="J93" s="105">
        <f>+J91+J80</f>
        <v>103.21217999999995</v>
      </c>
      <c r="K93" s="106">
        <f>+K91+K80</f>
        <v>-25.245329999999715</v>
      </c>
      <c r="L93" s="71"/>
      <c r="M93" s="110">
        <f>+M91+M80</f>
        <v>-128.45750999999984</v>
      </c>
      <c r="N93" s="112">
        <f t="shared" si="140"/>
        <v>-1.2445964226315125</v>
      </c>
      <c r="P93" s="110">
        <f t="shared" ref="P93:AT93" si="142">+P91+P80</f>
        <v>9.6607941666666655</v>
      </c>
      <c r="Q93" s="105">
        <f t="shared" si="142"/>
        <v>2.1923241666666797</v>
      </c>
      <c r="R93" s="105">
        <f t="shared" si="142"/>
        <v>-3.442205833333329</v>
      </c>
      <c r="S93" s="105">
        <f t="shared" si="142"/>
        <v>-11.885545833333353</v>
      </c>
      <c r="T93" s="105">
        <f t="shared" si="142"/>
        <v>-20.491495833333314</v>
      </c>
      <c r="U93" s="105">
        <f t="shared" si="142"/>
        <v>-7.4637858333333362</v>
      </c>
      <c r="V93" s="105">
        <f t="shared" si="142"/>
        <v>4.5740241666666783</v>
      </c>
      <c r="W93" s="105">
        <f t="shared" si="142"/>
        <v>7.4007441666666622</v>
      </c>
      <c r="X93" s="105">
        <f t="shared" si="142"/>
        <v>-6.2540658333333301</v>
      </c>
      <c r="Y93" s="105">
        <f t="shared" si="142"/>
        <v>-9.5760258333333539</v>
      </c>
      <c r="Z93" s="105">
        <f t="shared" si="142"/>
        <v>-31.95540583333333</v>
      </c>
      <c r="AA93" s="105">
        <f t="shared" si="142"/>
        <v>-26.320735833333313</v>
      </c>
      <c r="AB93" s="105">
        <f t="shared" si="142"/>
        <v>2.498364166666633</v>
      </c>
      <c r="AC93" s="105">
        <f t="shared" si="142"/>
        <v>-12.742155833333339</v>
      </c>
      <c r="AD93" s="105">
        <f t="shared" si="142"/>
        <v>9.7528041666666692</v>
      </c>
      <c r="AE93" s="105">
        <f t="shared" si="142"/>
        <v>-10.000025833333321</v>
      </c>
      <c r="AF93" s="105">
        <f t="shared" si="142"/>
        <v>4.0011041666666749</v>
      </c>
      <c r="AG93" s="105">
        <f t="shared" si="142"/>
        <v>14.716264166666644</v>
      </c>
      <c r="AH93" s="105">
        <f t="shared" si="142"/>
        <v>3.0838941666666528</v>
      </c>
      <c r="AI93" s="105">
        <f t="shared" si="142"/>
        <v>4.741214166666639</v>
      </c>
      <c r="AJ93" s="105">
        <f t="shared" si="142"/>
        <v>-7.1413058333333241</v>
      </c>
      <c r="AK93" s="105">
        <f t="shared" si="142"/>
        <v>-10.330245833333327</v>
      </c>
      <c r="AL93" s="105">
        <f t="shared" si="142"/>
        <v>5.3488841666667035</v>
      </c>
      <c r="AM93" s="105">
        <f t="shared" si="142"/>
        <v>-3.7426458333333463</v>
      </c>
      <c r="AN93" s="105">
        <f t="shared" si="142"/>
        <v>18.748934166666611</v>
      </c>
      <c r="AO93" s="105">
        <f t="shared" si="142"/>
        <v>56.347364166666637</v>
      </c>
      <c r="AP93" s="105">
        <f t="shared" si="142"/>
        <v>-15.474045833333356</v>
      </c>
      <c r="AQ93" s="105">
        <f t="shared" si="142"/>
        <v>-8.5614058333333567</v>
      </c>
      <c r="AR93" s="105">
        <f t="shared" si="142"/>
        <v>4.2060341666666643</v>
      </c>
      <c r="AS93" s="105">
        <f t="shared" si="142"/>
        <v>-3.3658358333332661</v>
      </c>
      <c r="AT93" s="106">
        <f t="shared" si="142"/>
        <v>-10.141715833333333</v>
      </c>
    </row>
    <row r="94" spans="2:46" s="97" customFormat="1">
      <c r="B94" s="107" t="s">
        <v>305</v>
      </c>
      <c r="C94" s="108">
        <f>C93/C$24</f>
        <v>-1.8489040881714536E-2</v>
      </c>
      <c r="D94" s="109">
        <f>D93/D$24</f>
        <v>3.8716480337886106E-2</v>
      </c>
      <c r="F94" s="111">
        <f>F93/F$24</f>
        <v>5.3761147918841651E-2</v>
      </c>
      <c r="G94" s="109">
        <f>G93/G$24</f>
        <v>5.0326042143171885E-2</v>
      </c>
      <c r="I94" s="111">
        <f>I93/I$24</f>
        <v>1.1271050881204434E-2</v>
      </c>
      <c r="J94" s="108">
        <f>J93/J$24</f>
        <v>4.0435227113754038E-2</v>
      </c>
      <c r="K94" s="109">
        <f>K93/K$24</f>
        <v>-8.4649373866707272E-3</v>
      </c>
      <c r="L94" s="103"/>
      <c r="M94" s="111">
        <v>0</v>
      </c>
      <c r="N94" s="113">
        <v>0</v>
      </c>
      <c r="P94" s="111">
        <f t="shared" ref="P94:AT94" si="143">P93/P$24</f>
        <v>0.11939715777379269</v>
      </c>
      <c r="Q94" s="108">
        <f t="shared" si="143"/>
        <v>2.698055849210184E-2</v>
      </c>
      <c r="R94" s="108">
        <f t="shared" si="143"/>
        <v>-4.4067454678441129E-2</v>
      </c>
      <c r="S94" s="108">
        <f t="shared" si="143"/>
        <v>-0.1425923848645867</v>
      </c>
      <c r="T94" s="108">
        <f t="shared" si="143"/>
        <v>-0.22718814310071228</v>
      </c>
      <c r="U94" s="108">
        <f t="shared" si="143"/>
        <v>-8.3008612872635681E-2</v>
      </c>
      <c r="V94" s="108">
        <f t="shared" si="143"/>
        <v>4.3694445864087286E-2</v>
      </c>
      <c r="W94" s="108">
        <f t="shared" si="143"/>
        <v>7.1081206113969772E-2</v>
      </c>
      <c r="X94" s="108">
        <f t="shared" si="143"/>
        <v>-6.3575185540033496E-2</v>
      </c>
      <c r="Y94" s="108">
        <f t="shared" si="143"/>
        <v>-9.6670019890523276E-2</v>
      </c>
      <c r="Z94" s="108">
        <f t="shared" si="143"/>
        <v>-0.29253199990601497</v>
      </c>
      <c r="AA94" s="108">
        <f t="shared" si="143"/>
        <v>-0.22738933186237031</v>
      </c>
      <c r="AB94" s="108">
        <f t="shared" si="143"/>
        <v>1.8017584175876136E-2</v>
      </c>
      <c r="AC94" s="108">
        <f t="shared" si="143"/>
        <v>-9.9701851396867811E-2</v>
      </c>
      <c r="AD94" s="108">
        <f t="shared" si="143"/>
        <v>7.2417100629763489E-2</v>
      </c>
      <c r="AE94" s="108">
        <f t="shared" si="143"/>
        <v>-7.354279615852638E-2</v>
      </c>
      <c r="AF94" s="108">
        <f t="shared" si="143"/>
        <v>2.6314203845829449E-2</v>
      </c>
      <c r="AG94" s="108">
        <f t="shared" si="143"/>
        <v>9.5980839700308823E-2</v>
      </c>
      <c r="AH94" s="108">
        <f t="shared" si="143"/>
        <v>1.9847333541939054E-2</v>
      </c>
      <c r="AI94" s="108">
        <f t="shared" si="143"/>
        <v>2.9656068734086712E-2</v>
      </c>
      <c r="AJ94" s="108">
        <f t="shared" si="143"/>
        <v>-4.3544757522510774E-2</v>
      </c>
      <c r="AK94" s="108">
        <f t="shared" si="143"/>
        <v>-5.7632233165949023E-2</v>
      </c>
      <c r="AL94" s="108">
        <f t="shared" si="143"/>
        <v>2.9439523868913305E-2</v>
      </c>
      <c r="AM94" s="108">
        <f t="shared" si="143"/>
        <v>-1.9026918358882282E-2</v>
      </c>
      <c r="AN94" s="108">
        <f t="shared" si="143"/>
        <v>8.8360844573471459E-2</v>
      </c>
      <c r="AO94" s="108">
        <f t="shared" si="143"/>
        <v>0.2329400885067674</v>
      </c>
      <c r="AP94" s="108">
        <f t="shared" si="143"/>
        <v>-6.6843873249865959E-2</v>
      </c>
      <c r="AQ94" s="108">
        <f t="shared" si="143"/>
        <v>-3.5625102840537042E-2</v>
      </c>
      <c r="AR94" s="108">
        <f t="shared" si="143"/>
        <v>1.7083890386436269E-2</v>
      </c>
      <c r="AS94" s="108">
        <f t="shared" si="143"/>
        <v>-1.3599375163215677E-2</v>
      </c>
      <c r="AT94" s="109">
        <f t="shared" si="143"/>
        <v>-4.0336806391758573E-2</v>
      </c>
    </row>
    <row r="95" spans="2:46" ht="3.95" customHeight="1"/>
    <row r="96" spans="2:46">
      <c r="B96" s="42" t="s">
        <v>309</v>
      </c>
      <c r="C96" s="43"/>
      <c r="D96" s="43"/>
      <c r="E96" s="6"/>
      <c r="F96" s="43"/>
      <c r="G96" s="43"/>
      <c r="H96" s="6"/>
      <c r="I96" s="43"/>
      <c r="J96" s="43"/>
      <c r="K96" s="43"/>
      <c r="L96" s="6"/>
      <c r="M96" s="43"/>
      <c r="N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 ht="12" customHeight="1">
      <c r="B97" s="216" t="s">
        <v>1568</v>
      </c>
      <c r="C97" s="65"/>
      <c r="D97" s="65"/>
      <c r="F97" s="65"/>
      <c r="G97" s="65"/>
      <c r="I97" s="65"/>
      <c r="J97" s="65"/>
      <c r="K97" s="65"/>
      <c r="M97" s="23"/>
      <c r="N97" s="66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</row>
    <row r="98" spans="1:46">
      <c r="B98" s="93" t="s">
        <v>311</v>
      </c>
      <c r="C98" s="65">
        <f>-C10</f>
        <v>-44.058500000000002</v>
      </c>
      <c r="D98" s="65">
        <f>-D10</f>
        <v>-74.519299999999987</v>
      </c>
      <c r="E98" s="23"/>
      <c r="F98" s="65">
        <f>-F10</f>
        <v>-42.254049999999999</v>
      </c>
      <c r="G98" s="65">
        <f>-G10</f>
        <v>-59.055000000000007</v>
      </c>
      <c r="H98" s="23"/>
      <c r="I98" s="65">
        <f>-I10</f>
        <v>-57.492550000000001</v>
      </c>
      <c r="J98" s="65">
        <f>-J10</f>
        <v>-91.320250000000001</v>
      </c>
      <c r="K98" s="65">
        <f>-K10</f>
        <v>-103.5675</v>
      </c>
      <c r="L98" s="65"/>
      <c r="M98" s="23">
        <f t="shared" ref="M98:M101" si="144">K98-J98</f>
        <v>-12.247249999999994</v>
      </c>
      <c r="N98" s="66">
        <f t="shared" ref="N98" si="145">IFERROR(K98/J98-1,0)</f>
        <v>0.13411318957186369</v>
      </c>
      <c r="P98" s="83">
        <f t="shared" ref="P98:AT98" si="146">-P10</f>
        <v>-5.4649999999999999</v>
      </c>
      <c r="Q98" s="83">
        <f t="shared" si="146"/>
        <v>-3.9</v>
      </c>
      <c r="R98" s="83">
        <f t="shared" si="146"/>
        <v>-2.7549999999999999</v>
      </c>
      <c r="S98" s="83">
        <f t="shared" si="146"/>
        <v>-3.5019999999999998</v>
      </c>
      <c r="T98" s="83">
        <f t="shared" si="146"/>
        <v>-4.6589999999999998</v>
      </c>
      <c r="U98" s="83">
        <f t="shared" si="146"/>
        <v>-3.9369999999999998</v>
      </c>
      <c r="V98" s="83">
        <f t="shared" si="146"/>
        <v>-4.6020000000000003</v>
      </c>
      <c r="W98" s="83">
        <f t="shared" si="146"/>
        <v>-4.7380000000000004</v>
      </c>
      <c r="X98" s="83">
        <f t="shared" si="146"/>
        <v>-2.1190000000000002</v>
      </c>
      <c r="Y98" s="83">
        <f t="shared" si="146"/>
        <v>-2.0640000000000001</v>
      </c>
      <c r="Z98" s="83">
        <f t="shared" si="146"/>
        <v>-3.0125000000000002</v>
      </c>
      <c r="AA98" s="83">
        <f t="shared" si="146"/>
        <v>-3.3050000000000002</v>
      </c>
      <c r="AB98" s="83">
        <f t="shared" si="146"/>
        <v>-3.0790000000000002</v>
      </c>
      <c r="AC98" s="83">
        <f t="shared" si="146"/>
        <v>-0.7</v>
      </c>
      <c r="AD98" s="83">
        <f t="shared" si="146"/>
        <v>-10.438549999999999</v>
      </c>
      <c r="AE98" s="83">
        <f t="shared" si="146"/>
        <v>-4.3</v>
      </c>
      <c r="AF98" s="83">
        <f t="shared" si="146"/>
        <v>-11.14</v>
      </c>
      <c r="AG98" s="83">
        <f t="shared" si="146"/>
        <v>-6.1624999999999996</v>
      </c>
      <c r="AH98" s="83">
        <f t="shared" si="146"/>
        <v>-6.4340000000000002</v>
      </c>
      <c r="AI98" s="83">
        <f t="shared" si="146"/>
        <v>-3.9649999999999999</v>
      </c>
      <c r="AJ98" s="83">
        <f t="shared" si="146"/>
        <v>-3.92</v>
      </c>
      <c r="AK98" s="83">
        <f t="shared" si="146"/>
        <v>-9.1364999999999998</v>
      </c>
      <c r="AL98" s="83">
        <f t="shared" si="146"/>
        <v>-5.2537500000000001</v>
      </c>
      <c r="AM98" s="83">
        <f t="shared" si="146"/>
        <v>-9.99</v>
      </c>
      <c r="AN98" s="83">
        <f t="shared" si="146"/>
        <v>-10.2105</v>
      </c>
      <c r="AO98" s="83">
        <f t="shared" si="146"/>
        <v>-6.6749999999999998</v>
      </c>
      <c r="AP98" s="83">
        <f t="shared" si="146"/>
        <v>-9.0990000000000002</v>
      </c>
      <c r="AQ98" s="83">
        <f t="shared" si="146"/>
        <v>-8.9544999999999995</v>
      </c>
      <c r="AR98" s="83">
        <f t="shared" si="146"/>
        <v>-12.606</v>
      </c>
      <c r="AS98" s="83">
        <f t="shared" si="146"/>
        <v>-5.4115000000000002</v>
      </c>
      <c r="AT98" s="83">
        <f t="shared" si="146"/>
        <v>-6.0984999999999996</v>
      </c>
    </row>
    <row r="99" spans="1:46">
      <c r="B99" s="93" t="s">
        <v>312</v>
      </c>
      <c r="C99" s="83">
        <f>+C30</f>
        <v>122.81254999999999</v>
      </c>
      <c r="D99" s="83">
        <f>+D30</f>
        <v>152.16972000000001</v>
      </c>
      <c r="F99" s="83">
        <f>+F30</f>
        <v>73.949619999999996</v>
      </c>
      <c r="G99" s="83">
        <f>+G30</f>
        <v>111.27999</v>
      </c>
      <c r="I99" s="83">
        <f>+I30</f>
        <v>121.30735</v>
      </c>
      <c r="J99" s="83">
        <f>+J30</f>
        <v>189.50009</v>
      </c>
      <c r="K99" s="83">
        <f>+K30</f>
        <v>197.14943999999997</v>
      </c>
      <c r="M99" s="23">
        <f t="shared" si="144"/>
        <v>7.6493499999999699</v>
      </c>
      <c r="N99" s="66">
        <f t="shared" ref="N99" si="147">IFERROR(K99/J99-1,0)</f>
        <v>4.0365943889525191E-2</v>
      </c>
      <c r="P99" s="83">
        <f t="shared" ref="P99:AT99" si="148">+P30</f>
        <v>9.1372800000000005</v>
      </c>
      <c r="Q99" s="83">
        <f t="shared" si="148"/>
        <v>8.9629599999999989</v>
      </c>
      <c r="R99" s="83">
        <f t="shared" si="148"/>
        <v>10.19584</v>
      </c>
      <c r="S99" s="83">
        <f t="shared" si="148"/>
        <v>15.04429</v>
      </c>
      <c r="T99" s="83">
        <f t="shared" si="148"/>
        <v>16.637439999999998</v>
      </c>
      <c r="U99" s="83">
        <f t="shared" si="148"/>
        <v>7.4949899999999996</v>
      </c>
      <c r="V99" s="83">
        <f t="shared" si="148"/>
        <v>7.9820200000000003</v>
      </c>
      <c r="W99" s="83">
        <f t="shared" si="148"/>
        <v>5.9027399999999997</v>
      </c>
      <c r="X99" s="83">
        <f t="shared" si="148"/>
        <v>7.7676300000000005</v>
      </c>
      <c r="Y99" s="83">
        <f t="shared" si="148"/>
        <v>8.2141699999999993</v>
      </c>
      <c r="Z99" s="83">
        <f t="shared" si="148"/>
        <v>12.622719999999999</v>
      </c>
      <c r="AA99" s="83">
        <f t="shared" si="148"/>
        <v>12.85047</v>
      </c>
      <c r="AB99" s="83">
        <f t="shared" si="148"/>
        <v>10.345559999999999</v>
      </c>
      <c r="AC99" s="83">
        <f t="shared" si="148"/>
        <v>8.0879799999999999</v>
      </c>
      <c r="AD99" s="83">
        <f t="shared" si="148"/>
        <v>9.7528700000000015</v>
      </c>
      <c r="AE99" s="83">
        <f t="shared" si="148"/>
        <v>10.28</v>
      </c>
      <c r="AF99" s="83">
        <f t="shared" si="148"/>
        <v>11.13632</v>
      </c>
      <c r="AG99" s="83">
        <f t="shared" si="148"/>
        <v>10.874319999999999</v>
      </c>
      <c r="AH99" s="83">
        <f t="shared" si="148"/>
        <v>13.472569999999999</v>
      </c>
      <c r="AI99" s="83">
        <f t="shared" si="148"/>
        <v>12.70407</v>
      </c>
      <c r="AJ99" s="83">
        <f t="shared" si="148"/>
        <v>14.698840000000001</v>
      </c>
      <c r="AK99" s="83">
        <f t="shared" si="148"/>
        <v>15.543059999999999</v>
      </c>
      <c r="AL99" s="83">
        <f t="shared" si="148"/>
        <v>14.34361</v>
      </c>
      <c r="AM99" s="83">
        <f t="shared" si="148"/>
        <v>20.930520000000001</v>
      </c>
      <c r="AN99" s="83">
        <f t="shared" si="148"/>
        <v>16.553939999999997</v>
      </c>
      <c r="AO99" s="83">
        <f t="shared" si="148"/>
        <v>11.52661</v>
      </c>
      <c r="AP99" s="83">
        <f t="shared" si="148"/>
        <v>14.938829999999999</v>
      </c>
      <c r="AQ99" s="83">
        <f t="shared" si="148"/>
        <v>15.58352</v>
      </c>
      <c r="AR99" s="83">
        <f t="shared" si="148"/>
        <v>19.603400000000001</v>
      </c>
      <c r="AS99" s="83">
        <f t="shared" si="148"/>
        <v>16.644569999999998</v>
      </c>
      <c r="AT99" s="83">
        <f t="shared" si="148"/>
        <v>16.429119999999998</v>
      </c>
    </row>
    <row r="100" spans="1:46">
      <c r="B100" s="93" t="s">
        <v>313</v>
      </c>
      <c r="C100" s="83">
        <f>+C32</f>
        <v>0</v>
      </c>
      <c r="D100" s="83">
        <f>+D32</f>
        <v>19.149630000000002</v>
      </c>
      <c r="F100" s="83">
        <f>+F32</f>
        <v>3.09945</v>
      </c>
      <c r="G100" s="83">
        <f>+G32</f>
        <v>51.941310000000001</v>
      </c>
      <c r="I100" s="83">
        <f>+I32</f>
        <v>3.09945</v>
      </c>
      <c r="J100" s="83">
        <f>+J32</f>
        <v>67.991489999999999</v>
      </c>
      <c r="K100" s="83">
        <f>+K32</f>
        <v>98.349119999999999</v>
      </c>
      <c r="M100" s="23">
        <f t="shared" si="144"/>
        <v>30.35763</v>
      </c>
      <c r="N100" s="66">
        <f t="shared" ref="N100" si="149">IFERROR(K100/J100-1,0)</f>
        <v>0.44649161240619972</v>
      </c>
      <c r="P100" s="83">
        <f t="shared" ref="P100:AT100" si="150">+P32</f>
        <v>0</v>
      </c>
      <c r="Q100" s="83">
        <f t="shared" si="150"/>
        <v>0</v>
      </c>
      <c r="R100" s="83">
        <f t="shared" si="150"/>
        <v>0</v>
      </c>
      <c r="S100" s="83">
        <f t="shared" si="150"/>
        <v>0</v>
      </c>
      <c r="T100" s="83">
        <f t="shared" si="150"/>
        <v>0</v>
      </c>
      <c r="U100" s="83">
        <f t="shared" si="150"/>
        <v>0</v>
      </c>
      <c r="V100" s="83">
        <f t="shared" si="150"/>
        <v>0</v>
      </c>
      <c r="W100" s="83">
        <f t="shared" si="150"/>
        <v>0</v>
      </c>
      <c r="X100" s="83">
        <f t="shared" si="150"/>
        <v>0</v>
      </c>
      <c r="Y100" s="83">
        <f t="shared" si="150"/>
        <v>0</v>
      </c>
      <c r="Z100" s="83">
        <f t="shared" si="150"/>
        <v>0</v>
      </c>
      <c r="AA100" s="83">
        <f t="shared" si="150"/>
        <v>0</v>
      </c>
      <c r="AB100" s="83">
        <f t="shared" si="150"/>
        <v>0</v>
      </c>
      <c r="AC100" s="83">
        <f t="shared" si="150"/>
        <v>0</v>
      </c>
      <c r="AD100" s="83">
        <f t="shared" si="150"/>
        <v>0</v>
      </c>
      <c r="AE100" s="83">
        <f t="shared" si="150"/>
        <v>0</v>
      </c>
      <c r="AF100" s="83">
        <f t="shared" si="150"/>
        <v>0</v>
      </c>
      <c r="AG100" s="83">
        <f t="shared" si="150"/>
        <v>1.4667999999999999</v>
      </c>
      <c r="AH100" s="83">
        <f t="shared" si="150"/>
        <v>1.6326500000000002</v>
      </c>
      <c r="AI100" s="83">
        <f t="shared" si="150"/>
        <v>1.7180499999999999</v>
      </c>
      <c r="AJ100" s="83">
        <f t="shared" si="150"/>
        <v>1.9145999999999999</v>
      </c>
      <c r="AK100" s="83">
        <f t="shared" si="150"/>
        <v>2.3529</v>
      </c>
      <c r="AL100" s="83">
        <f t="shared" si="150"/>
        <v>2.2452399999999999</v>
      </c>
      <c r="AM100" s="83">
        <f t="shared" si="150"/>
        <v>7.8193900000000003</v>
      </c>
      <c r="AN100" s="83">
        <f t="shared" si="150"/>
        <v>5.6533999999999995</v>
      </c>
      <c r="AO100" s="83">
        <f t="shared" si="150"/>
        <v>5.9568900000000005</v>
      </c>
      <c r="AP100" s="83">
        <f t="shared" si="150"/>
        <v>7.7827999999999999</v>
      </c>
      <c r="AQ100" s="83">
        <f t="shared" si="150"/>
        <v>8.1370100000000001</v>
      </c>
      <c r="AR100" s="83">
        <f t="shared" si="150"/>
        <v>7.8082500000000001</v>
      </c>
      <c r="AS100" s="83">
        <f t="shared" si="150"/>
        <v>8.4072000000000013</v>
      </c>
      <c r="AT100" s="83">
        <f t="shared" si="150"/>
        <v>8.1957599999999999</v>
      </c>
    </row>
    <row r="101" spans="1:46">
      <c r="B101" s="93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44"/>
        <v>0</v>
      </c>
      <c r="N101" s="66">
        <f t="shared" ref="N101" si="151">IFERROR(K101/J101-1,0)</f>
        <v>0</v>
      </c>
      <c r="P101" s="83">
        <f t="shared" ref="P101:AT101" si="152">+P45</f>
        <v>2.21</v>
      </c>
      <c r="Q101" s="83">
        <f t="shared" si="152"/>
        <v>2.7349999999999999</v>
      </c>
      <c r="R101" s="83">
        <f t="shared" si="152"/>
        <v>2.7149999999999999</v>
      </c>
      <c r="S101" s="83">
        <f t="shared" si="152"/>
        <v>2.7349999999999999</v>
      </c>
      <c r="T101" s="83">
        <f t="shared" si="152"/>
        <v>0.78</v>
      </c>
      <c r="U101" s="83">
        <f t="shared" si="152"/>
        <v>3.2450000000000001</v>
      </c>
      <c r="V101" s="83">
        <f t="shared" si="152"/>
        <v>1.28</v>
      </c>
      <c r="W101" s="83">
        <f t="shared" si="152"/>
        <v>1.3</v>
      </c>
      <c r="X101" s="83">
        <f t="shared" si="152"/>
        <v>1.81</v>
      </c>
      <c r="Y101" s="83">
        <f t="shared" si="152"/>
        <v>1.82</v>
      </c>
      <c r="Z101" s="83">
        <f t="shared" si="152"/>
        <v>1.835</v>
      </c>
      <c r="AA101" s="83">
        <f t="shared" si="152"/>
        <v>2.355</v>
      </c>
      <c r="AB101" s="83">
        <f t="shared" si="152"/>
        <v>1.4702500000000001</v>
      </c>
      <c r="AC101" s="83">
        <f t="shared" si="152"/>
        <v>1.665</v>
      </c>
      <c r="AD101" s="83">
        <f t="shared" si="152"/>
        <v>2.6277499999999998</v>
      </c>
      <c r="AE101" s="83">
        <f t="shared" si="152"/>
        <v>1.24875</v>
      </c>
      <c r="AF101" s="83">
        <f t="shared" si="152"/>
        <v>2.1539999999999999</v>
      </c>
      <c r="AG101" s="83">
        <f t="shared" si="152"/>
        <v>4.1539999999999999</v>
      </c>
      <c r="AH101" s="83">
        <f t="shared" si="152"/>
        <v>3.7697500000000002</v>
      </c>
      <c r="AI101" s="83">
        <f t="shared" si="152"/>
        <v>1.696</v>
      </c>
      <c r="AJ101" s="83">
        <f t="shared" si="152"/>
        <v>2.2275</v>
      </c>
      <c r="AK101" s="83">
        <f t="shared" si="152"/>
        <v>1.6645000000000001</v>
      </c>
      <c r="AL101" s="83">
        <f t="shared" si="152"/>
        <v>1.71879</v>
      </c>
      <c r="AM101" s="83">
        <f t="shared" si="152"/>
        <v>2.75745</v>
      </c>
      <c r="AN101" s="83">
        <f t="shared" si="152"/>
        <v>1.8688</v>
      </c>
      <c r="AO101" s="83">
        <f t="shared" si="152"/>
        <v>4.4399100000000002</v>
      </c>
      <c r="AP101" s="83">
        <f t="shared" si="152"/>
        <v>2.3936100000000002</v>
      </c>
      <c r="AQ101" s="83">
        <f t="shared" si="152"/>
        <v>3.6578600000000003</v>
      </c>
      <c r="AR101" s="83">
        <f t="shared" si="152"/>
        <v>2.9337900000000001</v>
      </c>
      <c r="AS101" s="83">
        <f t="shared" si="152"/>
        <v>1.5662</v>
      </c>
      <c r="AT101" s="83">
        <f t="shared" si="152"/>
        <v>3.76952</v>
      </c>
    </row>
    <row r="102" spans="1:46">
      <c r="B102" s="92" t="s">
        <v>315</v>
      </c>
      <c r="C102" s="59">
        <f>SUM(C98:C101)</f>
        <v>103.57404999999997</v>
      </c>
      <c r="D102" s="59">
        <f>SUM(D98:D101)</f>
        <v>123.95379000000003</v>
      </c>
      <c r="F102" s="59">
        <f>SUM(F98:F101)</f>
        <v>51.884519999999995</v>
      </c>
      <c r="G102" s="59">
        <f>SUM(G98:G101)</f>
        <v>124.79598999999999</v>
      </c>
      <c r="I102" s="59">
        <f>SUM(I98:I101)</f>
        <v>93.123750000000001</v>
      </c>
      <c r="J102" s="59">
        <f>SUM(J98:J101)</f>
        <v>196.86526000000001</v>
      </c>
      <c r="K102" s="59">
        <f>SUM(K98:K101)</f>
        <v>222.62498999999997</v>
      </c>
      <c r="L102" s="71"/>
      <c r="M102" s="59">
        <f>SUM(M98:M101)</f>
        <v>25.759729999999976</v>
      </c>
      <c r="N102" s="90">
        <f t="shared" ref="N102" si="153">IFERROR(K102/J102-1,0)</f>
        <v>0.13084954653756564</v>
      </c>
      <c r="P102" s="59">
        <f t="shared" ref="P102:AT102" si="154">SUM(P98:P101)</f>
        <v>5.8822800000000006</v>
      </c>
      <c r="Q102" s="59">
        <f t="shared" si="154"/>
        <v>7.797959999999998</v>
      </c>
      <c r="R102" s="59">
        <f t="shared" si="154"/>
        <v>10.155840000000001</v>
      </c>
      <c r="S102" s="59">
        <f t="shared" si="154"/>
        <v>14.277290000000001</v>
      </c>
      <c r="T102" s="59">
        <f t="shared" si="154"/>
        <v>12.758439999999998</v>
      </c>
      <c r="U102" s="59">
        <f t="shared" si="154"/>
        <v>6.8029899999999994</v>
      </c>
      <c r="V102" s="59">
        <f t="shared" si="154"/>
        <v>4.6600200000000003</v>
      </c>
      <c r="W102" s="59">
        <f t="shared" si="154"/>
        <v>2.464739999999999</v>
      </c>
      <c r="X102" s="59">
        <f t="shared" si="154"/>
        <v>7.4586300000000012</v>
      </c>
      <c r="Y102" s="59">
        <f t="shared" si="154"/>
        <v>7.9701699999999995</v>
      </c>
      <c r="Z102" s="59">
        <f t="shared" si="154"/>
        <v>11.445219999999999</v>
      </c>
      <c r="AA102" s="59">
        <f t="shared" si="154"/>
        <v>11.90047</v>
      </c>
      <c r="AB102" s="59">
        <f t="shared" si="154"/>
        <v>8.7368099999999984</v>
      </c>
      <c r="AC102" s="59">
        <f t="shared" si="154"/>
        <v>9.0529799999999998</v>
      </c>
      <c r="AD102" s="59">
        <f t="shared" si="154"/>
        <v>1.942070000000002</v>
      </c>
      <c r="AE102" s="59">
        <f t="shared" si="154"/>
        <v>7.2287499999999998</v>
      </c>
      <c r="AF102" s="59">
        <f t="shared" si="154"/>
        <v>2.1503199999999989</v>
      </c>
      <c r="AG102" s="59">
        <f t="shared" si="154"/>
        <v>10.332619999999999</v>
      </c>
      <c r="AH102" s="59">
        <f t="shared" si="154"/>
        <v>12.44097</v>
      </c>
      <c r="AI102" s="59">
        <f t="shared" si="154"/>
        <v>12.153119999999999</v>
      </c>
      <c r="AJ102" s="59">
        <f t="shared" si="154"/>
        <v>14.920940000000002</v>
      </c>
      <c r="AK102" s="59">
        <f t="shared" si="154"/>
        <v>10.423959999999999</v>
      </c>
      <c r="AL102" s="59">
        <f t="shared" si="154"/>
        <v>13.053890000000001</v>
      </c>
      <c r="AM102" s="59">
        <f t="shared" si="154"/>
        <v>21.51736</v>
      </c>
      <c r="AN102" s="59">
        <f t="shared" si="154"/>
        <v>13.865639999999997</v>
      </c>
      <c r="AO102" s="59">
        <f t="shared" si="154"/>
        <v>15.24841</v>
      </c>
      <c r="AP102" s="59">
        <f t="shared" si="154"/>
        <v>16.01624</v>
      </c>
      <c r="AQ102" s="59">
        <f t="shared" si="154"/>
        <v>18.42389</v>
      </c>
      <c r="AR102" s="59">
        <f t="shared" si="154"/>
        <v>17.739440000000002</v>
      </c>
      <c r="AS102" s="59">
        <f t="shared" si="154"/>
        <v>21.206469999999999</v>
      </c>
      <c r="AT102" s="59">
        <f t="shared" si="154"/>
        <v>22.295899999999996</v>
      </c>
    </row>
    <row r="103" spans="1:46" ht="3.95" customHeight="1"/>
    <row r="104" spans="1:46">
      <c r="B104" s="104" t="s">
        <v>468</v>
      </c>
      <c r="C104" s="105">
        <f>+C93+C102</f>
        <v>82.589620000000082</v>
      </c>
      <c r="D104" s="106">
        <f>+D93+D102</f>
        <v>196.71688999999986</v>
      </c>
      <c r="F104" s="110">
        <f>+F93+F102</f>
        <v>105.53132333333306</v>
      </c>
      <c r="G104" s="106">
        <f>+G93+G102</f>
        <v>208.89187333333365</v>
      </c>
      <c r="I104" s="110">
        <f>+I93+I102</f>
        <v>110.30545999999993</v>
      </c>
      <c r="J104" s="105">
        <f>+J93+J102</f>
        <v>300.07743999999997</v>
      </c>
      <c r="K104" s="106">
        <f>+K93+K102</f>
        <v>197.37966000000026</v>
      </c>
      <c r="L104" s="71"/>
      <c r="M104" s="110">
        <f>+M93+M102</f>
        <v>-102.69777999999987</v>
      </c>
      <c r="N104" s="112">
        <f t="shared" ref="N104" si="155">IFERROR(K104/J104-1,0)</f>
        <v>-0.34223759040332957</v>
      </c>
      <c r="P104" s="110">
        <f t="shared" ref="P104:AT104" si="156">+P93+P102</f>
        <v>15.543074166666667</v>
      </c>
      <c r="Q104" s="105">
        <f t="shared" si="156"/>
        <v>9.9902841666666777</v>
      </c>
      <c r="R104" s="105">
        <f t="shared" si="156"/>
        <v>6.7136341666666723</v>
      </c>
      <c r="S104" s="105">
        <f t="shared" si="156"/>
        <v>2.3917441666666477</v>
      </c>
      <c r="T104" s="105">
        <f t="shared" si="156"/>
        <v>-7.7330558333333155</v>
      </c>
      <c r="U104" s="105">
        <f t="shared" si="156"/>
        <v>-0.6607958333333368</v>
      </c>
      <c r="V104" s="105">
        <f t="shared" si="156"/>
        <v>9.2340441666666777</v>
      </c>
      <c r="W104" s="105">
        <f t="shared" si="156"/>
        <v>9.8654841666666613</v>
      </c>
      <c r="X104" s="105">
        <f t="shared" si="156"/>
        <v>1.2045641666666711</v>
      </c>
      <c r="Y104" s="105">
        <f t="shared" si="156"/>
        <v>-1.6058558333333544</v>
      </c>
      <c r="Z104" s="105">
        <f t="shared" si="156"/>
        <v>-20.510185833333331</v>
      </c>
      <c r="AA104" s="105">
        <f t="shared" si="156"/>
        <v>-14.420265833333312</v>
      </c>
      <c r="AB104" s="105">
        <f t="shared" si="156"/>
        <v>11.235174166666631</v>
      </c>
      <c r="AC104" s="105">
        <f t="shared" si="156"/>
        <v>-3.6891758333333389</v>
      </c>
      <c r="AD104" s="105">
        <f t="shared" si="156"/>
        <v>11.694874166666672</v>
      </c>
      <c r="AE104" s="105">
        <f t="shared" si="156"/>
        <v>-2.7712758333333216</v>
      </c>
      <c r="AF104" s="105">
        <f t="shared" si="156"/>
        <v>6.1514241666666738</v>
      </c>
      <c r="AG104" s="105">
        <f t="shared" si="156"/>
        <v>25.048884166666642</v>
      </c>
      <c r="AH104" s="105">
        <f t="shared" si="156"/>
        <v>15.524864166666653</v>
      </c>
      <c r="AI104" s="105">
        <f t="shared" si="156"/>
        <v>16.894334166666638</v>
      </c>
      <c r="AJ104" s="105">
        <f t="shared" si="156"/>
        <v>7.7796341666666775</v>
      </c>
      <c r="AK104" s="105">
        <f t="shared" si="156"/>
        <v>9.3714166666671872E-2</v>
      </c>
      <c r="AL104" s="105">
        <f t="shared" si="156"/>
        <v>18.402774166666703</v>
      </c>
      <c r="AM104" s="105">
        <f t="shared" si="156"/>
        <v>17.774714166666655</v>
      </c>
      <c r="AN104" s="105">
        <f t="shared" si="156"/>
        <v>32.614574166666607</v>
      </c>
      <c r="AO104" s="105">
        <f t="shared" si="156"/>
        <v>71.595774166666644</v>
      </c>
      <c r="AP104" s="105">
        <f t="shared" si="156"/>
        <v>0.54219416666664344</v>
      </c>
      <c r="AQ104" s="105">
        <f t="shared" si="156"/>
        <v>9.8624841666666434</v>
      </c>
      <c r="AR104" s="105">
        <f t="shared" si="156"/>
        <v>21.945474166666667</v>
      </c>
      <c r="AS104" s="105">
        <f t="shared" si="156"/>
        <v>17.840634166666732</v>
      </c>
      <c r="AT104" s="106">
        <f t="shared" si="156"/>
        <v>12.154184166666663</v>
      </c>
    </row>
    <row r="105" spans="1:46" s="97" customFormat="1">
      <c r="B105" s="107" t="s">
        <v>305</v>
      </c>
      <c r="C105" s="108">
        <f>C104/C$24</f>
        <v>7.276837448457156E-2</v>
      </c>
      <c r="D105" s="109">
        <f>D104/D$24</f>
        <v>0.10467098850674469</v>
      </c>
      <c r="F105" s="111">
        <f>F104/F$24</f>
        <v>0.1057562563148892</v>
      </c>
      <c r="G105" s="109">
        <f>G104/G$24</f>
        <v>0.1250085117611516</v>
      </c>
      <c r="I105" s="111">
        <f>I104/I$24</f>
        <v>7.2359413127952049E-2</v>
      </c>
      <c r="J105" s="108">
        <f>J104/J$24</f>
        <v>0.11756073205811471</v>
      </c>
      <c r="K105" s="109">
        <f>K104/K$24</f>
        <v>6.6182793542503809E-2</v>
      </c>
      <c r="L105" s="103"/>
      <c r="M105" s="111">
        <v>0</v>
      </c>
      <c r="N105" s="113">
        <v>0</v>
      </c>
      <c r="P105" s="111">
        <f t="shared" ref="P105" si="157">P104/P$24</f>
        <v>0.1920958925892923</v>
      </c>
      <c r="Q105" s="108">
        <f t="shared" ref="Q105" si="158">Q104/Q$24</f>
        <v>0.12294871826427779</v>
      </c>
      <c r="R105" s="108">
        <f t="shared" ref="R105" si="159">R104/R$24</f>
        <v>8.5948599151818433E-2</v>
      </c>
      <c r="S105" s="108">
        <f t="shared" ref="S105" si="160">S104/S$24</f>
        <v>2.8694054904444672E-2</v>
      </c>
      <c r="T105" s="108">
        <f t="shared" ref="T105" si="161">T104/T$24</f>
        <v>-8.573598577470673E-2</v>
      </c>
      <c r="U105" s="108">
        <f t="shared" ref="U105" si="162">U104/U$24</f>
        <v>-7.3490513717648816E-3</v>
      </c>
      <c r="V105" s="108">
        <f t="shared" ref="V105" si="163">V104/V$24</f>
        <v>8.8210387231303533E-2</v>
      </c>
      <c r="W105" s="108">
        <f t="shared" ref="W105" si="164">W104/W$24</f>
        <v>9.4754054142745153E-2</v>
      </c>
      <c r="X105" s="108">
        <f t="shared" ref="X105" si="165">X104/X$24</f>
        <v>1.2244896749015058E-2</v>
      </c>
      <c r="Y105" s="108">
        <f t="shared" ref="Y105" si="166">Y104/Y$24</f>
        <v>-1.6211121194898738E-2</v>
      </c>
      <c r="Z105" s="108">
        <f t="shared" ref="Z105" si="167">Z104/Z$24</f>
        <v>-0.1877580811072164</v>
      </c>
      <c r="AA105" s="108">
        <f t="shared" ref="AA105" si="168">AA104/AA$24</f>
        <v>-0.12457913919590322</v>
      </c>
      <c r="AB105" s="108">
        <f t="shared" ref="AB105" si="169">AB104/AB$24</f>
        <v>8.1025296063476637E-2</v>
      </c>
      <c r="AC105" s="108">
        <f t="shared" ref="AC105" si="170">AC104/AC$24</f>
        <v>-2.8866203295811969E-2</v>
      </c>
      <c r="AD105" s="108">
        <f t="shared" ref="AD105" si="171">AD104/AD$24</f>
        <v>8.6837474115855226E-2</v>
      </c>
      <c r="AE105" s="108">
        <f t="shared" ref="AE105" si="172">AE104/AE$24</f>
        <v>-2.0380684720886111E-2</v>
      </c>
      <c r="AF105" s="108">
        <f t="shared" ref="AF105" si="173">AF104/AF$24</f>
        <v>4.045628974430885E-2</v>
      </c>
      <c r="AG105" s="108">
        <f t="shared" ref="AG105" si="174">AG104/AG$24</f>
        <v>0.16337114560080698</v>
      </c>
      <c r="AH105" s="108">
        <f t="shared" ref="AH105" si="175">AH104/AH$24</f>
        <v>9.9914958379451135E-2</v>
      </c>
      <c r="AI105" s="108">
        <f t="shared" ref="AI105" si="176">AI104/AI$24</f>
        <v>0.1056732553415832</v>
      </c>
      <c r="AJ105" s="108">
        <f t="shared" ref="AJ105" si="177">AJ104/AJ$24</f>
        <v>4.7437022206794029E-2</v>
      </c>
      <c r="AK105" s="108">
        <f t="shared" ref="AK105" si="178">AK104/AK$24</f>
        <v>5.2282944582582888E-4</v>
      </c>
      <c r="AL105" s="108">
        <f t="shared" ref="AL105" si="179">AL104/AL$24</f>
        <v>0.10128634168412418</v>
      </c>
      <c r="AM105" s="108">
        <f t="shared" ref="AM105" si="180">AM104/AM$24</f>
        <v>9.0363355327271883E-2</v>
      </c>
      <c r="AN105" s="108">
        <f t="shared" ref="AN105" si="181">AN104/AN$24</f>
        <v>0.15370747441709923</v>
      </c>
      <c r="AO105" s="108">
        <f t="shared" ref="AO105" si="182">AO104/AO$24</f>
        <v>0.2959770384602971</v>
      </c>
      <c r="AP105" s="108">
        <f t="shared" ref="AP105" si="183">AP104/AP$24</f>
        <v>2.3421384777994178E-3</v>
      </c>
      <c r="AQ105" s="108">
        <f t="shared" ref="AQ105" si="184">AQ104/AQ$24</f>
        <v>4.103905591447353E-2</v>
      </c>
      <c r="AR105" s="108">
        <f t="shared" ref="AR105" si="185">AR104/AR$24</f>
        <v>8.9137192016399219E-2</v>
      </c>
      <c r="AS105" s="108">
        <f t="shared" ref="AS105" si="186">AS104/AS$24</f>
        <v>7.2083574243105866E-2</v>
      </c>
      <c r="AT105" s="109">
        <f t="shared" ref="AT105" si="187">AT104/AT$24</f>
        <v>4.8341028445033248E-2</v>
      </c>
    </row>
    <row r="107" spans="1:46">
      <c r="A107" s="117" t="s">
        <v>294</v>
      </c>
      <c r="B107" s="118" t="s">
        <v>324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1330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1331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320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88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88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89">+B46</f>
        <v>Travel, Meals &amp; Entertainment</v>
      </c>
      <c r="C148" s="83">
        <f t="shared" si="188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Payment Collection Fees</v>
      </c>
      <c r="C149" s="83">
        <f t="shared" si="188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Professional Organizations</v>
      </c>
      <c r="C150" s="83">
        <f t="shared" si="188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S&amp;M Events</v>
      </c>
      <c r="C151" s="83">
        <f t="shared" si="188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89"/>
        <v>Contract Labor - Tax</v>
      </c>
      <c r="C152" s="83">
        <f>+C119</f>
        <v>38.761499999999998</v>
      </c>
      <c r="D152" s="95" t="s">
        <v>321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89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90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0"/>
        <v>Occupancy Tax Filing Fees</v>
      </c>
      <c r="C158" s="82">
        <f>+AT57*12</f>
        <v>3.516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0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93" t="s">
        <v>277</v>
      </c>
      <c r="C166" s="82">
        <v>200</v>
      </c>
      <c r="D166" s="124" t="s">
        <v>319</v>
      </c>
      <c r="F166" s="83"/>
      <c r="G166" s="83"/>
      <c r="I166" s="83"/>
      <c r="J166" s="83"/>
      <c r="K166" s="83"/>
      <c r="L166" s="83"/>
      <c r="M166" s="83"/>
      <c r="N166" s="83"/>
    </row>
    <row r="167" spans="1:14">
      <c r="B167" s="215" t="s">
        <v>1338</v>
      </c>
      <c r="C167" s="83">
        <f>+C146</f>
        <v>72.576949999999997</v>
      </c>
      <c r="D167" s="95" t="s">
        <v>1339</v>
      </c>
    </row>
    <row r="171" spans="1:14">
      <c r="C171" s="33">
        <v>45291</v>
      </c>
      <c r="D171" s="35">
        <f>C172</f>
        <v>45657</v>
      </c>
      <c r="E171" s="35"/>
      <c r="F171" s="33">
        <v>45657</v>
      </c>
      <c r="G171" s="33">
        <v>46022</v>
      </c>
      <c r="H171" s="33"/>
      <c r="I171" s="33">
        <v>45504</v>
      </c>
      <c r="J171" s="35">
        <f>I172</f>
        <v>45869</v>
      </c>
    </row>
    <row r="172" spans="1:14">
      <c r="A172" s="141" t="s">
        <v>294</v>
      </c>
      <c r="C172" s="34">
        <f>EOMONTH(C171,12)</f>
        <v>45657</v>
      </c>
      <c r="D172" s="34">
        <f>EOMONTH(D171,12)</f>
        <v>46022</v>
      </c>
      <c r="E172" s="34"/>
      <c r="F172" s="34">
        <v>45869</v>
      </c>
      <c r="G172" s="34">
        <f>EOMONTH(G171,12)</f>
        <v>46387</v>
      </c>
      <c r="H172" s="34"/>
      <c r="I172" s="34">
        <f>EOMONTH(I171,12)</f>
        <v>45869</v>
      </c>
      <c r="J172" s="34">
        <f>EOMONTH(J171,12)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1516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1522</v>
      </c>
      <c r="C5" s="178" t="s">
        <v>1069</v>
      </c>
      <c r="D5" s="178" t="s">
        <v>1529</v>
      </c>
      <c r="E5" s="178" t="s">
        <v>1528</v>
      </c>
      <c r="F5" s="178" t="s">
        <v>1325</v>
      </c>
      <c r="G5" s="178" t="s">
        <v>1539</v>
      </c>
      <c r="H5" s="178" t="s">
        <v>1540</v>
      </c>
      <c r="I5" s="222" t="s">
        <v>502</v>
      </c>
    </row>
    <row r="6" spans="2:10">
      <c r="B6" s="42" t="s">
        <v>1530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1374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1533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1531</v>
      </c>
      <c r="C12" s="223"/>
      <c r="D12" s="223"/>
      <c r="E12" s="223"/>
      <c r="F12" s="223"/>
      <c r="G12" s="223"/>
      <c r="H12" s="223"/>
    </row>
    <row r="13" spans="2:10">
      <c r="B13" s="215" t="s">
        <v>1527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1526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1532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1536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1525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1524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1513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1537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1538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1535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1521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1517</v>
      </c>
      <c r="C38" s="223"/>
      <c r="D38" s="223"/>
      <c r="E38" s="223"/>
      <c r="F38" s="223"/>
      <c r="G38" s="223"/>
      <c r="H38" s="223"/>
    </row>
    <row r="39" spans="2:8">
      <c r="B39" s="218" t="s">
        <v>1353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1359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1374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1380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1384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1411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1418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1420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1423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1426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1440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1457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1460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1465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1477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1483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1490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1495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1504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1509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1511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1513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45" priority="12">
      <formula>$Y$3=1</formula>
    </cfRule>
  </conditionalFormatting>
  <conditionalFormatting sqref="D9:E9">
    <cfRule type="expression" dxfId="44" priority="5">
      <formula>$Y$3=1</formula>
    </cfRule>
  </conditionalFormatting>
  <conditionalFormatting sqref="D13:E14">
    <cfRule type="expression" dxfId="43" priority="6">
      <formula>$Y$3=1</formula>
    </cfRule>
  </conditionalFormatting>
  <conditionalFormatting sqref="D18:E22">
    <cfRule type="expression" dxfId="42" priority="2">
      <formula>$Y$3=1</formula>
    </cfRule>
  </conditionalFormatting>
  <conditionalFormatting sqref="E33">
    <cfRule type="expression" dxfId="41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1341</v>
      </c>
      <c r="B1" s="230" t="s">
        <v>1342</v>
      </c>
      <c r="C1" s="230" t="s">
        <v>1518</v>
      </c>
      <c r="D1" s="230" t="s">
        <v>1343</v>
      </c>
      <c r="E1" s="230" t="s">
        <v>1523</v>
      </c>
      <c r="F1" s="230" t="s">
        <v>1534</v>
      </c>
      <c r="G1" s="230" t="s">
        <v>1344</v>
      </c>
      <c r="H1" s="230" t="s">
        <v>116</v>
      </c>
      <c r="I1" s="230" t="s">
        <v>1345</v>
      </c>
      <c r="J1" s="230" t="s">
        <v>1346</v>
      </c>
      <c r="K1" s="230" t="s">
        <v>1347</v>
      </c>
      <c r="L1" s="230" t="s">
        <v>1348</v>
      </c>
      <c r="M1" s="230" t="s">
        <v>1349</v>
      </c>
      <c r="N1" s="230" t="s">
        <v>1350</v>
      </c>
      <c r="O1" s="230" t="s">
        <v>1254</v>
      </c>
    </row>
    <row r="2" spans="1:15">
      <c r="A2" s="230" t="s">
        <v>1351</v>
      </c>
      <c r="B2" s="230" t="s">
        <v>1352</v>
      </c>
      <c r="C2" s="230" t="s">
        <v>502</v>
      </c>
      <c r="D2" s="230" t="s">
        <v>1353</v>
      </c>
      <c r="E2" s="230" t="s">
        <v>1525</v>
      </c>
      <c r="F2" s="230" t="s">
        <v>34</v>
      </c>
      <c r="G2" s="230" t="s">
        <v>1354</v>
      </c>
      <c r="H2" s="230" t="s">
        <v>736</v>
      </c>
      <c r="I2" s="230" t="s">
        <v>1355</v>
      </c>
      <c r="J2" s="231">
        <v>1100</v>
      </c>
      <c r="K2" s="230" t="s">
        <v>600</v>
      </c>
      <c r="L2" s="231">
        <v>13200</v>
      </c>
      <c r="M2" s="230" t="s">
        <v>510</v>
      </c>
      <c r="N2" s="230" t="s">
        <v>509</v>
      </c>
      <c r="O2" s="230" t="s">
        <v>1356</v>
      </c>
    </row>
    <row r="3" spans="1:15">
      <c r="A3" s="230" t="s">
        <v>1357</v>
      </c>
      <c r="B3" s="230" t="s">
        <v>1358</v>
      </c>
      <c r="C3" s="230" t="s">
        <v>502</v>
      </c>
      <c r="D3" s="230" t="s">
        <v>1359</v>
      </c>
      <c r="E3" s="230" t="s">
        <v>495</v>
      </c>
      <c r="F3" s="230" t="s">
        <v>34</v>
      </c>
      <c r="G3" s="230" t="s">
        <v>1354</v>
      </c>
      <c r="H3" s="230" t="s">
        <v>736</v>
      </c>
      <c r="I3" s="230" t="s">
        <v>343</v>
      </c>
      <c r="J3" s="231">
        <v>950</v>
      </c>
      <c r="K3" s="230" t="s">
        <v>600</v>
      </c>
      <c r="L3" s="231">
        <v>11400</v>
      </c>
      <c r="M3" s="230" t="s">
        <v>510</v>
      </c>
      <c r="N3" s="230" t="s">
        <v>509</v>
      </c>
      <c r="O3" s="230" t="s">
        <v>1360</v>
      </c>
    </row>
    <row r="4" spans="1:15">
      <c r="A4" s="230" t="s">
        <v>1361</v>
      </c>
      <c r="B4" s="230" t="s">
        <v>1362</v>
      </c>
      <c r="C4" s="230" t="s">
        <v>502</v>
      </c>
      <c r="D4" s="230" t="s">
        <v>1359</v>
      </c>
      <c r="E4" s="230" t="s">
        <v>495</v>
      </c>
      <c r="F4" s="230" t="s">
        <v>34</v>
      </c>
      <c r="G4" s="230" t="s">
        <v>1354</v>
      </c>
      <c r="H4" s="230" t="s">
        <v>736</v>
      </c>
      <c r="I4" s="230" t="s">
        <v>1363</v>
      </c>
      <c r="J4" s="231">
        <v>950</v>
      </c>
      <c r="K4" s="230" t="s">
        <v>600</v>
      </c>
      <c r="L4" s="231">
        <v>11400</v>
      </c>
      <c r="M4" s="230" t="s">
        <v>510</v>
      </c>
      <c r="N4" s="230" t="s">
        <v>509</v>
      </c>
      <c r="O4" s="230" t="s">
        <v>1360</v>
      </c>
    </row>
    <row r="5" spans="1:15">
      <c r="A5" s="230" t="s">
        <v>1364</v>
      </c>
      <c r="B5" s="230" t="s">
        <v>1365</v>
      </c>
      <c r="C5" s="230" t="s">
        <v>510</v>
      </c>
      <c r="D5" s="230" t="s">
        <v>1359</v>
      </c>
      <c r="E5" s="230" t="s">
        <v>495</v>
      </c>
      <c r="F5" s="230" t="s">
        <v>34</v>
      </c>
      <c r="G5" s="230" t="s">
        <v>1354</v>
      </c>
      <c r="H5" s="230" t="s">
        <v>736</v>
      </c>
      <c r="I5" s="230" t="s">
        <v>343</v>
      </c>
      <c r="J5" s="230"/>
      <c r="K5" s="230" t="s">
        <v>343</v>
      </c>
      <c r="L5" s="230"/>
      <c r="M5" s="230" t="s">
        <v>509</v>
      </c>
      <c r="N5" s="230" t="s">
        <v>510</v>
      </c>
      <c r="O5" s="230" t="s">
        <v>1366</v>
      </c>
    </row>
    <row r="6" spans="1:15">
      <c r="A6" s="230" t="s">
        <v>1367</v>
      </c>
      <c r="B6" s="230" t="s">
        <v>1368</v>
      </c>
      <c r="C6" s="230" t="s">
        <v>502</v>
      </c>
      <c r="D6" s="230" t="s">
        <v>1359</v>
      </c>
      <c r="E6" s="230" t="s">
        <v>495</v>
      </c>
      <c r="F6" s="230" t="s">
        <v>34</v>
      </c>
      <c r="G6" s="230" t="s">
        <v>1354</v>
      </c>
      <c r="H6" s="230" t="s">
        <v>736</v>
      </c>
      <c r="I6" s="230" t="s">
        <v>1369</v>
      </c>
      <c r="J6" s="231">
        <v>950</v>
      </c>
      <c r="K6" s="230" t="s">
        <v>600</v>
      </c>
      <c r="L6" s="231">
        <v>11400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907</v>
      </c>
      <c r="B7" s="230" t="s">
        <v>1370</v>
      </c>
      <c r="C7" s="230" t="s">
        <v>502</v>
      </c>
      <c r="D7" s="230" t="s">
        <v>495</v>
      </c>
      <c r="E7" s="230" t="s">
        <v>495</v>
      </c>
      <c r="F7" s="230" t="s">
        <v>34</v>
      </c>
      <c r="G7" s="230" t="s">
        <v>1354</v>
      </c>
      <c r="H7" s="230" t="s">
        <v>736</v>
      </c>
      <c r="I7" s="230" t="s">
        <v>538</v>
      </c>
      <c r="J7" s="231">
        <v>950</v>
      </c>
      <c r="K7" s="230" t="s">
        <v>600</v>
      </c>
      <c r="L7" s="231">
        <v>11400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527</v>
      </c>
      <c r="B8" s="230" t="s">
        <v>1371</v>
      </c>
      <c r="C8" s="230" t="s">
        <v>502</v>
      </c>
      <c r="D8" s="230" t="s">
        <v>496</v>
      </c>
      <c r="E8" s="230" t="s">
        <v>496</v>
      </c>
      <c r="F8" s="230" t="s">
        <v>35</v>
      </c>
      <c r="G8" s="230" t="s">
        <v>1354</v>
      </c>
      <c r="H8" s="230" t="s">
        <v>736</v>
      </c>
      <c r="I8" s="230" t="s">
        <v>515</v>
      </c>
      <c r="J8" s="231">
        <v>1800</v>
      </c>
      <c r="K8" s="230" t="s">
        <v>600</v>
      </c>
      <c r="L8" s="231">
        <v>21600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1372</v>
      </c>
      <c r="B9" s="230" t="s">
        <v>1373</v>
      </c>
      <c r="C9" s="230" t="s">
        <v>502</v>
      </c>
      <c r="D9" s="230" t="s">
        <v>1374</v>
      </c>
      <c r="E9" s="230" t="s">
        <v>1374</v>
      </c>
      <c r="F9" s="230" t="s">
        <v>63</v>
      </c>
      <c r="G9" s="230" t="s">
        <v>1375</v>
      </c>
      <c r="H9" s="230" t="s">
        <v>1376</v>
      </c>
      <c r="I9" s="230" t="s">
        <v>1377</v>
      </c>
      <c r="J9" s="231">
        <v>110000</v>
      </c>
      <c r="K9" s="230" t="s">
        <v>1378</v>
      </c>
      <c r="L9" s="231">
        <v>110000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687</v>
      </c>
      <c r="B10" s="230" t="s">
        <v>1379</v>
      </c>
      <c r="C10" s="230" t="s">
        <v>502</v>
      </c>
      <c r="D10" s="230" t="s">
        <v>1380</v>
      </c>
      <c r="E10" s="230" t="s">
        <v>498</v>
      </c>
      <c r="F10" s="230" t="s">
        <v>63</v>
      </c>
      <c r="G10" s="230" t="s">
        <v>1354</v>
      </c>
      <c r="H10" s="230" t="s">
        <v>736</v>
      </c>
      <c r="I10" s="230" t="s">
        <v>1381</v>
      </c>
      <c r="J10" s="231">
        <v>850</v>
      </c>
      <c r="K10" s="230" t="s">
        <v>600</v>
      </c>
      <c r="L10" s="231">
        <v>10200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1382</v>
      </c>
      <c r="B11" s="230" t="s">
        <v>1383</v>
      </c>
      <c r="C11" s="230" t="s">
        <v>502</v>
      </c>
      <c r="D11" s="230" t="s">
        <v>1384</v>
      </c>
      <c r="E11" s="230" t="s">
        <v>1526</v>
      </c>
      <c r="F11" s="230" t="s">
        <v>37</v>
      </c>
      <c r="G11" s="230" t="s">
        <v>1385</v>
      </c>
      <c r="H11" s="230" t="s">
        <v>736</v>
      </c>
      <c r="I11" s="230" t="s">
        <v>1386</v>
      </c>
      <c r="J11" s="231">
        <v>1500</v>
      </c>
      <c r="K11" s="230" t="s">
        <v>600</v>
      </c>
      <c r="L11" s="231">
        <v>18000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1387</v>
      </c>
      <c r="B12" s="230" t="s">
        <v>1388</v>
      </c>
      <c r="C12" s="230" t="s">
        <v>502</v>
      </c>
      <c r="D12" s="230" t="s">
        <v>496</v>
      </c>
      <c r="E12" s="230" t="s">
        <v>496</v>
      </c>
      <c r="F12" s="230" t="s">
        <v>35</v>
      </c>
      <c r="G12" s="230" t="s">
        <v>1354</v>
      </c>
      <c r="H12" s="230" t="s">
        <v>736</v>
      </c>
      <c r="I12" s="230" t="s">
        <v>1389</v>
      </c>
      <c r="J12" s="231">
        <v>1800</v>
      </c>
      <c r="K12" s="230" t="s">
        <v>600</v>
      </c>
      <c r="L12" s="231">
        <v>21600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1390</v>
      </c>
      <c r="B13" s="230" t="s">
        <v>1388</v>
      </c>
      <c r="C13" s="230" t="s">
        <v>502</v>
      </c>
      <c r="D13" s="230" t="s">
        <v>1359</v>
      </c>
      <c r="E13" s="230" t="s">
        <v>495</v>
      </c>
      <c r="F13" s="230" t="s">
        <v>34</v>
      </c>
      <c r="G13" s="230" t="s">
        <v>1354</v>
      </c>
      <c r="H13" s="230" t="s">
        <v>736</v>
      </c>
      <c r="I13" s="230" t="s">
        <v>1391</v>
      </c>
      <c r="J13" s="231">
        <v>950</v>
      </c>
      <c r="K13" s="230" t="s">
        <v>600</v>
      </c>
      <c r="L13" s="231">
        <v>11400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581</v>
      </c>
      <c r="B14" s="230" t="s">
        <v>1392</v>
      </c>
      <c r="C14" s="230" t="s">
        <v>502</v>
      </c>
      <c r="D14" s="230" t="s">
        <v>1359</v>
      </c>
      <c r="E14" s="230" t="s">
        <v>495</v>
      </c>
      <c r="F14" s="230" t="s">
        <v>34</v>
      </c>
      <c r="G14" s="230" t="s">
        <v>1354</v>
      </c>
      <c r="H14" s="230" t="s">
        <v>736</v>
      </c>
      <c r="I14" s="230" t="s">
        <v>555</v>
      </c>
      <c r="J14" s="231">
        <v>950</v>
      </c>
      <c r="K14" s="230" t="s">
        <v>600</v>
      </c>
      <c r="L14" s="231">
        <v>11400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757</v>
      </c>
      <c r="B15" s="230" t="s">
        <v>1393</v>
      </c>
      <c r="C15" s="230" t="s">
        <v>502</v>
      </c>
      <c r="D15" s="230" t="s">
        <v>1359</v>
      </c>
      <c r="E15" s="230" t="s">
        <v>495</v>
      </c>
      <c r="F15" s="230" t="s">
        <v>34</v>
      </c>
      <c r="G15" s="230" t="s">
        <v>1354</v>
      </c>
      <c r="H15" s="230" t="s">
        <v>736</v>
      </c>
      <c r="I15" s="230" t="s">
        <v>527</v>
      </c>
      <c r="J15" s="231">
        <v>950</v>
      </c>
      <c r="K15" s="230" t="s">
        <v>600</v>
      </c>
      <c r="L15" s="231">
        <v>11400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867</v>
      </c>
      <c r="B16" s="230" t="s">
        <v>1394</v>
      </c>
      <c r="C16" s="230" t="s">
        <v>502</v>
      </c>
      <c r="D16" s="230" t="s">
        <v>1359</v>
      </c>
      <c r="E16" s="230" t="s">
        <v>495</v>
      </c>
      <c r="F16" s="230" t="s">
        <v>34</v>
      </c>
      <c r="G16" s="230" t="s">
        <v>1354</v>
      </c>
      <c r="H16" s="230" t="s">
        <v>736</v>
      </c>
      <c r="I16" s="230" t="s">
        <v>1395</v>
      </c>
      <c r="J16" s="231">
        <v>950</v>
      </c>
      <c r="K16" s="230" t="s">
        <v>600</v>
      </c>
      <c r="L16" s="231">
        <v>11400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617</v>
      </c>
      <c r="B17" s="230" t="s">
        <v>1396</v>
      </c>
      <c r="C17" s="230" t="s">
        <v>502</v>
      </c>
      <c r="D17" s="230" t="s">
        <v>1359</v>
      </c>
      <c r="E17" s="230" t="s">
        <v>495</v>
      </c>
      <c r="F17" s="230" t="s">
        <v>34</v>
      </c>
      <c r="G17" s="230" t="s">
        <v>1354</v>
      </c>
      <c r="H17" s="230" t="s">
        <v>736</v>
      </c>
      <c r="I17" s="230" t="s">
        <v>1363</v>
      </c>
      <c r="J17" s="231">
        <v>950</v>
      </c>
      <c r="K17" s="230" t="s">
        <v>600</v>
      </c>
      <c r="L17" s="231">
        <v>11400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669</v>
      </c>
      <c r="B18" s="230" t="s">
        <v>1397</v>
      </c>
      <c r="C18" s="230" t="s">
        <v>502</v>
      </c>
      <c r="D18" s="230" t="s">
        <v>1359</v>
      </c>
      <c r="E18" s="230" t="s">
        <v>495</v>
      </c>
      <c r="F18" s="230" t="s">
        <v>34</v>
      </c>
      <c r="G18" s="230" t="s">
        <v>1354</v>
      </c>
      <c r="H18" s="230" t="s">
        <v>736</v>
      </c>
      <c r="I18" s="230" t="s">
        <v>1398</v>
      </c>
      <c r="J18" s="231">
        <v>950</v>
      </c>
      <c r="K18" s="230" t="s">
        <v>600</v>
      </c>
      <c r="L18" s="231">
        <v>11400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1399</v>
      </c>
      <c r="B19" s="230" t="s">
        <v>1400</v>
      </c>
      <c r="C19" s="230" t="s">
        <v>502</v>
      </c>
      <c r="D19" s="230" t="s">
        <v>1359</v>
      </c>
      <c r="E19" s="230" t="s">
        <v>495</v>
      </c>
      <c r="F19" s="230" t="s">
        <v>34</v>
      </c>
      <c r="G19" s="230" t="s">
        <v>1354</v>
      </c>
      <c r="H19" s="230" t="s">
        <v>736</v>
      </c>
      <c r="I19" s="230" t="s">
        <v>527</v>
      </c>
      <c r="J19" s="231">
        <v>950</v>
      </c>
      <c r="K19" s="230" t="s">
        <v>600</v>
      </c>
      <c r="L19" s="231">
        <v>11400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631</v>
      </c>
      <c r="B20" s="230" t="s">
        <v>1401</v>
      </c>
      <c r="C20" s="230" t="s">
        <v>502</v>
      </c>
      <c r="D20" s="230" t="s">
        <v>1359</v>
      </c>
      <c r="E20" s="230" t="s">
        <v>495</v>
      </c>
      <c r="F20" s="230" t="s">
        <v>34</v>
      </c>
      <c r="G20" s="230" t="s">
        <v>1354</v>
      </c>
      <c r="H20" s="230" t="s">
        <v>736</v>
      </c>
      <c r="I20" s="230" t="s">
        <v>1402</v>
      </c>
      <c r="J20" s="231">
        <v>950</v>
      </c>
      <c r="K20" s="230" t="s">
        <v>600</v>
      </c>
      <c r="L20" s="231">
        <v>11400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653</v>
      </c>
      <c r="B21" s="230" t="s">
        <v>1403</v>
      </c>
      <c r="C21" s="230" t="s">
        <v>510</v>
      </c>
      <c r="D21" s="230" t="s">
        <v>496</v>
      </c>
      <c r="E21" s="230" t="s">
        <v>496</v>
      </c>
      <c r="F21" s="230" t="s">
        <v>35</v>
      </c>
      <c r="G21" s="230" t="s">
        <v>1354</v>
      </c>
      <c r="H21" s="230" t="s">
        <v>736</v>
      </c>
      <c r="I21" s="230" t="s">
        <v>343</v>
      </c>
      <c r="J21" s="230"/>
      <c r="K21" s="230" t="s">
        <v>343</v>
      </c>
      <c r="L21" s="230"/>
      <c r="M21" s="230" t="s">
        <v>509</v>
      </c>
      <c r="N21" s="230" t="s">
        <v>510</v>
      </c>
      <c r="O21" s="230" t="s">
        <v>1404</v>
      </c>
    </row>
    <row r="22" spans="1:15">
      <c r="A22" s="230" t="s">
        <v>1405</v>
      </c>
      <c r="B22" s="230" t="s">
        <v>1406</v>
      </c>
      <c r="C22" s="230" t="s">
        <v>502</v>
      </c>
      <c r="D22" s="230" t="s">
        <v>1359</v>
      </c>
      <c r="E22" s="230" t="s">
        <v>495</v>
      </c>
      <c r="F22" s="230" t="s">
        <v>34</v>
      </c>
      <c r="G22" s="230" t="s">
        <v>1354</v>
      </c>
      <c r="H22" s="230" t="s">
        <v>736</v>
      </c>
      <c r="I22" s="230" t="s">
        <v>1391</v>
      </c>
      <c r="J22" s="231">
        <v>950</v>
      </c>
      <c r="K22" s="230" t="s">
        <v>600</v>
      </c>
      <c r="L22" s="231">
        <v>11400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1407</v>
      </c>
      <c r="B23" s="230" t="s">
        <v>1408</v>
      </c>
      <c r="C23" s="230" t="s">
        <v>502</v>
      </c>
      <c r="D23" s="230" t="s">
        <v>1353</v>
      </c>
      <c r="E23" s="230" t="s">
        <v>1525</v>
      </c>
      <c r="F23" s="230" t="s">
        <v>34</v>
      </c>
      <c r="G23" s="230" t="s">
        <v>1354</v>
      </c>
      <c r="H23" s="230" t="s">
        <v>736</v>
      </c>
      <c r="I23" s="230" t="s">
        <v>1355</v>
      </c>
      <c r="J23" s="231">
        <v>1100</v>
      </c>
      <c r="K23" s="230" t="s">
        <v>600</v>
      </c>
      <c r="L23" s="231">
        <v>13200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629</v>
      </c>
      <c r="B24" s="230" t="s">
        <v>1408</v>
      </c>
      <c r="C24" s="230" t="s">
        <v>502</v>
      </c>
      <c r="D24" s="230" t="s">
        <v>1359</v>
      </c>
      <c r="E24" s="230" t="s">
        <v>495</v>
      </c>
      <c r="F24" s="230" t="s">
        <v>34</v>
      </c>
      <c r="G24" s="230" t="s">
        <v>1354</v>
      </c>
      <c r="H24" s="230" t="s">
        <v>736</v>
      </c>
      <c r="I24" s="230" t="s">
        <v>555</v>
      </c>
      <c r="J24" s="231">
        <v>950</v>
      </c>
      <c r="K24" s="230" t="s">
        <v>600</v>
      </c>
      <c r="L24" s="231">
        <v>11400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1363</v>
      </c>
      <c r="B25" s="230" t="s">
        <v>1409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1354</v>
      </c>
      <c r="H25" s="230" t="s">
        <v>736</v>
      </c>
      <c r="I25" s="230" t="s">
        <v>538</v>
      </c>
      <c r="J25" s="231">
        <v>1800</v>
      </c>
      <c r="K25" s="230" t="s">
        <v>600</v>
      </c>
      <c r="L25" s="231">
        <v>21600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720</v>
      </c>
      <c r="B26" s="230" t="s">
        <v>1410</v>
      </c>
      <c r="C26" s="230" t="s">
        <v>502</v>
      </c>
      <c r="D26" s="230" t="s">
        <v>1411</v>
      </c>
      <c r="E26" s="230" t="s">
        <v>1527</v>
      </c>
      <c r="F26" s="230" t="s">
        <v>37</v>
      </c>
      <c r="G26" s="230" t="s">
        <v>1354</v>
      </c>
      <c r="H26" s="230" t="s">
        <v>736</v>
      </c>
      <c r="I26" s="230" t="s">
        <v>1395</v>
      </c>
      <c r="J26" s="231">
        <v>950</v>
      </c>
      <c r="K26" s="230" t="s">
        <v>600</v>
      </c>
      <c r="L26" s="231">
        <v>11400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538</v>
      </c>
      <c r="B27" s="230" t="s">
        <v>1412</v>
      </c>
      <c r="C27" s="230" t="s">
        <v>502</v>
      </c>
      <c r="D27" s="230" t="s">
        <v>1374</v>
      </c>
      <c r="E27" s="230" t="s">
        <v>1374</v>
      </c>
      <c r="F27" s="230" t="s">
        <v>63</v>
      </c>
      <c r="G27" s="230" t="s">
        <v>1375</v>
      </c>
      <c r="H27" s="230" t="s">
        <v>1376</v>
      </c>
      <c r="I27" s="230" t="s">
        <v>1377</v>
      </c>
      <c r="J27" s="231">
        <v>120000</v>
      </c>
      <c r="K27" s="230" t="s">
        <v>1378</v>
      </c>
      <c r="L27" s="231">
        <v>120000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1389</v>
      </c>
      <c r="B28" s="230" t="s">
        <v>1412</v>
      </c>
      <c r="C28" s="230" t="s">
        <v>502</v>
      </c>
      <c r="D28" s="230" t="s">
        <v>1374</v>
      </c>
      <c r="E28" s="230" t="s">
        <v>1374</v>
      </c>
      <c r="F28" s="230" t="s">
        <v>63</v>
      </c>
      <c r="G28" s="230" t="s">
        <v>1375</v>
      </c>
      <c r="H28" s="230" t="s">
        <v>1376</v>
      </c>
      <c r="I28" s="230" t="s">
        <v>1377</v>
      </c>
      <c r="J28" s="231">
        <v>120000</v>
      </c>
      <c r="K28" s="230" t="s">
        <v>1378</v>
      </c>
      <c r="L28" s="231">
        <v>120000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1413</v>
      </c>
      <c r="B29" s="230" t="s">
        <v>1414</v>
      </c>
      <c r="C29" s="230" t="s">
        <v>510</v>
      </c>
      <c r="D29" s="230" t="s">
        <v>496</v>
      </c>
      <c r="E29" s="230" t="s">
        <v>496</v>
      </c>
      <c r="F29" s="230" t="s">
        <v>35</v>
      </c>
      <c r="G29" s="230" t="s">
        <v>1354</v>
      </c>
      <c r="H29" s="230" t="s">
        <v>736</v>
      </c>
      <c r="I29" s="230" t="s">
        <v>343</v>
      </c>
      <c r="J29" s="230"/>
      <c r="K29" s="230" t="s">
        <v>343</v>
      </c>
      <c r="L29" s="230"/>
      <c r="M29" s="230" t="s">
        <v>509</v>
      </c>
      <c r="N29" s="230" t="s">
        <v>510</v>
      </c>
      <c r="O29" s="230" t="s">
        <v>1415</v>
      </c>
    </row>
    <row r="30" spans="1:15">
      <c r="A30" s="230" t="s">
        <v>1416</v>
      </c>
      <c r="B30" s="230" t="s">
        <v>1417</v>
      </c>
      <c r="C30" s="230" t="s">
        <v>502</v>
      </c>
      <c r="D30" s="230" t="s">
        <v>1418</v>
      </c>
      <c r="E30" s="230" t="s">
        <v>1525</v>
      </c>
      <c r="F30" s="14" t="s">
        <v>32</v>
      </c>
      <c r="G30" s="230" t="s">
        <v>1354</v>
      </c>
      <c r="H30" s="230" t="s">
        <v>736</v>
      </c>
      <c r="I30" s="230" t="s">
        <v>1355</v>
      </c>
      <c r="J30" s="231">
        <v>850</v>
      </c>
      <c r="K30" s="230" t="s">
        <v>600</v>
      </c>
      <c r="L30" s="231">
        <v>10200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1417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1354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607</v>
      </c>
      <c r="B32" s="230" t="s">
        <v>1419</v>
      </c>
      <c r="C32" s="230" t="s">
        <v>502</v>
      </c>
      <c r="D32" s="230" t="s">
        <v>1420</v>
      </c>
      <c r="E32" s="230" t="s">
        <v>495</v>
      </c>
      <c r="F32" s="230" t="s">
        <v>34</v>
      </c>
      <c r="G32" s="230" t="s">
        <v>1354</v>
      </c>
      <c r="H32" s="230" t="s">
        <v>736</v>
      </c>
      <c r="I32" s="230" t="s">
        <v>541</v>
      </c>
      <c r="J32" s="231">
        <v>1200</v>
      </c>
      <c r="K32" s="230" t="s">
        <v>600</v>
      </c>
      <c r="L32" s="231">
        <v>14400</v>
      </c>
      <c r="M32" s="230" t="s">
        <v>509</v>
      </c>
      <c r="N32" s="230" t="s">
        <v>509</v>
      </c>
      <c r="O32" s="230" t="s">
        <v>1421</v>
      </c>
    </row>
    <row r="33" spans="1:15">
      <c r="A33" s="230" t="s">
        <v>1355</v>
      </c>
      <c r="B33" s="230" t="s">
        <v>1422</v>
      </c>
      <c r="C33" s="230" t="s">
        <v>502</v>
      </c>
      <c r="D33" s="230" t="s">
        <v>1423</v>
      </c>
      <c r="E33" s="230" t="s">
        <v>1525</v>
      </c>
      <c r="F33" s="14" t="s">
        <v>32</v>
      </c>
      <c r="G33" s="230" t="s">
        <v>1354</v>
      </c>
      <c r="H33" s="230" t="s">
        <v>736</v>
      </c>
      <c r="I33" s="230" t="s">
        <v>1372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1424</v>
      </c>
      <c r="B34" s="230" t="s">
        <v>1425</v>
      </c>
      <c r="C34" s="230" t="s">
        <v>502</v>
      </c>
      <c r="D34" s="230" t="s">
        <v>1426</v>
      </c>
      <c r="E34" s="230" t="s">
        <v>81</v>
      </c>
      <c r="F34" s="230" t="s">
        <v>278</v>
      </c>
      <c r="G34" s="230" t="s">
        <v>1427</v>
      </c>
      <c r="H34" s="230" t="s">
        <v>736</v>
      </c>
      <c r="I34" s="230" t="s">
        <v>1377</v>
      </c>
      <c r="J34" s="231">
        <v>2350</v>
      </c>
      <c r="K34" s="230" t="s">
        <v>600</v>
      </c>
      <c r="L34" s="231">
        <v>28200</v>
      </c>
      <c r="M34" s="230" t="s">
        <v>509</v>
      </c>
      <c r="N34" s="230" t="s">
        <v>509</v>
      </c>
      <c r="O34" s="230" t="s">
        <v>343</v>
      </c>
    </row>
    <row r="35" spans="1:15">
      <c r="A35" s="230" t="s">
        <v>771</v>
      </c>
      <c r="B35" s="230" t="s">
        <v>1425</v>
      </c>
      <c r="C35" s="230" t="s">
        <v>502</v>
      </c>
      <c r="D35" s="230" t="s">
        <v>1359</v>
      </c>
      <c r="E35" s="230" t="s">
        <v>495</v>
      </c>
      <c r="F35" s="230" t="s">
        <v>34</v>
      </c>
      <c r="G35" s="230" t="s">
        <v>1354</v>
      </c>
      <c r="H35" s="230" t="s">
        <v>736</v>
      </c>
      <c r="I35" s="230" t="s">
        <v>686</v>
      </c>
      <c r="J35" s="231">
        <v>950</v>
      </c>
      <c r="K35" s="230" t="s">
        <v>600</v>
      </c>
      <c r="L35" s="231">
        <v>11400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528</v>
      </c>
      <c r="B36" s="230" t="s">
        <v>1425</v>
      </c>
      <c r="C36" s="230" t="s">
        <v>502</v>
      </c>
      <c r="D36" s="230" t="s">
        <v>1380</v>
      </c>
      <c r="E36" s="230" t="s">
        <v>498</v>
      </c>
      <c r="F36" s="230" t="s">
        <v>63</v>
      </c>
      <c r="G36" s="230" t="s">
        <v>1354</v>
      </c>
      <c r="H36" s="230" t="s">
        <v>736</v>
      </c>
      <c r="I36" s="230" t="s">
        <v>1381</v>
      </c>
      <c r="J36" s="231">
        <v>850</v>
      </c>
      <c r="K36" s="230" t="s">
        <v>600</v>
      </c>
      <c r="L36" s="231">
        <v>10200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1428</v>
      </c>
      <c r="B37" s="230" t="s">
        <v>1429</v>
      </c>
      <c r="C37" s="230" t="s">
        <v>502</v>
      </c>
      <c r="D37" s="230" t="s">
        <v>1359</v>
      </c>
      <c r="E37" s="230" t="s">
        <v>495</v>
      </c>
      <c r="F37" s="230" t="s">
        <v>34</v>
      </c>
      <c r="G37" s="230" t="s">
        <v>1354</v>
      </c>
      <c r="H37" s="230" t="s">
        <v>736</v>
      </c>
      <c r="I37" s="230" t="s">
        <v>1402</v>
      </c>
      <c r="J37" s="231">
        <v>950</v>
      </c>
      <c r="K37" s="230" t="s">
        <v>600</v>
      </c>
      <c r="L37" s="231">
        <v>11400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645</v>
      </c>
      <c r="B38" s="230" t="s">
        <v>1430</v>
      </c>
      <c r="C38" s="230" t="s">
        <v>502</v>
      </c>
      <c r="D38" s="230" t="s">
        <v>1359</v>
      </c>
      <c r="E38" s="230" t="s">
        <v>495</v>
      </c>
      <c r="F38" s="230" t="s">
        <v>34</v>
      </c>
      <c r="G38" s="230" t="s">
        <v>1354</v>
      </c>
      <c r="H38" s="230" t="s">
        <v>736</v>
      </c>
      <c r="I38" s="230" t="s">
        <v>541</v>
      </c>
      <c r="J38" s="231">
        <v>950</v>
      </c>
      <c r="K38" s="230" t="s">
        <v>600</v>
      </c>
      <c r="L38" s="231">
        <v>11400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686</v>
      </c>
      <c r="B39" s="230" t="s">
        <v>1431</v>
      </c>
      <c r="C39" s="230" t="s">
        <v>502</v>
      </c>
      <c r="D39" s="230" t="s">
        <v>496</v>
      </c>
      <c r="E39" s="230" t="s">
        <v>496</v>
      </c>
      <c r="F39" s="230" t="s">
        <v>35</v>
      </c>
      <c r="G39" s="230" t="s">
        <v>1354</v>
      </c>
      <c r="H39" s="230" t="s">
        <v>736</v>
      </c>
      <c r="I39" s="230" t="s">
        <v>1372</v>
      </c>
      <c r="J39" s="231">
        <v>1800</v>
      </c>
      <c r="K39" s="230" t="s">
        <v>600</v>
      </c>
      <c r="L39" s="231">
        <v>21600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561</v>
      </c>
      <c r="B40" s="230" t="s">
        <v>1431</v>
      </c>
      <c r="C40" s="230" t="s">
        <v>502</v>
      </c>
      <c r="D40" s="230" t="s">
        <v>1359</v>
      </c>
      <c r="E40" s="230" t="s">
        <v>495</v>
      </c>
      <c r="F40" s="230" t="s">
        <v>34</v>
      </c>
      <c r="G40" s="230" t="s">
        <v>1354</v>
      </c>
      <c r="H40" s="230" t="s">
        <v>736</v>
      </c>
      <c r="I40" s="230" t="s">
        <v>562</v>
      </c>
      <c r="J40" s="231">
        <v>950</v>
      </c>
      <c r="K40" s="230" t="s">
        <v>600</v>
      </c>
      <c r="L40" s="231">
        <v>11400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656</v>
      </c>
      <c r="B41" s="230" t="s">
        <v>1433</v>
      </c>
      <c r="C41" s="230" t="s">
        <v>502</v>
      </c>
      <c r="D41" s="230" t="s">
        <v>1411</v>
      </c>
      <c r="E41" s="230" t="s">
        <v>1527</v>
      </c>
      <c r="F41" s="230" t="s">
        <v>37</v>
      </c>
      <c r="G41" s="230" t="s">
        <v>1354</v>
      </c>
      <c r="H41" s="230" t="s">
        <v>736</v>
      </c>
      <c r="I41" s="230" t="s">
        <v>1395</v>
      </c>
      <c r="J41" s="231">
        <v>950</v>
      </c>
      <c r="K41" s="230" t="s">
        <v>600</v>
      </c>
      <c r="L41" s="231">
        <v>11400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1432</v>
      </c>
      <c r="B42" s="230" t="s">
        <v>1433</v>
      </c>
      <c r="C42" s="230" t="s">
        <v>502</v>
      </c>
      <c r="D42" s="230" t="s">
        <v>1359</v>
      </c>
      <c r="E42" s="230" t="s">
        <v>495</v>
      </c>
      <c r="F42" s="230" t="s">
        <v>34</v>
      </c>
      <c r="G42" s="230" t="s">
        <v>1354</v>
      </c>
      <c r="H42" s="230" t="s">
        <v>736</v>
      </c>
      <c r="I42" s="230" t="s">
        <v>1369</v>
      </c>
      <c r="J42" s="231">
        <v>950</v>
      </c>
      <c r="K42" s="230" t="s">
        <v>600</v>
      </c>
      <c r="L42" s="231">
        <v>11400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1398</v>
      </c>
      <c r="B43" s="230" t="s">
        <v>1434</v>
      </c>
      <c r="C43" s="230" t="s">
        <v>502</v>
      </c>
      <c r="D43" s="230" t="s">
        <v>1359</v>
      </c>
      <c r="E43" s="230" t="s">
        <v>495</v>
      </c>
      <c r="F43" s="230" t="s">
        <v>34</v>
      </c>
      <c r="G43" s="230" t="s">
        <v>1354</v>
      </c>
      <c r="H43" s="230" t="s">
        <v>736</v>
      </c>
      <c r="I43" s="230" t="s">
        <v>1435</v>
      </c>
      <c r="J43" s="231">
        <v>950</v>
      </c>
      <c r="K43" s="230" t="s">
        <v>600</v>
      </c>
      <c r="L43" s="231">
        <v>11400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515</v>
      </c>
      <c r="B44" s="230" t="s">
        <v>1436</v>
      </c>
      <c r="C44" s="230" t="s">
        <v>502</v>
      </c>
      <c r="D44" s="230" t="s">
        <v>1374</v>
      </c>
      <c r="E44" s="230" t="s">
        <v>1374</v>
      </c>
      <c r="F44" s="230" t="s">
        <v>63</v>
      </c>
      <c r="G44" s="230" t="s">
        <v>1375</v>
      </c>
      <c r="H44" s="230" t="s">
        <v>1376</v>
      </c>
      <c r="I44" s="230" t="s">
        <v>1377</v>
      </c>
      <c r="J44" s="231">
        <v>115000</v>
      </c>
      <c r="K44" s="230" t="s">
        <v>1378</v>
      </c>
      <c r="L44" s="231">
        <v>115000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1439</v>
      </c>
      <c r="B45" s="230" t="s">
        <v>1437</v>
      </c>
      <c r="C45" s="230" t="s">
        <v>502</v>
      </c>
      <c r="D45" s="230" t="s">
        <v>1440</v>
      </c>
      <c r="E45" s="230" t="s">
        <v>1527</v>
      </c>
      <c r="F45" s="230" t="s">
        <v>37</v>
      </c>
      <c r="G45" s="230" t="s">
        <v>1354</v>
      </c>
      <c r="H45" s="230" t="s">
        <v>736</v>
      </c>
      <c r="I45" s="230" t="s">
        <v>1377</v>
      </c>
      <c r="J45" s="231">
        <v>925</v>
      </c>
      <c r="K45" s="230" t="s">
        <v>600</v>
      </c>
      <c r="L45" s="231">
        <v>11100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570</v>
      </c>
      <c r="B46" s="230" t="s">
        <v>1437</v>
      </c>
      <c r="C46" s="230" t="s">
        <v>502</v>
      </c>
      <c r="D46" s="230" t="s">
        <v>1420</v>
      </c>
      <c r="E46" s="230" t="s">
        <v>495</v>
      </c>
      <c r="F46" s="230" t="s">
        <v>34</v>
      </c>
      <c r="G46" s="230" t="s">
        <v>1354</v>
      </c>
      <c r="H46" s="230" t="s">
        <v>736</v>
      </c>
      <c r="I46" s="230" t="s">
        <v>551</v>
      </c>
      <c r="J46" s="231">
        <v>1100</v>
      </c>
      <c r="K46" s="230" t="s">
        <v>600</v>
      </c>
      <c r="L46" s="231">
        <v>13200</v>
      </c>
      <c r="M46" s="230" t="s">
        <v>509</v>
      </c>
      <c r="N46" s="230" t="s">
        <v>509</v>
      </c>
      <c r="O46" s="230" t="s">
        <v>1438</v>
      </c>
    </row>
    <row r="47" spans="1:15">
      <c r="A47" s="230" t="s">
        <v>1441</v>
      </c>
      <c r="B47" s="230" t="s">
        <v>1442</v>
      </c>
      <c r="C47" s="230" t="s">
        <v>502</v>
      </c>
      <c r="D47" s="230" t="s">
        <v>1359</v>
      </c>
      <c r="E47" s="230" t="s">
        <v>495</v>
      </c>
      <c r="F47" s="230" t="s">
        <v>34</v>
      </c>
      <c r="G47" s="230" t="s">
        <v>1354</v>
      </c>
      <c r="H47" s="230" t="s">
        <v>736</v>
      </c>
      <c r="I47" s="230" t="s">
        <v>1402</v>
      </c>
      <c r="J47" s="231">
        <v>950</v>
      </c>
      <c r="K47" s="230" t="s">
        <v>600</v>
      </c>
      <c r="L47" s="231">
        <v>11400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548</v>
      </c>
      <c r="B48" s="230" t="s">
        <v>1443</v>
      </c>
      <c r="C48" s="230" t="s">
        <v>502</v>
      </c>
      <c r="D48" s="230" t="s">
        <v>1420</v>
      </c>
      <c r="E48" s="230" t="s">
        <v>495</v>
      </c>
      <c r="F48" s="230" t="s">
        <v>34</v>
      </c>
      <c r="G48" s="230" t="s">
        <v>1354</v>
      </c>
      <c r="H48" s="230" t="s">
        <v>736</v>
      </c>
      <c r="I48" s="230" t="s">
        <v>1369</v>
      </c>
      <c r="J48" s="231">
        <v>1400</v>
      </c>
      <c r="K48" s="230" t="s">
        <v>600</v>
      </c>
      <c r="L48" s="231">
        <v>16800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589</v>
      </c>
      <c r="B49" s="230" t="s">
        <v>1444</v>
      </c>
      <c r="C49" s="230" t="s">
        <v>502</v>
      </c>
      <c r="D49" s="230" t="s">
        <v>1359</v>
      </c>
      <c r="E49" s="230" t="s">
        <v>495</v>
      </c>
      <c r="F49" s="230" t="s">
        <v>34</v>
      </c>
      <c r="G49" s="230" t="s">
        <v>1354</v>
      </c>
      <c r="H49" s="230" t="s">
        <v>736</v>
      </c>
      <c r="I49" s="230" t="s">
        <v>586</v>
      </c>
      <c r="J49" s="231">
        <v>1025</v>
      </c>
      <c r="K49" s="230" t="s">
        <v>600</v>
      </c>
      <c r="L49" s="231">
        <v>12300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1445</v>
      </c>
      <c r="B50" s="230" t="s">
        <v>1446</v>
      </c>
      <c r="C50" s="230" t="s">
        <v>502</v>
      </c>
      <c r="D50" s="230" t="s">
        <v>1359</v>
      </c>
      <c r="E50" s="230" t="s">
        <v>495</v>
      </c>
      <c r="F50" s="230" t="s">
        <v>34</v>
      </c>
      <c r="G50" s="230" t="s">
        <v>1354</v>
      </c>
      <c r="H50" s="230" t="s">
        <v>736</v>
      </c>
      <c r="I50" s="230" t="s">
        <v>1435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1447</v>
      </c>
      <c r="B51" s="230" t="s">
        <v>1448</v>
      </c>
      <c r="C51" s="230" t="s">
        <v>502</v>
      </c>
      <c r="D51" s="230" t="s">
        <v>1359</v>
      </c>
      <c r="E51" s="230" t="s">
        <v>495</v>
      </c>
      <c r="F51" s="230" t="s">
        <v>34</v>
      </c>
      <c r="G51" s="230" t="s">
        <v>1354</v>
      </c>
      <c r="H51" s="230" t="s">
        <v>736</v>
      </c>
      <c r="I51" s="230" t="s">
        <v>686</v>
      </c>
      <c r="J51" s="231">
        <v>1050</v>
      </c>
      <c r="K51" s="230" t="s">
        <v>600</v>
      </c>
      <c r="L51" s="231">
        <v>12600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1449</v>
      </c>
      <c r="B52" s="230" t="s">
        <v>1450</v>
      </c>
      <c r="C52" s="230" t="s">
        <v>502</v>
      </c>
      <c r="D52" s="230" t="s">
        <v>1359</v>
      </c>
      <c r="E52" s="230" t="s">
        <v>495</v>
      </c>
      <c r="F52" s="230" t="s">
        <v>34</v>
      </c>
      <c r="G52" s="230" t="s">
        <v>1354</v>
      </c>
      <c r="H52" s="230" t="s">
        <v>736</v>
      </c>
      <c r="I52" s="230" t="s">
        <v>586</v>
      </c>
      <c r="J52" s="231">
        <v>1000</v>
      </c>
      <c r="K52" s="230" t="s">
        <v>600</v>
      </c>
      <c r="L52" s="231">
        <v>12000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1451</v>
      </c>
      <c r="B53" s="230" t="s">
        <v>1452</v>
      </c>
      <c r="C53" s="230" t="s">
        <v>502</v>
      </c>
      <c r="D53" s="230" t="s">
        <v>1359</v>
      </c>
      <c r="E53" s="230" t="s">
        <v>495</v>
      </c>
      <c r="F53" s="230" t="s">
        <v>34</v>
      </c>
      <c r="G53" s="230" t="s">
        <v>1354</v>
      </c>
      <c r="H53" s="230" t="s">
        <v>736</v>
      </c>
      <c r="I53" s="230" t="s">
        <v>562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1453</v>
      </c>
      <c r="B54" s="230" t="s">
        <v>1454</v>
      </c>
      <c r="C54" s="230" t="s">
        <v>502</v>
      </c>
      <c r="D54" s="230" t="s">
        <v>1359</v>
      </c>
      <c r="E54" s="230" t="s">
        <v>495</v>
      </c>
      <c r="F54" s="230" t="s">
        <v>34</v>
      </c>
      <c r="G54" s="230" t="s">
        <v>1354</v>
      </c>
      <c r="H54" s="230" t="s">
        <v>736</v>
      </c>
      <c r="I54" s="230" t="s">
        <v>551</v>
      </c>
      <c r="J54" s="231">
        <v>950</v>
      </c>
      <c r="K54" s="230" t="s">
        <v>600</v>
      </c>
      <c r="L54" s="231">
        <v>11400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1455</v>
      </c>
      <c r="B55" s="230" t="s">
        <v>1456</v>
      </c>
      <c r="C55" s="230" t="s">
        <v>502</v>
      </c>
      <c r="D55" s="230" t="s">
        <v>1457</v>
      </c>
      <c r="E55" s="230" t="s">
        <v>81</v>
      </c>
      <c r="F55" s="230" t="s">
        <v>278</v>
      </c>
      <c r="G55" s="230" t="s">
        <v>1385</v>
      </c>
      <c r="H55" s="230" t="s">
        <v>736</v>
      </c>
      <c r="I55" s="230" t="s">
        <v>1377</v>
      </c>
      <c r="J55" s="231">
        <v>1500</v>
      </c>
      <c r="K55" s="230" t="s">
        <v>600</v>
      </c>
      <c r="L55" s="231">
        <v>18000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1458</v>
      </c>
      <c r="B56" s="230" t="s">
        <v>1459</v>
      </c>
      <c r="C56" s="230" t="s">
        <v>502</v>
      </c>
      <c r="D56" s="230" t="s">
        <v>1460</v>
      </c>
      <c r="E56" s="230" t="s">
        <v>498</v>
      </c>
      <c r="F56" s="230" t="s">
        <v>63</v>
      </c>
      <c r="G56" s="230" t="s">
        <v>1354</v>
      </c>
      <c r="H56" s="230" t="s">
        <v>736</v>
      </c>
      <c r="I56" s="230" t="s">
        <v>1381</v>
      </c>
      <c r="J56" s="231">
        <v>1950</v>
      </c>
      <c r="K56" s="230" t="s">
        <v>600</v>
      </c>
      <c r="L56" s="231">
        <v>23400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565</v>
      </c>
      <c r="B57" s="230" t="s">
        <v>1461</v>
      </c>
      <c r="C57" s="230" t="s">
        <v>502</v>
      </c>
      <c r="D57" s="230" t="s">
        <v>1359</v>
      </c>
      <c r="E57" s="230" t="s">
        <v>495</v>
      </c>
      <c r="F57" s="230" t="s">
        <v>34</v>
      </c>
      <c r="G57" s="230" t="s">
        <v>1354</v>
      </c>
      <c r="H57" s="230" t="s">
        <v>736</v>
      </c>
      <c r="I57" s="230" t="s">
        <v>562</v>
      </c>
      <c r="J57" s="231">
        <v>975</v>
      </c>
      <c r="K57" s="230" t="s">
        <v>600</v>
      </c>
      <c r="L57" s="231">
        <v>11700</v>
      </c>
      <c r="M57" s="230" t="s">
        <v>509</v>
      </c>
      <c r="N57" s="230" t="s">
        <v>509</v>
      </c>
      <c r="O57" s="230" t="s">
        <v>343</v>
      </c>
    </row>
    <row r="58" spans="1:15">
      <c r="A58" s="230" t="s">
        <v>550</v>
      </c>
      <c r="B58" s="230" t="s">
        <v>1462</v>
      </c>
      <c r="C58" s="230" t="s">
        <v>502</v>
      </c>
      <c r="D58" s="230" t="s">
        <v>1359</v>
      </c>
      <c r="E58" s="230" t="s">
        <v>495</v>
      </c>
      <c r="F58" s="230" t="s">
        <v>34</v>
      </c>
      <c r="G58" s="230" t="s">
        <v>1354</v>
      </c>
      <c r="H58" s="230" t="s">
        <v>736</v>
      </c>
      <c r="I58" s="230" t="s">
        <v>551</v>
      </c>
      <c r="J58" s="231">
        <v>1500</v>
      </c>
      <c r="K58" s="230" t="s">
        <v>600</v>
      </c>
      <c r="L58" s="231">
        <v>18000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1463</v>
      </c>
      <c r="B59" s="230" t="s">
        <v>1464</v>
      </c>
      <c r="C59" s="230" t="s">
        <v>502</v>
      </c>
      <c r="D59" s="230" t="s">
        <v>1465</v>
      </c>
      <c r="E59" s="230" t="s">
        <v>498</v>
      </c>
      <c r="F59" s="230" t="s">
        <v>63</v>
      </c>
      <c r="G59" s="230" t="s">
        <v>1354</v>
      </c>
      <c r="H59" s="230" t="s">
        <v>736</v>
      </c>
      <c r="I59" s="230" t="s">
        <v>1466</v>
      </c>
      <c r="J59" s="231">
        <v>950</v>
      </c>
      <c r="K59" s="230" t="s">
        <v>600</v>
      </c>
      <c r="L59" s="231">
        <v>11400</v>
      </c>
      <c r="M59" s="230" t="s">
        <v>510</v>
      </c>
      <c r="N59" s="230" t="s">
        <v>509</v>
      </c>
      <c r="O59" s="230" t="s">
        <v>1467</v>
      </c>
    </row>
    <row r="60" spans="1:15">
      <c r="A60" s="230" t="s">
        <v>1391</v>
      </c>
      <c r="B60" s="230" t="s">
        <v>1468</v>
      </c>
      <c r="C60" s="230" t="s">
        <v>502</v>
      </c>
      <c r="D60" s="230" t="s">
        <v>496</v>
      </c>
      <c r="E60" s="230" t="s">
        <v>496</v>
      </c>
      <c r="F60" s="230" t="s">
        <v>35</v>
      </c>
      <c r="G60" s="230" t="s">
        <v>1354</v>
      </c>
      <c r="H60" s="230" t="s">
        <v>736</v>
      </c>
      <c r="I60" s="230" t="s">
        <v>538</v>
      </c>
      <c r="J60" s="231">
        <v>1800</v>
      </c>
      <c r="K60" s="230" t="s">
        <v>600</v>
      </c>
      <c r="L60" s="231">
        <v>21600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1435</v>
      </c>
      <c r="B61" s="230" t="s">
        <v>1469</v>
      </c>
      <c r="C61" s="230" t="s">
        <v>502</v>
      </c>
      <c r="D61" s="230" t="s">
        <v>496</v>
      </c>
      <c r="E61" s="230" t="s">
        <v>496</v>
      </c>
      <c r="F61" s="230" t="s">
        <v>35</v>
      </c>
      <c r="G61" s="230" t="s">
        <v>1354</v>
      </c>
      <c r="H61" s="230" t="s">
        <v>736</v>
      </c>
      <c r="I61" s="230" t="s">
        <v>1389</v>
      </c>
      <c r="J61" s="231">
        <v>2000</v>
      </c>
      <c r="K61" s="230" t="s">
        <v>600</v>
      </c>
      <c r="L61" s="231">
        <v>24000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551</v>
      </c>
      <c r="B62" s="230" t="s">
        <v>1470</v>
      </c>
      <c r="C62" s="230" t="s">
        <v>502</v>
      </c>
      <c r="D62" s="230" t="s">
        <v>496</v>
      </c>
      <c r="E62" s="230" t="s">
        <v>496</v>
      </c>
      <c r="F62" s="230" t="s">
        <v>35</v>
      </c>
      <c r="G62" s="230" t="s">
        <v>1354</v>
      </c>
      <c r="H62" s="230" t="s">
        <v>736</v>
      </c>
      <c r="I62" s="230" t="s">
        <v>538</v>
      </c>
      <c r="J62" s="231">
        <v>2000</v>
      </c>
      <c r="K62" s="230" t="s">
        <v>600</v>
      </c>
      <c r="L62" s="231">
        <v>24000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1471</v>
      </c>
      <c r="B63" s="230" t="s">
        <v>1472</v>
      </c>
      <c r="C63" s="230" t="s">
        <v>502</v>
      </c>
      <c r="D63" s="230" t="s">
        <v>1380</v>
      </c>
      <c r="E63" s="230" t="s">
        <v>498</v>
      </c>
      <c r="F63" s="230" t="s">
        <v>63</v>
      </c>
      <c r="G63" s="230" t="s">
        <v>1354</v>
      </c>
      <c r="H63" s="230" t="s">
        <v>736</v>
      </c>
      <c r="I63" s="230" t="s">
        <v>1381</v>
      </c>
      <c r="J63" s="231">
        <v>900</v>
      </c>
      <c r="K63" s="230" t="s">
        <v>600</v>
      </c>
      <c r="L63" s="231">
        <v>10800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562</v>
      </c>
      <c r="B64" s="230" t="s">
        <v>1473</v>
      </c>
      <c r="C64" s="230" t="s">
        <v>502</v>
      </c>
      <c r="D64" s="230" t="s">
        <v>496</v>
      </c>
      <c r="E64" s="230" t="s">
        <v>496</v>
      </c>
      <c r="F64" s="230" t="s">
        <v>35</v>
      </c>
      <c r="G64" s="230" t="s">
        <v>1354</v>
      </c>
      <c r="H64" s="230" t="s">
        <v>736</v>
      </c>
      <c r="I64" s="230" t="s">
        <v>515</v>
      </c>
      <c r="J64" s="231">
        <v>2000</v>
      </c>
      <c r="K64" s="230" t="s">
        <v>600</v>
      </c>
      <c r="L64" s="231">
        <v>24000</v>
      </c>
      <c r="M64" s="230" t="s">
        <v>509</v>
      </c>
      <c r="N64" s="230" t="s">
        <v>509</v>
      </c>
      <c r="O64" s="230" t="s">
        <v>343</v>
      </c>
    </row>
    <row r="65" spans="1:15">
      <c r="A65" s="230" t="s">
        <v>585</v>
      </c>
      <c r="B65" s="230" t="s">
        <v>1474</v>
      </c>
      <c r="C65" s="230" t="s">
        <v>502</v>
      </c>
      <c r="D65" s="230" t="s">
        <v>1420</v>
      </c>
      <c r="E65" s="230" t="s">
        <v>495</v>
      </c>
      <c r="F65" s="230" t="s">
        <v>34</v>
      </c>
      <c r="G65" s="230" t="s">
        <v>1354</v>
      </c>
      <c r="H65" s="230" t="s">
        <v>736</v>
      </c>
      <c r="I65" s="230" t="s">
        <v>586</v>
      </c>
      <c r="J65" s="231">
        <v>1200</v>
      </c>
      <c r="K65" s="230" t="s">
        <v>600</v>
      </c>
      <c r="L65" s="231">
        <v>14400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1475</v>
      </c>
      <c r="B66" s="230" t="s">
        <v>1476</v>
      </c>
      <c r="C66" s="230" t="s">
        <v>502</v>
      </c>
      <c r="D66" s="230" t="s">
        <v>1477</v>
      </c>
      <c r="E66" s="230" t="s">
        <v>498</v>
      </c>
      <c r="F66" s="230" t="s">
        <v>63</v>
      </c>
      <c r="G66" s="230" t="s">
        <v>1354</v>
      </c>
      <c r="H66" s="230" t="s">
        <v>736</v>
      </c>
      <c r="I66" s="230" t="s">
        <v>1466</v>
      </c>
      <c r="J66" s="231">
        <v>1800</v>
      </c>
      <c r="K66" s="230" t="s">
        <v>600</v>
      </c>
      <c r="L66" s="231">
        <v>21600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1478</v>
      </c>
      <c r="B67" s="230" t="s">
        <v>1479</v>
      </c>
      <c r="C67" s="230" t="s">
        <v>502</v>
      </c>
      <c r="D67" s="230" t="s">
        <v>1359</v>
      </c>
      <c r="E67" s="230" t="s">
        <v>495</v>
      </c>
      <c r="F67" s="230" t="s">
        <v>34</v>
      </c>
      <c r="G67" s="230" t="s">
        <v>1354</v>
      </c>
      <c r="H67" s="230" t="s">
        <v>736</v>
      </c>
      <c r="I67" s="230" t="s">
        <v>1435</v>
      </c>
      <c r="J67" s="231">
        <v>1000</v>
      </c>
      <c r="K67" s="230" t="s">
        <v>600</v>
      </c>
      <c r="L67" s="231">
        <v>12000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1480</v>
      </c>
      <c r="B68" s="230" t="s">
        <v>1481</v>
      </c>
      <c r="C68" s="230" t="s">
        <v>502</v>
      </c>
      <c r="D68" s="230" t="s">
        <v>1380</v>
      </c>
      <c r="E68" s="230" t="s">
        <v>498</v>
      </c>
      <c r="F68" s="230" t="s">
        <v>63</v>
      </c>
      <c r="G68" s="230" t="s">
        <v>1354</v>
      </c>
      <c r="H68" s="230" t="s">
        <v>736</v>
      </c>
      <c r="I68" s="230" t="s">
        <v>1381</v>
      </c>
      <c r="J68" s="231">
        <v>900</v>
      </c>
      <c r="K68" s="230" t="s">
        <v>600</v>
      </c>
      <c r="L68" s="231">
        <v>10800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1395</v>
      </c>
      <c r="B69" s="230" t="s">
        <v>1482</v>
      </c>
      <c r="C69" s="230" t="s">
        <v>502</v>
      </c>
      <c r="D69" s="230" t="s">
        <v>1483</v>
      </c>
      <c r="E69" s="230" t="s">
        <v>1526</v>
      </c>
      <c r="F69" s="230" t="s">
        <v>37</v>
      </c>
      <c r="G69" s="230" t="s">
        <v>1354</v>
      </c>
      <c r="H69" s="230" t="s">
        <v>736</v>
      </c>
      <c r="I69" s="230" t="s">
        <v>1377</v>
      </c>
      <c r="J69" s="231">
        <v>2000</v>
      </c>
      <c r="K69" s="230" t="s">
        <v>600</v>
      </c>
      <c r="L69" s="231">
        <v>24000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613</v>
      </c>
      <c r="B70" s="230" t="s">
        <v>1484</v>
      </c>
      <c r="C70" s="230" t="s">
        <v>502</v>
      </c>
      <c r="D70" s="230" t="s">
        <v>1359</v>
      </c>
      <c r="E70" s="230" t="s">
        <v>495</v>
      </c>
      <c r="F70" s="230" t="s">
        <v>34</v>
      </c>
      <c r="G70" s="230" t="s">
        <v>1354</v>
      </c>
      <c r="H70" s="230" t="s">
        <v>736</v>
      </c>
      <c r="I70" s="230" t="s">
        <v>1391</v>
      </c>
      <c r="J70" s="231">
        <v>975</v>
      </c>
      <c r="K70" s="230" t="s">
        <v>600</v>
      </c>
      <c r="L70" s="231">
        <v>11700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1485</v>
      </c>
      <c r="B71" s="230" t="s">
        <v>1486</v>
      </c>
      <c r="C71" s="230" t="s">
        <v>502</v>
      </c>
      <c r="D71" s="230" t="s">
        <v>1420</v>
      </c>
      <c r="E71" s="230" t="s">
        <v>495</v>
      </c>
      <c r="F71" s="230" t="s">
        <v>34</v>
      </c>
      <c r="G71" s="230" t="s">
        <v>1354</v>
      </c>
      <c r="H71" s="230" t="s">
        <v>736</v>
      </c>
      <c r="I71" s="230" t="s">
        <v>541</v>
      </c>
      <c r="J71" s="231">
        <v>1100</v>
      </c>
      <c r="K71" s="230" t="s">
        <v>600</v>
      </c>
      <c r="L71" s="231">
        <v>13200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541</v>
      </c>
      <c r="B72" s="230" t="s">
        <v>1488</v>
      </c>
      <c r="C72" s="230" t="s">
        <v>502</v>
      </c>
      <c r="D72" s="230" t="s">
        <v>496</v>
      </c>
      <c r="E72" s="230" t="s">
        <v>496</v>
      </c>
      <c r="F72" s="230" t="s">
        <v>35</v>
      </c>
      <c r="G72" s="230" t="s">
        <v>1354</v>
      </c>
      <c r="H72" s="230" t="s">
        <v>736</v>
      </c>
      <c r="I72" s="230" t="s">
        <v>1389</v>
      </c>
      <c r="J72" s="231">
        <v>2150</v>
      </c>
      <c r="K72" s="230" t="s">
        <v>600</v>
      </c>
      <c r="L72" s="231">
        <v>25800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1487</v>
      </c>
      <c r="B73" s="230" t="s">
        <v>1488</v>
      </c>
      <c r="C73" s="230" t="s">
        <v>502</v>
      </c>
      <c r="D73" s="230" t="s">
        <v>1359</v>
      </c>
      <c r="E73" s="230" t="s">
        <v>495</v>
      </c>
      <c r="F73" s="230" t="s">
        <v>34</v>
      </c>
      <c r="G73" s="230" t="s">
        <v>1354</v>
      </c>
      <c r="H73" s="230" t="s">
        <v>736</v>
      </c>
      <c r="I73" s="230" t="s">
        <v>555</v>
      </c>
      <c r="J73" s="231">
        <v>1025</v>
      </c>
      <c r="K73" s="230" t="s">
        <v>600</v>
      </c>
      <c r="L73" s="231">
        <v>12300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1386</v>
      </c>
      <c r="B74" s="230" t="s">
        <v>1489</v>
      </c>
      <c r="C74" s="230" t="s">
        <v>502</v>
      </c>
      <c r="D74" s="230" t="s">
        <v>1384</v>
      </c>
      <c r="E74" s="230" t="s">
        <v>1526</v>
      </c>
      <c r="F74" s="230" t="s">
        <v>37</v>
      </c>
      <c r="G74" s="230" t="s">
        <v>1385</v>
      </c>
      <c r="H74" s="230" t="s">
        <v>736</v>
      </c>
      <c r="I74" s="230" t="s">
        <v>1377</v>
      </c>
      <c r="J74" s="231">
        <v>1800</v>
      </c>
      <c r="K74" s="230" t="s">
        <v>600</v>
      </c>
      <c r="L74" s="231">
        <v>21600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774</v>
      </c>
      <c r="B75" s="230" t="s">
        <v>1489</v>
      </c>
      <c r="C75" s="230" t="s">
        <v>502</v>
      </c>
      <c r="D75" s="230" t="s">
        <v>1490</v>
      </c>
      <c r="E75" s="230" t="s">
        <v>496</v>
      </c>
      <c r="F75" s="230" t="s">
        <v>38</v>
      </c>
      <c r="G75" s="230" t="s">
        <v>1354</v>
      </c>
      <c r="H75" s="230" t="s">
        <v>736</v>
      </c>
      <c r="I75" s="230" t="s">
        <v>538</v>
      </c>
      <c r="J75" s="231">
        <v>2300</v>
      </c>
      <c r="K75" s="230" t="s">
        <v>600</v>
      </c>
      <c r="L75" s="231">
        <v>27600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1402</v>
      </c>
      <c r="B76" s="230" t="s">
        <v>1491</v>
      </c>
      <c r="C76" s="230" t="s">
        <v>502</v>
      </c>
      <c r="D76" s="230" t="s">
        <v>496</v>
      </c>
      <c r="E76" s="230" t="s">
        <v>496</v>
      </c>
      <c r="F76" s="230" t="s">
        <v>35</v>
      </c>
      <c r="G76" s="230" t="s">
        <v>1354</v>
      </c>
      <c r="H76" s="230" t="s">
        <v>736</v>
      </c>
      <c r="I76" s="230" t="s">
        <v>515</v>
      </c>
      <c r="J76" s="231">
        <v>1800</v>
      </c>
      <c r="K76" s="230" t="s">
        <v>600</v>
      </c>
      <c r="L76" s="231">
        <v>21600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882</v>
      </c>
      <c r="B77" s="230" t="s">
        <v>1492</v>
      </c>
      <c r="C77" s="230" t="s">
        <v>502</v>
      </c>
      <c r="D77" s="230" t="s">
        <v>1490</v>
      </c>
      <c r="E77" s="230" t="s">
        <v>496</v>
      </c>
      <c r="F77" s="230" t="s">
        <v>38</v>
      </c>
      <c r="G77" s="230" t="s">
        <v>1354</v>
      </c>
      <c r="H77" s="230" t="s">
        <v>736</v>
      </c>
      <c r="I77" s="230" t="s">
        <v>515</v>
      </c>
      <c r="J77" s="231">
        <v>2300</v>
      </c>
      <c r="K77" s="230" t="s">
        <v>600</v>
      </c>
      <c r="L77" s="231">
        <v>27600</v>
      </c>
      <c r="M77" s="230" t="s">
        <v>509</v>
      </c>
      <c r="N77" s="230" t="s">
        <v>509</v>
      </c>
      <c r="O77" s="230" t="s">
        <v>343</v>
      </c>
    </row>
    <row r="78" spans="1:15">
      <c r="A78" s="230" t="s">
        <v>1493</v>
      </c>
      <c r="B78" s="230" t="s">
        <v>1494</v>
      </c>
      <c r="C78" s="230" t="s">
        <v>502</v>
      </c>
      <c r="D78" s="230" t="s">
        <v>1495</v>
      </c>
      <c r="E78" s="230" t="s">
        <v>498</v>
      </c>
      <c r="F78" s="230" t="s">
        <v>63</v>
      </c>
      <c r="G78" s="230" t="s">
        <v>1354</v>
      </c>
      <c r="H78" s="230" t="s">
        <v>736</v>
      </c>
      <c r="I78" s="230" t="s">
        <v>1381</v>
      </c>
      <c r="J78" s="231">
        <v>1000</v>
      </c>
      <c r="K78" s="230" t="s">
        <v>600</v>
      </c>
      <c r="L78" s="231">
        <v>12000</v>
      </c>
      <c r="M78" s="230" t="s">
        <v>509</v>
      </c>
      <c r="N78" s="230" t="s">
        <v>509</v>
      </c>
      <c r="O78" s="230" t="s">
        <v>343</v>
      </c>
    </row>
    <row r="79" spans="1:15">
      <c r="A79" s="230" t="s">
        <v>721</v>
      </c>
      <c r="B79" s="230" t="s">
        <v>1497</v>
      </c>
      <c r="C79" s="230" t="s">
        <v>502</v>
      </c>
      <c r="D79" s="230" t="s">
        <v>1440</v>
      </c>
      <c r="E79" s="230" t="s">
        <v>1527</v>
      </c>
      <c r="F79" s="230" t="s">
        <v>37</v>
      </c>
      <c r="G79" s="230" t="s">
        <v>1354</v>
      </c>
      <c r="H79" s="230" t="s">
        <v>736</v>
      </c>
      <c r="I79" s="230" t="s">
        <v>1377</v>
      </c>
      <c r="J79" s="231">
        <v>950</v>
      </c>
      <c r="K79" s="230" t="s">
        <v>600</v>
      </c>
      <c r="L79" s="231">
        <v>11400</v>
      </c>
      <c r="M79" s="230" t="s">
        <v>509</v>
      </c>
      <c r="N79" s="230" t="s">
        <v>509</v>
      </c>
      <c r="O79" s="230" t="s">
        <v>343</v>
      </c>
    </row>
    <row r="80" spans="1:15">
      <c r="A80" s="230" t="s">
        <v>1496</v>
      </c>
      <c r="B80" s="230" t="s">
        <v>1497</v>
      </c>
      <c r="C80" s="230" t="s">
        <v>502</v>
      </c>
      <c r="D80" s="230" t="s">
        <v>1490</v>
      </c>
      <c r="E80" s="230" t="s">
        <v>496</v>
      </c>
      <c r="F80" s="230" t="s">
        <v>38</v>
      </c>
      <c r="G80" s="230" t="s">
        <v>1354</v>
      </c>
      <c r="H80" s="230" t="s">
        <v>736</v>
      </c>
      <c r="I80" s="230" t="s">
        <v>1389</v>
      </c>
      <c r="J80" s="231">
        <v>2500</v>
      </c>
      <c r="K80" s="230" t="s">
        <v>600</v>
      </c>
      <c r="L80" s="231">
        <v>30000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1498</v>
      </c>
      <c r="B81" s="230" t="s">
        <v>1499</v>
      </c>
      <c r="C81" s="230" t="s">
        <v>502</v>
      </c>
      <c r="D81" s="230" t="s">
        <v>1359</v>
      </c>
      <c r="E81" s="230" t="s">
        <v>495</v>
      </c>
      <c r="F81" s="230" t="s">
        <v>34</v>
      </c>
      <c r="G81" s="230" t="s">
        <v>1354</v>
      </c>
      <c r="H81" s="230" t="s">
        <v>736</v>
      </c>
      <c r="I81" s="230" t="s">
        <v>1377</v>
      </c>
      <c r="J81" s="231">
        <v>1125</v>
      </c>
      <c r="K81" s="230" t="s">
        <v>600</v>
      </c>
      <c r="L81" s="231">
        <v>13500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558</v>
      </c>
      <c r="B82" s="230" t="s">
        <v>1500</v>
      </c>
      <c r="C82" s="230" t="s">
        <v>502</v>
      </c>
      <c r="D82" s="230" t="s">
        <v>1359</v>
      </c>
      <c r="E82" s="230" t="s">
        <v>495</v>
      </c>
      <c r="F82" s="230" t="s">
        <v>34</v>
      </c>
      <c r="G82" s="230" t="s">
        <v>1354</v>
      </c>
      <c r="H82" s="230" t="s">
        <v>736</v>
      </c>
      <c r="I82" s="230" t="s">
        <v>541</v>
      </c>
      <c r="J82" s="231">
        <v>1100</v>
      </c>
      <c r="K82" s="230" t="s">
        <v>600</v>
      </c>
      <c r="L82" s="231">
        <v>13200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710</v>
      </c>
      <c r="B83" s="230" t="s">
        <v>1500</v>
      </c>
      <c r="C83" s="230" t="s">
        <v>502</v>
      </c>
      <c r="D83" s="230" t="s">
        <v>1420</v>
      </c>
      <c r="E83" s="230" t="s">
        <v>495</v>
      </c>
      <c r="F83" s="230" t="s">
        <v>34</v>
      </c>
      <c r="G83" s="230" t="s">
        <v>1354</v>
      </c>
      <c r="H83" s="230" t="s">
        <v>736</v>
      </c>
      <c r="I83" s="230" t="s">
        <v>686</v>
      </c>
      <c r="J83" s="231">
        <v>1250</v>
      </c>
      <c r="K83" s="230" t="s">
        <v>600</v>
      </c>
      <c r="L83" s="231">
        <v>15000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1501</v>
      </c>
      <c r="B84" s="230" t="s">
        <v>1502</v>
      </c>
      <c r="C84" s="230" t="s">
        <v>502</v>
      </c>
      <c r="D84" s="230" t="s">
        <v>1483</v>
      </c>
      <c r="E84" s="230" t="s">
        <v>1526</v>
      </c>
      <c r="F84" s="230" t="s">
        <v>37</v>
      </c>
      <c r="G84" s="230" t="s">
        <v>1354</v>
      </c>
      <c r="H84" s="230" t="s">
        <v>736</v>
      </c>
      <c r="I84" s="230" t="s">
        <v>1377</v>
      </c>
      <c r="J84" s="231">
        <v>2100</v>
      </c>
      <c r="K84" s="230" t="s">
        <v>600</v>
      </c>
      <c r="L84" s="231">
        <v>25200</v>
      </c>
      <c r="M84" s="230" t="s">
        <v>509</v>
      </c>
      <c r="N84" s="230" t="s">
        <v>509</v>
      </c>
      <c r="O84" s="230" t="s">
        <v>343</v>
      </c>
    </row>
    <row r="85" spans="1:15">
      <c r="A85" s="230" t="s">
        <v>1466</v>
      </c>
      <c r="B85" s="230" t="s">
        <v>1503</v>
      </c>
      <c r="C85" s="230" t="s">
        <v>502</v>
      </c>
      <c r="D85" s="230" t="s">
        <v>1504</v>
      </c>
      <c r="E85" s="230" t="s">
        <v>1524</v>
      </c>
      <c r="F85" s="230" t="s">
        <v>63</v>
      </c>
      <c r="G85" s="230" t="s">
        <v>1354</v>
      </c>
      <c r="H85" s="230" t="s">
        <v>736</v>
      </c>
      <c r="I85" s="230" t="s">
        <v>1377</v>
      </c>
      <c r="J85" s="231">
        <v>2450</v>
      </c>
      <c r="K85" s="230" t="s">
        <v>600</v>
      </c>
      <c r="L85" s="231">
        <v>29400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586</v>
      </c>
      <c r="B86" s="230" t="s">
        <v>1505</v>
      </c>
      <c r="C86" s="230" t="s">
        <v>502</v>
      </c>
      <c r="D86" s="230" t="s">
        <v>496</v>
      </c>
      <c r="E86" s="230" t="s">
        <v>496</v>
      </c>
      <c r="F86" s="230" t="s">
        <v>35</v>
      </c>
      <c r="G86" s="230" t="s">
        <v>1354</v>
      </c>
      <c r="H86" s="230" t="s">
        <v>736</v>
      </c>
      <c r="I86" s="230" t="s">
        <v>515</v>
      </c>
      <c r="J86" s="231">
        <v>1925</v>
      </c>
      <c r="K86" s="230" t="s">
        <v>600</v>
      </c>
      <c r="L86" s="231">
        <v>23100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526</v>
      </c>
      <c r="B87" s="230" t="s">
        <v>1505</v>
      </c>
      <c r="C87" s="230" t="s">
        <v>502</v>
      </c>
      <c r="D87" s="230" t="s">
        <v>1420</v>
      </c>
      <c r="E87" s="230" t="s">
        <v>495</v>
      </c>
      <c r="F87" s="230" t="s">
        <v>34</v>
      </c>
      <c r="G87" s="230" t="s">
        <v>1354</v>
      </c>
      <c r="H87" s="230" t="s">
        <v>736</v>
      </c>
      <c r="I87" s="230" t="s">
        <v>527</v>
      </c>
      <c r="J87" s="231">
        <v>1200</v>
      </c>
      <c r="K87" s="230" t="s">
        <v>600</v>
      </c>
      <c r="L87" s="231">
        <v>14400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1369</v>
      </c>
      <c r="B88" s="230" t="s">
        <v>1506</v>
      </c>
      <c r="C88" s="230" t="s">
        <v>502</v>
      </c>
      <c r="D88" s="230" t="s">
        <v>496</v>
      </c>
      <c r="E88" s="230" t="s">
        <v>496</v>
      </c>
      <c r="F88" s="230" t="s">
        <v>35</v>
      </c>
      <c r="G88" s="230" t="s">
        <v>1354</v>
      </c>
      <c r="H88" s="230" t="s">
        <v>736</v>
      </c>
      <c r="I88" s="230" t="s">
        <v>1389</v>
      </c>
      <c r="J88" s="231">
        <v>1925</v>
      </c>
      <c r="K88" s="230" t="s">
        <v>600</v>
      </c>
      <c r="L88" s="231">
        <v>23100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1507</v>
      </c>
      <c r="B89" s="230" t="s">
        <v>1508</v>
      </c>
      <c r="C89" s="230" t="s">
        <v>502</v>
      </c>
      <c r="D89" s="230" t="s">
        <v>1509</v>
      </c>
      <c r="E89" s="230" t="s">
        <v>1524</v>
      </c>
      <c r="F89" s="230" t="s">
        <v>63</v>
      </c>
      <c r="G89" s="230" t="s">
        <v>1354</v>
      </c>
      <c r="H89" s="230" t="s">
        <v>736</v>
      </c>
      <c r="I89" s="230" t="s">
        <v>1377</v>
      </c>
      <c r="J89" s="231">
        <v>3700</v>
      </c>
      <c r="K89" s="230" t="s">
        <v>600</v>
      </c>
      <c r="L89" s="231">
        <v>44400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1381</v>
      </c>
      <c r="B90" s="230" t="s">
        <v>1510</v>
      </c>
      <c r="C90" s="230" t="s">
        <v>502</v>
      </c>
      <c r="D90" s="230" t="s">
        <v>1511</v>
      </c>
      <c r="E90" s="230" t="s">
        <v>1524</v>
      </c>
      <c r="F90" s="230" t="s">
        <v>63</v>
      </c>
      <c r="G90" s="230" t="s">
        <v>1354</v>
      </c>
      <c r="H90" s="230" t="s">
        <v>736</v>
      </c>
      <c r="I90" s="230" t="s">
        <v>1377</v>
      </c>
      <c r="J90" s="231">
        <v>2500</v>
      </c>
      <c r="K90" s="230" t="s">
        <v>600</v>
      </c>
      <c r="L90" s="231">
        <v>30000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1377</v>
      </c>
      <c r="B91" s="230" t="s">
        <v>1512</v>
      </c>
      <c r="C91" s="230" t="s">
        <v>502</v>
      </c>
      <c r="D91" s="230" t="s">
        <v>1513</v>
      </c>
      <c r="E91" s="230" t="s">
        <v>1513</v>
      </c>
      <c r="F91" s="230" t="s">
        <v>80</v>
      </c>
      <c r="G91" s="230" t="s">
        <v>1375</v>
      </c>
      <c r="H91" s="230" t="s">
        <v>1376</v>
      </c>
      <c r="I91" s="230" t="s">
        <v>343</v>
      </c>
      <c r="J91" s="230"/>
      <c r="K91" s="230" t="s">
        <v>343</v>
      </c>
      <c r="L91" s="232">
        <v>200000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1514</v>
      </c>
      <c r="K93" s="147" t="s">
        <v>1519</v>
      </c>
      <c r="L93" s="217">
        <v>1804200</v>
      </c>
      <c r="O93" s="147" t="s">
        <v>1515</v>
      </c>
    </row>
    <row r="94" spans="1:15">
      <c r="K94" s="147" t="s">
        <v>1520</v>
      </c>
      <c r="L94" s="221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78" t="s">
        <v>116</v>
      </c>
    </row>
    <row r="157" spans="3:6">
      <c r="D157" s="278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1336</v>
      </c>
      <c r="C5" s="178" t="s">
        <v>999</v>
      </c>
      <c r="D5" s="178" t="s">
        <v>1333</v>
      </c>
      <c r="E5" s="178" t="s">
        <v>1334</v>
      </c>
      <c r="F5" s="178" t="s">
        <v>1335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40" priority="1">
      <formula>$K$3=1</formula>
    </cfRule>
  </conditionalFormatting>
  <conditionalFormatting sqref="A15:XFD24 A25:B25 D25:XFD25 A26:XFD26">
    <cfRule type="expression" dxfId="39" priority="11">
      <formula>$K$3=1</formula>
    </cfRule>
  </conditionalFormatting>
  <conditionalFormatting sqref="B11:D11">
    <cfRule type="expression" dxfId="38" priority="2">
      <formula>$K$3=1</formula>
    </cfRule>
  </conditionalFormatting>
  <conditionalFormatting sqref="B14:D14">
    <cfRule type="expression" dxfId="37" priority="8">
      <formula>$V$3=1</formula>
    </cfRule>
  </conditionalFormatting>
  <conditionalFormatting sqref="B6:F6">
    <cfRule type="expression" dxfId="36" priority="7">
      <formula>$V$3=1</formula>
    </cfRule>
  </conditionalFormatting>
  <conditionalFormatting sqref="C7:C10">
    <cfRule type="expression" dxfId="35" priority="4">
      <formula>$V$3=1</formula>
    </cfRule>
  </conditionalFormatting>
  <conditionalFormatting sqref="C15 B15:B27 D15:D27 K15:K27 C25:C27 A36:A47 E36:XFD47">
    <cfRule type="expression" dxfId="34" priority="18">
      <formula>$K$3=1</formula>
    </cfRule>
  </conditionalFormatting>
  <conditionalFormatting sqref="C15:C25">
    <cfRule type="expression" dxfId="33" priority="10">
      <formula>$V$3=1</formula>
    </cfRule>
  </conditionalFormatting>
  <conditionalFormatting sqref="C27">
    <cfRule type="expression" dxfId="32" priority="20">
      <formula>$V$3=1</formula>
    </cfRule>
  </conditionalFormatting>
  <conditionalFormatting sqref="C7:D10">
    <cfRule type="expression" dxfId="31" priority="5">
      <formula>$K$3=1</formula>
    </cfRule>
  </conditionalFormatting>
  <conditionalFormatting sqref="C11:D11">
    <cfRule type="expression" dxfId="30" priority="3">
      <formula>$V$3=1</formula>
    </cfRule>
  </conditionalFormatting>
  <conditionalFormatting sqref="K15:K27">
    <cfRule type="expression" dxfId="29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28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7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26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tabSelected="1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0" width="8.85546875" style="175" hidden="1" customWidth="1" outlineLevel="1"/>
    <col min="11" max="11" width="9.28515625" style="175" hidden="1" customWidth="1" outlineLevel="1"/>
    <col min="12" max="12" width="8.85546875" style="175" hidden="1" customWidth="1" outlineLevel="1"/>
    <col min="13" max="13" width="9.28515625" style="175" hidden="1" customWidth="1" outlineLevel="1"/>
    <col min="14" max="14" width="8.85546875" style="175" hidden="1" customWidth="1" outlineLevel="1"/>
    <col min="15" max="15" width="9.28515625" style="175" hidden="1" customWidth="1" outlineLevel="1"/>
    <col min="16" max="17" width="8.85546875" style="175" hidden="1" customWidth="1" outlineLevel="1"/>
    <col min="18" max="18" width="9.28515625" style="175" hidden="1" customWidth="1" outlineLevel="1"/>
    <col min="19" max="19" width="9.85546875" style="175" bestFit="1" customWidth="1" collapsed="1"/>
    <col min="20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1576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1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69" t="s">
        <v>1551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69" t="s">
        <v>1552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69" t="s">
        <v>1553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Departures'!B13</f>
        <v>-20</v>
      </c>
      <c r="D12" s="262">
        <f>-'Client Departures'!B14</f>
        <v>-34</v>
      </c>
      <c r="E12" s="260">
        <f>SUM(J12:U12)</f>
        <v>-59</v>
      </c>
      <c r="F12" s="260">
        <f>SUM(V12:AD12)</f>
        <v>-60</v>
      </c>
      <c r="G12" s="261"/>
      <c r="H12" s="260">
        <f>SUM(S12:AD12)</f>
        <v>-82</v>
      </c>
      <c r="I12" s="261"/>
      <c r="J12" s="262">
        <f>-COUNTIFS('Full Customer List'!$J:$J,J$1)</f>
        <v>-7</v>
      </c>
      <c r="K12" s="262">
        <f>-COUNTIFS('Full Customer List'!$J:$J,K$1)</f>
        <v>-4</v>
      </c>
      <c r="L12" s="262">
        <f>-COUNTIFS('Full Customer List'!$J:$J,L$1)</f>
        <v>-2</v>
      </c>
      <c r="M12" s="262">
        <f>-COUNTIFS('Full Customer List'!$J:$J,M$1)</f>
        <v>-4</v>
      </c>
      <c r="N12" s="262">
        <f>-COUNTIFS('Full Customer List'!$J:$J,N$1)</f>
        <v>-3</v>
      </c>
      <c r="O12" s="262">
        <f>-COUNTIFS('Full Customer List'!$J:$J,O$1)</f>
        <v>-7</v>
      </c>
      <c r="P12" s="262">
        <f>-COUNTIFS('Full Customer List'!$J:$J,P$1)</f>
        <v>-3</v>
      </c>
      <c r="Q12" s="262">
        <f>-COUNTIFS('Full Customer List'!$J:$J,Q$1)</f>
        <v>-2</v>
      </c>
      <c r="R12" s="262">
        <f>-COUNTIFS('Full Customer List'!$J:$J,R$1)</f>
        <v>-5</v>
      </c>
      <c r="S12" s="262">
        <f>-COUNTIFS('Full Customer List'!$J:$J,S$1)</f>
        <v>-1</v>
      </c>
      <c r="T12" s="262">
        <f>-COUNTIFS('Full Customer List'!$J:$J,T$1)</f>
        <v>-9</v>
      </c>
      <c r="U12" s="262">
        <f>-COUNTIFS('Full Customer List'!$J:$J,U$1)</f>
        <v>-12</v>
      </c>
      <c r="V12" s="262">
        <f>-COUNTIFS('Full Customer List'!$J:$J,V$1)</f>
        <v>-4</v>
      </c>
      <c r="W12" s="262">
        <f>-COUNTIFS('Full Customer List'!$J:$J,W$1)</f>
        <v>-2</v>
      </c>
      <c r="X12" s="262">
        <f>-COUNTIFS('Full Customer List'!$J:$J,X$1)</f>
        <v>-7</v>
      </c>
      <c r="Y12" s="262">
        <f>-COUNTIFS('Full Customer List'!$J:$J,Y$1)</f>
        <v>-5</v>
      </c>
      <c r="Z12" s="262">
        <f>-COUNTIFS('Full Customer List'!$J:$J,Z$1)</f>
        <v>-16</v>
      </c>
      <c r="AA12" s="262">
        <f>-COUNTIFS('Full Customer List'!$J:$J,AA$1)</f>
        <v>-4</v>
      </c>
      <c r="AB12" s="262">
        <f>-COUNTIFS('Full Customer List'!$J:$J,AB$1)</f>
        <v>-20</v>
      </c>
      <c r="AC12" s="262">
        <f>-COUNTIFS('Full Customer List'!$J:$J,AC$1)</f>
        <v>-2</v>
      </c>
      <c r="AD12" s="262">
        <f>-COUNTIFS('Full Customer List'!$J:$J,AD$1)</f>
        <v>0</v>
      </c>
    </row>
    <row r="13" spans="2:34" ht="12" customHeight="1">
      <c r="B13" s="263" t="s">
        <v>1323</v>
      </c>
      <c r="C13" s="264">
        <f>+D7</f>
        <v>69</v>
      </c>
      <c r="D13" s="264">
        <f>+E7</f>
        <v>123</v>
      </c>
      <c r="E13" s="264">
        <f>+F7</f>
        <v>166</v>
      </c>
      <c r="F13" s="265">
        <f>+$AD13</f>
        <v>168</v>
      </c>
      <c r="H13" s="268">
        <f>+$AD13</f>
        <v>168</v>
      </c>
      <c r="J13" s="266">
        <f t="shared" ref="J13" si="18">+K7</f>
        <v>125</v>
      </c>
      <c r="K13" s="264">
        <f t="shared" ref="K13" si="19">+L7</f>
        <v>126</v>
      </c>
      <c r="L13" s="264">
        <f t="shared" ref="L13" si="20">+M7</f>
        <v>132</v>
      </c>
      <c r="M13" s="264">
        <f t="shared" ref="M13" si="21">+N7</f>
        <v>137</v>
      </c>
      <c r="N13" s="264">
        <f t="shared" ref="N13" si="22">+O7</f>
        <v>143</v>
      </c>
      <c r="O13" s="264">
        <f t="shared" ref="O13" si="23">+P7</f>
        <v>143</v>
      </c>
      <c r="P13" s="264">
        <f>+Q7</f>
        <v>147</v>
      </c>
      <c r="Q13" s="264">
        <f t="shared" ref="Q13:Y13" si="24">+R7</f>
        <v>153</v>
      </c>
      <c r="R13" s="264">
        <f t="shared" si="24"/>
        <v>156</v>
      </c>
      <c r="S13" s="266">
        <f t="shared" si="24"/>
        <v>169</v>
      </c>
      <c r="T13" s="264">
        <f t="shared" si="24"/>
        <v>167</v>
      </c>
      <c r="U13" s="264">
        <f t="shared" si="24"/>
        <v>166</v>
      </c>
      <c r="V13" s="264">
        <f t="shared" si="24"/>
        <v>173</v>
      </c>
      <c r="W13" s="264">
        <f t="shared" si="24"/>
        <v>182</v>
      </c>
      <c r="X13" s="264">
        <f t="shared" si="24"/>
        <v>181</v>
      </c>
      <c r="Y13" s="264">
        <f t="shared" si="24"/>
        <v>187</v>
      </c>
      <c r="Z13" s="264">
        <f t="shared" ref="Z13" si="25">+AA7</f>
        <v>178</v>
      </c>
      <c r="AA13" s="264">
        <f t="shared" ref="AA13" si="26">+AB7</f>
        <v>178</v>
      </c>
      <c r="AB13" s="264">
        <f t="shared" ref="AB13" si="27">+AC7</f>
        <v>163</v>
      </c>
      <c r="AC13" s="264">
        <f t="shared" ref="AC13" si="28">+AD7</f>
        <v>164</v>
      </c>
      <c r="AD13" s="267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1541</v>
      </c>
      <c r="C15" s="240">
        <f>(C8+C7)/C7-1</f>
        <v>0.45901639344262302</v>
      </c>
      <c r="D15" s="240">
        <f>(D8+D7)/D7-1</f>
        <v>1.2753623188405796</v>
      </c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5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1542</v>
      </c>
      <c r="C16" s="243">
        <f>(C12+C7)/C7-1</f>
        <v>-0.32786885245901642</v>
      </c>
      <c r="D16" s="243">
        <f>(D12+D7)/D7-1</f>
        <v>-0.49275362318840576</v>
      </c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5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102</v>
      </c>
      <c r="F20" s="184">
        <f>+F26-F21-F25</f>
        <v>146</v>
      </c>
      <c r="H20" s="184">
        <f t="shared" ref="H20" si="52">+H26-H21-H25</f>
        <v>140</v>
      </c>
      <c r="J20" s="184">
        <f t="shared" ref="J20:Z20" si="53">+J26-J21-J25</f>
        <v>102</v>
      </c>
      <c r="K20" s="184">
        <f t="shared" si="53"/>
        <v>107</v>
      </c>
      <c r="L20" s="184">
        <f t="shared" si="53"/>
        <v>109</v>
      </c>
      <c r="M20" s="184">
        <f t="shared" si="53"/>
        <v>115</v>
      </c>
      <c r="N20" s="184">
        <f t="shared" si="53"/>
        <v>120</v>
      </c>
      <c r="O20" s="184">
        <f t="shared" si="53"/>
        <v>127</v>
      </c>
      <c r="P20" s="184">
        <f t="shared" si="53"/>
        <v>127</v>
      </c>
      <c r="Q20" s="184">
        <f t="shared" si="53"/>
        <v>132</v>
      </c>
      <c r="R20" s="184">
        <f t="shared" si="53"/>
        <v>137</v>
      </c>
      <c r="S20" s="184">
        <f t="shared" si="53"/>
        <v>140</v>
      </c>
      <c r="T20" s="184">
        <f t="shared" si="53"/>
        <v>145</v>
      </c>
      <c r="U20" s="184">
        <f t="shared" si="53"/>
        <v>144</v>
      </c>
      <c r="V20" s="184">
        <f t="shared" si="53"/>
        <v>146</v>
      </c>
      <c r="W20" s="184">
        <f t="shared" si="53"/>
        <v>153</v>
      </c>
      <c r="X20" s="184">
        <f t="shared" si="53"/>
        <v>161</v>
      </c>
      <c r="Y20" s="184">
        <f t="shared" si="53"/>
        <v>162</v>
      </c>
      <c r="Z20" s="184">
        <f t="shared" si="53"/>
        <v>168</v>
      </c>
      <c r="AA20" s="184">
        <f>+AA26-AA21-AA25</f>
        <v>160</v>
      </c>
      <c r="AB20" s="184">
        <f>+AB26-AB21-AB25</f>
        <v>160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90</v>
      </c>
      <c r="F21" s="199">
        <f>SUM(V21:AD21)</f>
        <v>59</v>
      </c>
      <c r="H21" s="199">
        <f>SUM(S21:AD21)</f>
        <v>83</v>
      </c>
      <c r="J21" s="197">
        <f>+J34+J47+J73</f>
        <v>9</v>
      </c>
      <c r="K21" s="197">
        <f t="shared" ref="K21:AD21" si="55">+K34+K47+K73</f>
        <v>5</v>
      </c>
      <c r="L21" s="197">
        <f t="shared" si="55"/>
        <v>8</v>
      </c>
      <c r="M21" s="197">
        <f t="shared" si="55"/>
        <v>9</v>
      </c>
      <c r="N21" s="197">
        <f t="shared" si="55"/>
        <v>9</v>
      </c>
      <c r="O21" s="197">
        <f t="shared" si="55"/>
        <v>6</v>
      </c>
      <c r="P21" s="197">
        <f t="shared" si="55"/>
        <v>7</v>
      </c>
      <c r="Q21" s="197">
        <f t="shared" si="55"/>
        <v>7</v>
      </c>
      <c r="R21" s="197">
        <f t="shared" si="55"/>
        <v>6</v>
      </c>
      <c r="S21" s="197">
        <f t="shared" si="55"/>
        <v>6</v>
      </c>
      <c r="T21" s="197">
        <f t="shared" si="55"/>
        <v>7</v>
      </c>
      <c r="U21" s="197">
        <f t="shared" si="55"/>
        <v>11</v>
      </c>
      <c r="V21" s="197">
        <f t="shared" si="55"/>
        <v>10</v>
      </c>
      <c r="W21" s="197">
        <f t="shared" si="55"/>
        <v>9</v>
      </c>
      <c r="X21" s="197">
        <f t="shared" si="55"/>
        <v>6</v>
      </c>
      <c r="Y21" s="197">
        <f t="shared" si="55"/>
        <v>11</v>
      </c>
      <c r="Z21" s="197">
        <f t="shared" si="55"/>
        <v>7</v>
      </c>
      <c r="AA21" s="197">
        <f t="shared" si="55"/>
        <v>4</v>
      </c>
      <c r="AB21" s="197">
        <f t="shared" si="55"/>
        <v>5</v>
      </c>
      <c r="AC21" s="197">
        <f t="shared" si="55"/>
        <v>3</v>
      </c>
      <c r="AD21" s="197">
        <f t="shared" si="55"/>
        <v>4</v>
      </c>
    </row>
    <row r="22" spans="2:34">
      <c r="B22" s="269" t="s">
        <v>1551</v>
      </c>
      <c r="E22" s="199">
        <f t="shared" ref="E22:E24" si="56">SUM(J22:U22)</f>
        <v>-26</v>
      </c>
      <c r="F22" s="199">
        <f t="shared" ref="F22:F24" si="57">SUM(V22:AD22)</f>
        <v>-25</v>
      </c>
      <c r="H22" s="199">
        <f t="shared" ref="H22:H24" si="58">SUM(S22:AD22)</f>
        <v>-34</v>
      </c>
      <c r="J22" s="197">
        <f t="shared" ref="J22:J25" si="59">+J35+J48+J74</f>
        <v>0</v>
      </c>
      <c r="K22" s="197">
        <f t="shared" ref="K22:AD22" si="60">+K35+K48+K74</f>
        <v>-2</v>
      </c>
      <c r="L22" s="197">
        <f t="shared" si="60"/>
        <v>-1</v>
      </c>
      <c r="M22" s="197">
        <f t="shared" si="60"/>
        <v>-3</v>
      </c>
      <c r="N22" s="197">
        <f t="shared" si="60"/>
        <v>0</v>
      </c>
      <c r="O22" s="197">
        <f t="shared" si="60"/>
        <v>-5</v>
      </c>
      <c r="P22" s="197">
        <f t="shared" si="60"/>
        <v>-2</v>
      </c>
      <c r="Q22" s="197">
        <f t="shared" si="60"/>
        <v>-2</v>
      </c>
      <c r="R22" s="197">
        <f t="shared" si="60"/>
        <v>-2</v>
      </c>
      <c r="S22" s="197">
        <f t="shared" si="60"/>
        <v>-1</v>
      </c>
      <c r="T22" s="197">
        <f t="shared" si="60"/>
        <v>-3</v>
      </c>
      <c r="U22" s="197">
        <f t="shared" si="60"/>
        <v>-5</v>
      </c>
      <c r="V22" s="197">
        <f t="shared" si="60"/>
        <v>-1</v>
      </c>
      <c r="W22" s="197">
        <f t="shared" si="60"/>
        <v>-1</v>
      </c>
      <c r="X22" s="197">
        <f t="shared" si="60"/>
        <v>-2</v>
      </c>
      <c r="Y22" s="197">
        <f t="shared" si="60"/>
        <v>-3</v>
      </c>
      <c r="Z22" s="197">
        <f t="shared" si="60"/>
        <v>-12</v>
      </c>
      <c r="AA22" s="197">
        <f t="shared" si="60"/>
        <v>-4</v>
      </c>
      <c r="AB22" s="197">
        <f t="shared" si="60"/>
        <v>-2</v>
      </c>
      <c r="AC22" s="197">
        <f t="shared" si="60"/>
        <v>0</v>
      </c>
      <c r="AD22" s="197">
        <f t="shared" si="60"/>
        <v>0</v>
      </c>
    </row>
    <row r="23" spans="2:34">
      <c r="B23" s="269" t="s">
        <v>1552</v>
      </c>
      <c r="E23" s="199">
        <f t="shared" si="56"/>
        <v>-20</v>
      </c>
      <c r="F23" s="199">
        <f t="shared" si="57"/>
        <v>-6</v>
      </c>
      <c r="H23" s="199">
        <f t="shared" si="58"/>
        <v>-15</v>
      </c>
      <c r="J23" s="197">
        <f t="shared" si="59"/>
        <v>-4</v>
      </c>
      <c r="K23" s="197">
        <f t="shared" ref="K23:AD23" si="61">+K36+K49+K75</f>
        <v>-1</v>
      </c>
      <c r="L23" s="197">
        <f t="shared" si="61"/>
        <v>-1</v>
      </c>
      <c r="M23" s="197">
        <f t="shared" si="61"/>
        <v>-1</v>
      </c>
      <c r="N23" s="197">
        <f t="shared" si="61"/>
        <v>-2</v>
      </c>
      <c r="O23" s="197">
        <f t="shared" si="61"/>
        <v>-1</v>
      </c>
      <c r="P23" s="197">
        <f t="shared" si="61"/>
        <v>0</v>
      </c>
      <c r="Q23" s="197">
        <f t="shared" si="61"/>
        <v>0</v>
      </c>
      <c r="R23" s="197">
        <f t="shared" si="61"/>
        <v>-1</v>
      </c>
      <c r="S23" s="197">
        <f t="shared" si="61"/>
        <v>0</v>
      </c>
      <c r="T23" s="197">
        <f t="shared" si="61"/>
        <v>-5</v>
      </c>
      <c r="U23" s="197">
        <f t="shared" si="61"/>
        <v>-4</v>
      </c>
      <c r="V23" s="197">
        <f t="shared" si="61"/>
        <v>-2</v>
      </c>
      <c r="W23" s="197">
        <f t="shared" si="61"/>
        <v>0</v>
      </c>
      <c r="X23" s="197">
        <f t="shared" si="61"/>
        <v>0</v>
      </c>
      <c r="Y23" s="197">
        <f t="shared" si="61"/>
        <v>-1</v>
      </c>
      <c r="Z23" s="197">
        <f t="shared" si="61"/>
        <v>-2</v>
      </c>
      <c r="AA23" s="197">
        <f t="shared" si="61"/>
        <v>0</v>
      </c>
      <c r="AB23" s="197">
        <f t="shared" si="61"/>
        <v>-1</v>
      </c>
      <c r="AC23" s="197">
        <f t="shared" si="61"/>
        <v>0</v>
      </c>
      <c r="AD23" s="197">
        <f t="shared" si="61"/>
        <v>0</v>
      </c>
    </row>
    <row r="24" spans="2:34">
      <c r="B24" s="269" t="s">
        <v>1553</v>
      </c>
      <c r="E24" s="199">
        <f t="shared" si="56"/>
        <v>0</v>
      </c>
      <c r="F24" s="199">
        <f t="shared" si="57"/>
        <v>-8</v>
      </c>
      <c r="H24" s="199">
        <f t="shared" si="58"/>
        <v>-8</v>
      </c>
      <c r="J24" s="197">
        <f t="shared" si="59"/>
        <v>0</v>
      </c>
      <c r="K24" s="197">
        <f t="shared" ref="K24:AD24" si="62">+K37+K50+K76</f>
        <v>0</v>
      </c>
      <c r="L24" s="197">
        <f t="shared" si="62"/>
        <v>0</v>
      </c>
      <c r="M24" s="197">
        <f t="shared" si="62"/>
        <v>0</v>
      </c>
      <c r="N24" s="197">
        <f t="shared" si="62"/>
        <v>0</v>
      </c>
      <c r="O24" s="197">
        <f t="shared" si="62"/>
        <v>0</v>
      </c>
      <c r="P24" s="197">
        <f t="shared" si="62"/>
        <v>0</v>
      </c>
      <c r="Q24" s="197">
        <f t="shared" si="62"/>
        <v>0</v>
      </c>
      <c r="R24" s="197">
        <f t="shared" si="62"/>
        <v>0</v>
      </c>
      <c r="S24" s="197">
        <f t="shared" si="62"/>
        <v>0</v>
      </c>
      <c r="T24" s="197">
        <f t="shared" si="62"/>
        <v>0</v>
      </c>
      <c r="U24" s="197">
        <f t="shared" si="62"/>
        <v>0</v>
      </c>
      <c r="V24" s="197">
        <f t="shared" si="62"/>
        <v>0</v>
      </c>
      <c r="W24" s="197">
        <f t="shared" si="62"/>
        <v>0</v>
      </c>
      <c r="X24" s="197">
        <f t="shared" si="62"/>
        <v>-3</v>
      </c>
      <c r="Y24" s="197">
        <f t="shared" si="62"/>
        <v>-1</v>
      </c>
      <c r="Z24" s="197">
        <f t="shared" si="62"/>
        <v>-1</v>
      </c>
      <c r="AA24" s="197">
        <f t="shared" si="62"/>
        <v>0</v>
      </c>
      <c r="AB24" s="197">
        <f t="shared" si="62"/>
        <v>-1</v>
      </c>
      <c r="AC24" s="197">
        <f t="shared" si="62"/>
        <v>-2</v>
      </c>
      <c r="AD24" s="197">
        <f t="shared" si="62"/>
        <v>0</v>
      </c>
    </row>
    <row r="25" spans="2:34" ht="12" customHeight="1">
      <c r="B25" s="259" t="s">
        <v>1555</v>
      </c>
      <c r="C25" s="262"/>
      <c r="D25" s="262"/>
      <c r="E25" s="260">
        <f>SUM(J25:U25)</f>
        <v>-46</v>
      </c>
      <c r="F25" s="260">
        <f>SUM(V25:AD25)</f>
        <v>-39</v>
      </c>
      <c r="G25" s="261"/>
      <c r="H25" s="260">
        <f>SUM(S25:AD25)</f>
        <v>-57</v>
      </c>
      <c r="I25" s="261"/>
      <c r="J25" s="262">
        <f t="shared" si="59"/>
        <v>-4</v>
      </c>
      <c r="K25" s="262">
        <f t="shared" ref="K25:AD25" si="63">+K38+K51+K77</f>
        <v>-3</v>
      </c>
      <c r="L25" s="262">
        <f t="shared" si="63"/>
        <v>-2</v>
      </c>
      <c r="M25" s="262">
        <f t="shared" si="63"/>
        <v>-4</v>
      </c>
      <c r="N25" s="262">
        <f t="shared" si="63"/>
        <v>-2</v>
      </c>
      <c r="O25" s="262">
        <f t="shared" si="63"/>
        <v>-6</v>
      </c>
      <c r="P25" s="262">
        <f t="shared" si="63"/>
        <v>-2</v>
      </c>
      <c r="Q25" s="262">
        <f t="shared" si="63"/>
        <v>-2</v>
      </c>
      <c r="R25" s="262">
        <f t="shared" si="63"/>
        <v>-3</v>
      </c>
      <c r="S25" s="262">
        <f t="shared" si="63"/>
        <v>-1</v>
      </c>
      <c r="T25" s="262">
        <f t="shared" si="63"/>
        <v>-8</v>
      </c>
      <c r="U25" s="262">
        <f t="shared" si="63"/>
        <v>-9</v>
      </c>
      <c r="V25" s="262">
        <f t="shared" si="63"/>
        <v>-3</v>
      </c>
      <c r="W25" s="262">
        <f t="shared" si="63"/>
        <v>-1</v>
      </c>
      <c r="X25" s="262">
        <f t="shared" si="63"/>
        <v>-5</v>
      </c>
      <c r="Y25" s="262">
        <f t="shared" si="63"/>
        <v>-5</v>
      </c>
      <c r="Z25" s="262">
        <f t="shared" si="63"/>
        <v>-15</v>
      </c>
      <c r="AA25" s="262">
        <f t="shared" si="63"/>
        <v>-4</v>
      </c>
      <c r="AB25" s="262">
        <f t="shared" si="63"/>
        <v>-4</v>
      </c>
      <c r="AC25" s="262">
        <f t="shared" si="63"/>
        <v>-2</v>
      </c>
      <c r="AD25" s="262">
        <f t="shared" si="63"/>
        <v>0</v>
      </c>
    </row>
    <row r="26" spans="2:34" ht="12" customHeight="1">
      <c r="B26" s="263" t="s">
        <v>1323</v>
      </c>
      <c r="C26" s="264"/>
      <c r="D26" s="264"/>
      <c r="E26" s="264">
        <f>+F20</f>
        <v>146</v>
      </c>
      <c r="F26" s="265">
        <f>+$AD26</f>
        <v>166</v>
      </c>
      <c r="H26" s="268">
        <f>+$AD26</f>
        <v>166</v>
      </c>
      <c r="J26" s="266">
        <f t="shared" ref="J26" si="64">+K20</f>
        <v>107</v>
      </c>
      <c r="K26" s="264">
        <f t="shared" ref="K26" si="65">+L20</f>
        <v>109</v>
      </c>
      <c r="L26" s="264">
        <f t="shared" ref="L26" si="66">+M20</f>
        <v>115</v>
      </c>
      <c r="M26" s="264">
        <f t="shared" ref="M26" si="67">+N20</f>
        <v>120</v>
      </c>
      <c r="N26" s="264">
        <f t="shared" ref="N26" si="68">+O20</f>
        <v>127</v>
      </c>
      <c r="O26" s="264">
        <f t="shared" ref="O26" si="69">+P20</f>
        <v>127</v>
      </c>
      <c r="P26" s="264">
        <f>+Q20</f>
        <v>132</v>
      </c>
      <c r="Q26" s="264">
        <f t="shared" ref="Q26" si="70">+R20</f>
        <v>137</v>
      </c>
      <c r="R26" s="264">
        <f t="shared" ref="R26" si="71">+S20</f>
        <v>140</v>
      </c>
      <c r="S26" s="266">
        <f t="shared" ref="S26" si="72">+T20</f>
        <v>145</v>
      </c>
      <c r="T26" s="264">
        <f t="shared" ref="T26" si="73">+U20</f>
        <v>144</v>
      </c>
      <c r="U26" s="264">
        <f t="shared" ref="U26" si="74">+V20</f>
        <v>146</v>
      </c>
      <c r="V26" s="264">
        <f t="shared" ref="V26" si="75">+W20</f>
        <v>153</v>
      </c>
      <c r="W26" s="264">
        <f t="shared" ref="W26" si="76">+X20</f>
        <v>161</v>
      </c>
      <c r="X26" s="264">
        <f t="shared" ref="X26" si="77">+Y20</f>
        <v>162</v>
      </c>
      <c r="Y26" s="264">
        <f t="shared" ref="Y26" si="78">+Z20</f>
        <v>168</v>
      </c>
      <c r="Z26" s="264">
        <f t="shared" ref="Z26" si="79">+AA20</f>
        <v>160</v>
      </c>
      <c r="AA26" s="264">
        <f>+AB20</f>
        <v>160</v>
      </c>
      <c r="AB26" s="264">
        <f>+AB39+AB52</f>
        <v>161</v>
      </c>
      <c r="AC26" s="264">
        <f t="shared" ref="AC26" si="80">+AC39+AC52</f>
        <v>162</v>
      </c>
      <c r="AD26" s="265">
        <f>+AD39+AD52+AD78</f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1541</v>
      </c>
      <c r="C28" s="239"/>
      <c r="D28" s="239"/>
      <c r="E28" s="240">
        <f>(E21+E20)/E20-1</f>
        <v>0.88235294117647056</v>
      </c>
      <c r="F28" s="251">
        <f>(F21+F20)/F20-1</f>
        <v>0.40410958904109595</v>
      </c>
      <c r="G28" s="252"/>
      <c r="H28" s="253">
        <f>(H21+H20)/H20-1</f>
        <v>0.59285714285714275</v>
      </c>
      <c r="J28" s="250">
        <f t="shared" ref="J28:AB28" si="81">(J21+J20)/J20-1</f>
        <v>8.8235294117646967E-2</v>
      </c>
      <c r="K28" s="240">
        <f t="shared" si="81"/>
        <v>4.6728971962616717E-2</v>
      </c>
      <c r="L28" s="240">
        <f t="shared" si="81"/>
        <v>7.3394495412844041E-2</v>
      </c>
      <c r="M28" s="240">
        <f t="shared" si="81"/>
        <v>7.8260869565217384E-2</v>
      </c>
      <c r="N28" s="240">
        <f t="shared" si="81"/>
        <v>7.4999999999999956E-2</v>
      </c>
      <c r="O28" s="240">
        <f t="shared" si="81"/>
        <v>4.7244094488188892E-2</v>
      </c>
      <c r="P28" s="240">
        <f t="shared" si="81"/>
        <v>5.5118110236220375E-2</v>
      </c>
      <c r="Q28" s="240">
        <f t="shared" si="81"/>
        <v>5.3030303030302983E-2</v>
      </c>
      <c r="R28" s="240">
        <f t="shared" si="81"/>
        <v>4.3795620437956151E-2</v>
      </c>
      <c r="S28" s="250">
        <f t="shared" si="81"/>
        <v>4.2857142857142927E-2</v>
      </c>
      <c r="T28" s="240">
        <f t="shared" si="81"/>
        <v>4.8275862068965614E-2</v>
      </c>
      <c r="U28" s="240">
        <f t="shared" si="81"/>
        <v>7.638888888888884E-2</v>
      </c>
      <c r="V28" s="240">
        <f t="shared" si="81"/>
        <v>6.8493150684931559E-2</v>
      </c>
      <c r="W28" s="240">
        <f t="shared" si="81"/>
        <v>5.8823529411764719E-2</v>
      </c>
      <c r="X28" s="240">
        <f t="shared" si="81"/>
        <v>3.7267080745341685E-2</v>
      </c>
      <c r="Y28" s="240">
        <f t="shared" si="81"/>
        <v>6.7901234567901314E-2</v>
      </c>
      <c r="Z28" s="240">
        <f t="shared" si="81"/>
        <v>4.1666666666666741E-2</v>
      </c>
      <c r="AA28" s="240">
        <f t="shared" si="81"/>
        <v>2.4999999999999911E-2</v>
      </c>
      <c r="AB28" s="240">
        <f t="shared" si="81"/>
        <v>3.125E-2</v>
      </c>
      <c r="AC28" s="240">
        <f t="shared" ref="AC28:AD28" si="82">(AC21+AC20)/AC20-1</f>
        <v>1.8633540372670732E-2</v>
      </c>
      <c r="AD28" s="251">
        <f t="shared" si="82"/>
        <v>2.4691358024691468E-2</v>
      </c>
    </row>
    <row r="29" spans="2:34">
      <c r="B29" s="241" t="s">
        <v>1542</v>
      </c>
      <c r="C29" s="242"/>
      <c r="D29" s="242"/>
      <c r="E29" s="243">
        <f>(E25+E20)/E20-1</f>
        <v>-0.4509803921568627</v>
      </c>
      <c r="F29" s="244">
        <f>(F25+F20)/F20-1</f>
        <v>-0.26712328767123283</v>
      </c>
      <c r="G29" s="252"/>
      <c r="H29" s="246">
        <f>(H25+H20)/H20-1</f>
        <v>-0.40714285714285714</v>
      </c>
      <c r="J29" s="245">
        <f t="shared" ref="J29:AB29" si="83">(J25+J20)/J20-1</f>
        <v>-3.9215686274509776E-2</v>
      </c>
      <c r="K29" s="243">
        <f t="shared" si="83"/>
        <v>-2.8037383177570097E-2</v>
      </c>
      <c r="L29" s="243">
        <f t="shared" si="83"/>
        <v>-1.834862385321101E-2</v>
      </c>
      <c r="M29" s="243">
        <f t="shared" si="83"/>
        <v>-3.4782608695652195E-2</v>
      </c>
      <c r="N29" s="243">
        <f t="shared" si="83"/>
        <v>-1.6666666666666718E-2</v>
      </c>
      <c r="O29" s="243">
        <f t="shared" si="83"/>
        <v>-4.7244094488189003E-2</v>
      </c>
      <c r="P29" s="243">
        <f t="shared" si="83"/>
        <v>-1.5748031496062964E-2</v>
      </c>
      <c r="Q29" s="243">
        <f t="shared" si="83"/>
        <v>-1.5151515151515138E-2</v>
      </c>
      <c r="R29" s="243">
        <f t="shared" si="83"/>
        <v>-2.1897810218978075E-2</v>
      </c>
      <c r="S29" s="245">
        <f t="shared" si="83"/>
        <v>-7.1428571428571175E-3</v>
      </c>
      <c r="T29" s="243">
        <f t="shared" si="83"/>
        <v>-5.5172413793103448E-2</v>
      </c>
      <c r="U29" s="243">
        <f t="shared" si="83"/>
        <v>-6.25E-2</v>
      </c>
      <c r="V29" s="243">
        <f t="shared" si="83"/>
        <v>-2.0547945205479423E-2</v>
      </c>
      <c r="W29" s="243">
        <f t="shared" si="83"/>
        <v>-6.5359477124182774E-3</v>
      </c>
      <c r="X29" s="243">
        <f t="shared" si="83"/>
        <v>-3.105590062111796E-2</v>
      </c>
      <c r="Y29" s="243">
        <f t="shared" si="83"/>
        <v>-3.0864197530864224E-2</v>
      </c>
      <c r="Z29" s="243">
        <f t="shared" si="83"/>
        <v>-8.9285714285714302E-2</v>
      </c>
      <c r="AA29" s="243">
        <f t="shared" si="83"/>
        <v>-2.5000000000000022E-2</v>
      </c>
      <c r="AB29" s="243">
        <f t="shared" si="83"/>
        <v>-2.5000000000000022E-2</v>
      </c>
      <c r="AC29" s="243">
        <f t="shared" ref="AC29:AD29" si="84">(AC25+AC20)/AC20-1</f>
        <v>-1.2422360248447228E-2</v>
      </c>
      <c r="AD29" s="244">
        <f t="shared" si="84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" si="85">EOMONTH(J31,0)+1</f>
        <v>45689</v>
      </c>
      <c r="L31" s="194">
        <f t="shared" ref="L31" si="86">EOMONTH(K31,0)+1</f>
        <v>45717</v>
      </c>
      <c r="M31" s="194">
        <f t="shared" ref="M31" si="87">EOMONTH(L31,0)+1</f>
        <v>45748</v>
      </c>
      <c r="N31" s="194">
        <f t="shared" ref="N31" si="88">EOMONTH(M31,0)+1</f>
        <v>45778</v>
      </c>
      <c r="O31" s="194">
        <f t="shared" ref="O31" si="89">EOMONTH(N31,0)+1</f>
        <v>45809</v>
      </c>
      <c r="P31" s="194">
        <f t="shared" ref="P31" si="90">EOMONTH(O31,0)+1</f>
        <v>45839</v>
      </c>
      <c r="Q31" s="194">
        <v>45870</v>
      </c>
      <c r="R31" s="194">
        <f t="shared" ref="R31" si="91">EOMONTH(Q31,0)+1</f>
        <v>45901</v>
      </c>
      <c r="S31" s="194">
        <f t="shared" ref="S31" si="92">EOMONTH(R31,0)+1</f>
        <v>45931</v>
      </c>
      <c r="T31" s="194">
        <f t="shared" ref="T31" si="93">EOMONTH(S31,0)+1</f>
        <v>45962</v>
      </c>
      <c r="U31" s="194">
        <f t="shared" ref="U31" si="94">EOMONTH(T31,0)+1</f>
        <v>45992</v>
      </c>
      <c r="V31" s="194">
        <f t="shared" ref="V31" si="95">EOMONTH(U31,0)+1</f>
        <v>46023</v>
      </c>
      <c r="W31" s="194">
        <f t="shared" ref="W31" si="96">EOMONTH(V31,0)+1</f>
        <v>46054</v>
      </c>
      <c r="X31" s="194">
        <f t="shared" ref="X31" si="97">EOMONTH(W31,0)+1</f>
        <v>46082</v>
      </c>
      <c r="Y31" s="194">
        <f t="shared" ref="Y31" si="98">EOMONTH(X31,0)+1</f>
        <v>46113</v>
      </c>
      <c r="Z31" s="194">
        <f t="shared" ref="Z31" si="99">EOMONTH(Y31,0)+1</f>
        <v>46143</v>
      </c>
      <c r="AA31" s="194">
        <f t="shared" ref="AA31" si="100">EOMONTH(Z31,0)+1</f>
        <v>46174</v>
      </c>
      <c r="AB31" s="194">
        <f t="shared" ref="AB31" si="101">EOMONTH(AA31,0)+1</f>
        <v>46204</v>
      </c>
      <c r="AC31" s="194">
        <f t="shared" ref="AC31" si="102">EOMONTH(AB31,0)+1</f>
        <v>46235</v>
      </c>
      <c r="AD31" s="194">
        <f t="shared" ref="AD31" si="103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 t="shared" ref="J33:AD33" si="104">+J39-J34-J38</f>
        <v>59</v>
      </c>
      <c r="K33" s="184">
        <f t="shared" si="104"/>
        <v>66</v>
      </c>
      <c r="L33" s="184">
        <f t="shared" si="104"/>
        <v>68</v>
      </c>
      <c r="M33" s="184">
        <f t="shared" si="104"/>
        <v>74</v>
      </c>
      <c r="N33" s="184">
        <f t="shared" si="104"/>
        <v>81</v>
      </c>
      <c r="O33" s="184">
        <f t="shared" si="104"/>
        <v>86</v>
      </c>
      <c r="P33" s="184">
        <f t="shared" si="104"/>
        <v>89</v>
      </c>
      <c r="Q33" s="184">
        <f t="shared" si="104"/>
        <v>92</v>
      </c>
      <c r="R33" s="184">
        <f t="shared" si="104"/>
        <v>96</v>
      </c>
      <c r="S33" s="184">
        <f t="shared" si="104"/>
        <v>100</v>
      </c>
      <c r="T33" s="184">
        <f t="shared" si="104"/>
        <v>104</v>
      </c>
      <c r="U33" s="184">
        <f t="shared" si="104"/>
        <v>109</v>
      </c>
      <c r="V33" s="184">
        <f t="shared" si="104"/>
        <v>115</v>
      </c>
      <c r="W33" s="184">
        <f t="shared" si="104"/>
        <v>121</v>
      </c>
      <c r="X33" s="184">
        <f t="shared" si="104"/>
        <v>126</v>
      </c>
      <c r="Y33" s="184">
        <f t="shared" si="104"/>
        <v>127</v>
      </c>
      <c r="Z33" s="184">
        <f t="shared" si="104"/>
        <v>131</v>
      </c>
      <c r="AA33" s="184">
        <f t="shared" si="104"/>
        <v>131</v>
      </c>
      <c r="AB33" s="184">
        <f t="shared" si="104"/>
        <v>132</v>
      </c>
      <c r="AC33" s="184">
        <f t="shared" si="104"/>
        <v>133</v>
      </c>
      <c r="AD33" s="184">
        <f t="shared" si="104"/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69" t="s">
        <v>1551</v>
      </c>
      <c r="E35" s="199">
        <f t="shared" ref="E35" si="105">SUM(J35:U35)</f>
        <v>-2</v>
      </c>
      <c r="F35" s="199">
        <f t="shared" ref="F35" si="106">SUM(V35:AD35)</f>
        <v>-14</v>
      </c>
      <c r="H35" s="199">
        <f t="shared" ref="H35" si="107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69" t="s">
        <v>1552</v>
      </c>
      <c r="E36" s="199">
        <f t="shared" ref="E36" si="108">SUM(J36:U36)</f>
        <v>-1</v>
      </c>
      <c r="F36" s="199">
        <f t="shared" ref="F36" si="109">SUM(V36:AD36)</f>
        <v>-4</v>
      </c>
      <c r="H36" s="199">
        <f t="shared" ref="H36" si="110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69" t="s">
        <v>1553</v>
      </c>
      <c r="E37" s="199">
        <f t="shared" ref="E37" si="111">SUM(J37:U37)</f>
        <v>0</v>
      </c>
      <c r="F37" s="199">
        <f t="shared" ref="F37" si="112">SUM(V37:AD37)</f>
        <v>-7</v>
      </c>
      <c r="H37" s="199">
        <f t="shared" ref="H37" si="113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  <v>-3</v>
      </c>
      <c r="F38" s="260">
        <f>SUM(V38:AD38)</f>
        <v>-25</v>
      </c>
      <c r="G38" s="261"/>
      <c r="H38" s="260">
        <f>SUM(S38:AD38)</f>
        <v>-26</v>
      </c>
      <c r="I38" s="261"/>
      <c r="J38" s="262">
        <f>-COUNTIFS('Full Customer List'!$J:$J,J$1,'Full Customer List'!$E:$E,'Client Retention'!$AF$31)</f>
        <v>0</v>
      </c>
      <c r="K38" s="262">
        <f>-COUNTIFS('Full Customer List'!$J:$J,K$1,'Full Customer List'!$E:$E,'Client Retention'!$AF$31)</f>
        <v>0</v>
      </c>
      <c r="L38" s="262">
        <f>-COUNTIFS('Full Customer List'!$J:$J,L$1,'Full Customer List'!$E:$E,'Client Retention'!$AF$31)</f>
        <v>0</v>
      </c>
      <c r="M38" s="262">
        <f>-COUNTIFS('Full Customer List'!$J:$J,M$1,'Full Customer List'!$E:$E,'Client Retention'!$AF$31)</f>
        <v>0</v>
      </c>
      <c r="N38" s="262">
        <f>-COUNTIFS('Full Customer List'!$J:$J,N$1,'Full Customer List'!$E:$E,'Client Retention'!$AF$31)</f>
        <v>0</v>
      </c>
      <c r="O38" s="262">
        <f>-COUNTIFS('Full Customer List'!$J:$J,O$1,'Full Customer List'!$E:$E,'Client Retention'!$AF$31)</f>
        <v>0</v>
      </c>
      <c r="P38" s="262">
        <f>-COUNTIFS('Full Customer List'!$J:$J,P$1,'Full Customer List'!$E:$E,'Client Retention'!$AF$31)</f>
        <v>-2</v>
      </c>
      <c r="Q38" s="262">
        <f>-COUNTIFS('Full Customer List'!$J:$J,Q$1,'Full Customer List'!$E:$E,'Client Retention'!$AF$31)</f>
        <v>0</v>
      </c>
      <c r="R38" s="262">
        <f>-COUNTIFS('Full Customer List'!$J:$J,R$1,'Full Customer List'!$E:$E,'Client Retention'!$AF$31)</f>
        <v>0</v>
      </c>
      <c r="S38" s="262">
        <f>-COUNTIFS('Full Customer List'!$J:$J,S$1,'Full Customer List'!$E:$E,'Client Retention'!$AF$31)</f>
        <v>0</v>
      </c>
      <c r="T38" s="262">
        <f>-COUNTIFS('Full Customer List'!$J:$J,T$1,'Full Customer List'!$E:$E,'Client Retention'!$AF$31)</f>
        <v>0</v>
      </c>
      <c r="U38" s="262">
        <f>-COUNTIFS('Full Customer List'!$J:$J,U$1,'Full Customer List'!$E:$E,'Client Retention'!$AF$31)</f>
        <v>-1</v>
      </c>
      <c r="V38" s="262">
        <f>-COUNTIFS('Full Customer List'!$J:$J,V$1,'Full Customer List'!$E:$E,'Client Retention'!$AF$31)</f>
        <v>-1</v>
      </c>
      <c r="W38" s="262">
        <f>-COUNTIFS('Full Customer List'!$J:$J,W$1,'Full Customer List'!$E:$E,'Client Retention'!$AF$31)</f>
        <v>-1</v>
      </c>
      <c r="X38" s="262">
        <f>-COUNTIFS('Full Customer List'!$J:$J,X$1,'Full Customer List'!$E:$E,'Client Retention'!$AF$31)</f>
        <v>-4</v>
      </c>
      <c r="Y38" s="262">
        <f>-COUNTIFS('Full Customer List'!$J:$J,Y$1,'Full Customer List'!$E:$E,'Client Retention'!$AF$31)</f>
        <v>-4</v>
      </c>
      <c r="Z38" s="262">
        <f>-COUNTIFS('Full Customer List'!$J:$J,Z$1,'Full Customer List'!$E:$E,'Client Retention'!$AF$31)</f>
        <v>-7</v>
      </c>
      <c r="AA38" s="262">
        <f>-COUNTIFS('Full Customer List'!$J:$J,AA$1,'Full Customer List'!$E:$E,'Client Retention'!$AF$31)</f>
        <v>-3</v>
      </c>
      <c r="AB38" s="262">
        <f>-COUNTIFS('Full Customer List'!$J:$J,AB$1,'Full Customer List'!$E:$E,'Client Retention'!$AF$31)</f>
        <v>-3</v>
      </c>
      <c r="AC38" s="262">
        <f>-COUNTIFS('Full Customer List'!$J:$J,AC$1,'Full Customer List'!$E:$E,'Client Retention'!$AF$31)</f>
        <v>-2</v>
      </c>
      <c r="AD38" s="262">
        <f>-COUNTIFS('Full Customer List'!$J:$J,AD$1,'Full Customer List'!$E:$E,'Client Retention'!$AF$31)</f>
        <v>0</v>
      </c>
    </row>
    <row r="39" spans="2:34" ht="12" customHeight="1">
      <c r="B39" s="263" t="s">
        <v>1323</v>
      </c>
      <c r="C39" s="264"/>
      <c r="D39" s="264"/>
      <c r="E39" s="264">
        <f>+F33</f>
        <v>115</v>
      </c>
      <c r="F39" s="265">
        <f>+$AD39</f>
        <v>138</v>
      </c>
      <c r="H39" s="268">
        <f>+$AD39</f>
        <v>138</v>
      </c>
      <c r="J39" s="266">
        <f t="shared" ref="J39:AC39" si="114">+K33</f>
        <v>66</v>
      </c>
      <c r="K39" s="264">
        <f t="shared" si="114"/>
        <v>68</v>
      </c>
      <c r="L39" s="264">
        <f t="shared" si="114"/>
        <v>74</v>
      </c>
      <c r="M39" s="264">
        <f t="shared" si="114"/>
        <v>81</v>
      </c>
      <c r="N39" s="264">
        <f t="shared" si="114"/>
        <v>86</v>
      </c>
      <c r="O39" s="264">
        <f t="shared" si="114"/>
        <v>89</v>
      </c>
      <c r="P39" s="264">
        <f t="shared" si="114"/>
        <v>92</v>
      </c>
      <c r="Q39" s="264">
        <f t="shared" si="114"/>
        <v>96</v>
      </c>
      <c r="R39" s="264">
        <f t="shared" si="114"/>
        <v>100</v>
      </c>
      <c r="S39" s="266">
        <f t="shared" si="114"/>
        <v>104</v>
      </c>
      <c r="T39" s="264">
        <f t="shared" si="114"/>
        <v>109</v>
      </c>
      <c r="U39" s="264">
        <f t="shared" si="114"/>
        <v>115</v>
      </c>
      <c r="V39" s="264">
        <f t="shared" si="114"/>
        <v>121</v>
      </c>
      <c r="W39" s="264">
        <f t="shared" si="114"/>
        <v>126</v>
      </c>
      <c r="X39" s="264">
        <f t="shared" si="114"/>
        <v>127</v>
      </c>
      <c r="Y39" s="264">
        <f t="shared" si="114"/>
        <v>131</v>
      </c>
      <c r="Z39" s="264">
        <f t="shared" si="114"/>
        <v>131</v>
      </c>
      <c r="AA39" s="264">
        <f t="shared" si="114"/>
        <v>132</v>
      </c>
      <c r="AB39" s="264">
        <f t="shared" si="114"/>
        <v>133</v>
      </c>
      <c r="AC39" s="264">
        <f t="shared" si="114"/>
        <v>134</v>
      </c>
      <c r="AD39" s="267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1541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 t="shared" ref="J41:AD41" si="115">(J34+J33)/J33-1</f>
        <v>0.11864406779661008</v>
      </c>
      <c r="K41" s="240">
        <f t="shared" si="115"/>
        <v>3.0303030303030276E-2</v>
      </c>
      <c r="L41" s="240">
        <f t="shared" si="115"/>
        <v>8.8235294117646967E-2</v>
      </c>
      <c r="M41" s="240">
        <f t="shared" si="115"/>
        <v>9.4594594594594517E-2</v>
      </c>
      <c r="N41" s="240">
        <f t="shared" si="115"/>
        <v>6.1728395061728447E-2</v>
      </c>
      <c r="O41" s="240">
        <f t="shared" si="115"/>
        <v>3.488372093023262E-2</v>
      </c>
      <c r="P41" s="240">
        <f t="shared" si="115"/>
        <v>5.6179775280898792E-2</v>
      </c>
      <c r="Q41" s="240">
        <f t="shared" si="115"/>
        <v>4.3478260869565188E-2</v>
      </c>
      <c r="R41" s="240">
        <f t="shared" si="115"/>
        <v>4.1666666666666741E-2</v>
      </c>
      <c r="S41" s="250">
        <f t="shared" si="115"/>
        <v>4.0000000000000036E-2</v>
      </c>
      <c r="T41" s="240">
        <f t="shared" si="115"/>
        <v>4.8076923076923128E-2</v>
      </c>
      <c r="U41" s="240">
        <f t="shared" si="115"/>
        <v>6.4220183486238591E-2</v>
      </c>
      <c r="V41" s="240">
        <f t="shared" si="115"/>
        <v>6.0869565217391397E-2</v>
      </c>
      <c r="W41" s="240">
        <f t="shared" si="115"/>
        <v>4.9586776859504189E-2</v>
      </c>
      <c r="X41" s="240">
        <f t="shared" si="115"/>
        <v>3.9682539682539764E-2</v>
      </c>
      <c r="Y41" s="240">
        <f t="shared" si="115"/>
        <v>6.2992125984252079E-2</v>
      </c>
      <c r="Z41" s="240">
        <f t="shared" si="115"/>
        <v>5.3435114503816772E-2</v>
      </c>
      <c r="AA41" s="240">
        <f t="shared" si="115"/>
        <v>3.0534351145038219E-2</v>
      </c>
      <c r="AB41" s="240">
        <f t="shared" si="115"/>
        <v>3.0303030303030276E-2</v>
      </c>
      <c r="AC41" s="240">
        <f t="shared" si="115"/>
        <v>2.2556390977443552E-2</v>
      </c>
      <c r="AD41" s="251">
        <f t="shared" si="115"/>
        <v>2.9850746268656803E-2</v>
      </c>
    </row>
    <row r="42" spans="2:34">
      <c r="B42" s="241" t="s">
        <v>1542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 t="shared" ref="J42:AD42" si="116">(J38+J33)/J33-1</f>
        <v>0</v>
      </c>
      <c r="K42" s="243">
        <f t="shared" si="116"/>
        <v>0</v>
      </c>
      <c r="L42" s="243">
        <f t="shared" si="116"/>
        <v>0</v>
      </c>
      <c r="M42" s="243">
        <f t="shared" si="116"/>
        <v>0</v>
      </c>
      <c r="N42" s="243">
        <f t="shared" si="116"/>
        <v>0</v>
      </c>
      <c r="O42" s="243">
        <f t="shared" si="116"/>
        <v>0</v>
      </c>
      <c r="P42" s="243">
        <f t="shared" si="116"/>
        <v>-2.2471910112359605E-2</v>
      </c>
      <c r="Q42" s="243">
        <f t="shared" si="116"/>
        <v>0</v>
      </c>
      <c r="R42" s="243">
        <f t="shared" si="116"/>
        <v>0</v>
      </c>
      <c r="S42" s="245">
        <f t="shared" si="116"/>
        <v>0</v>
      </c>
      <c r="T42" s="243">
        <f t="shared" si="116"/>
        <v>0</v>
      </c>
      <c r="U42" s="243">
        <f t="shared" si="116"/>
        <v>-9.1743119266054496E-3</v>
      </c>
      <c r="V42" s="243">
        <f t="shared" si="116"/>
        <v>-8.6956521739129933E-3</v>
      </c>
      <c r="W42" s="243">
        <f t="shared" si="116"/>
        <v>-8.2644628099173278E-3</v>
      </c>
      <c r="X42" s="243">
        <f t="shared" si="116"/>
        <v>-3.1746031746031744E-2</v>
      </c>
      <c r="Y42" s="243">
        <f t="shared" si="116"/>
        <v>-3.1496062992126039E-2</v>
      </c>
      <c r="Z42" s="243">
        <f t="shared" si="116"/>
        <v>-5.3435114503816772E-2</v>
      </c>
      <c r="AA42" s="243">
        <f t="shared" si="116"/>
        <v>-2.2900763358778664E-2</v>
      </c>
      <c r="AB42" s="243">
        <f t="shared" si="116"/>
        <v>-2.2727272727272707E-2</v>
      </c>
      <c r="AC42" s="243">
        <f t="shared" si="116"/>
        <v>-1.5037593984962405E-2</v>
      </c>
      <c r="AD42" s="244">
        <f t="shared" si="116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" si="117">EOMONTH(J44,0)+1</f>
        <v>45689</v>
      </c>
      <c r="L44" s="194">
        <f t="shared" ref="L44" si="118">EOMONTH(K44,0)+1</f>
        <v>45717</v>
      </c>
      <c r="M44" s="194">
        <f t="shared" ref="M44" si="119">EOMONTH(L44,0)+1</f>
        <v>45748</v>
      </c>
      <c r="N44" s="194">
        <f t="shared" ref="N44" si="120">EOMONTH(M44,0)+1</f>
        <v>45778</v>
      </c>
      <c r="O44" s="194">
        <f t="shared" ref="O44" si="121">EOMONTH(N44,0)+1</f>
        <v>45809</v>
      </c>
      <c r="P44" s="194">
        <f t="shared" ref="P44" si="122">EOMONTH(O44,0)+1</f>
        <v>45839</v>
      </c>
      <c r="Q44" s="194">
        <v>45870</v>
      </c>
      <c r="R44" s="194">
        <f t="shared" ref="R44" si="123">EOMONTH(Q44,0)+1</f>
        <v>45901</v>
      </c>
      <c r="S44" s="194">
        <f t="shared" ref="S44" si="124">EOMONTH(R44,0)+1</f>
        <v>45931</v>
      </c>
      <c r="T44" s="194">
        <f t="shared" ref="T44" si="125">EOMONTH(S44,0)+1</f>
        <v>45962</v>
      </c>
      <c r="U44" s="194">
        <f t="shared" ref="U44" si="126">EOMONTH(T44,0)+1</f>
        <v>45992</v>
      </c>
      <c r="V44" s="194">
        <f t="shared" ref="V44" si="127">EOMONTH(U44,0)+1</f>
        <v>46023</v>
      </c>
      <c r="W44" s="194">
        <f t="shared" ref="W44" si="128">EOMONTH(V44,0)+1</f>
        <v>46054</v>
      </c>
      <c r="X44" s="194">
        <f t="shared" ref="X44" si="129">EOMONTH(W44,0)+1</f>
        <v>46082</v>
      </c>
      <c r="Y44" s="194">
        <f t="shared" ref="Y44" si="130">EOMONTH(X44,0)+1</f>
        <v>46113</v>
      </c>
      <c r="Z44" s="194">
        <f t="shared" ref="Z44" si="131">EOMONTH(Y44,0)+1</f>
        <v>46143</v>
      </c>
      <c r="AA44" s="194">
        <f t="shared" ref="AA44" si="132">EOMONTH(Z44,0)+1</f>
        <v>46174</v>
      </c>
      <c r="AB44" s="194">
        <f t="shared" ref="AB44" si="133">EOMONTH(AA44,0)+1</f>
        <v>46204</v>
      </c>
      <c r="AC44" s="194">
        <f t="shared" ref="AC44" si="134">EOMONTH(AB44,0)+1</f>
        <v>46235</v>
      </c>
      <c r="AD44" s="194">
        <f t="shared" ref="AD44" si="135">EOMONTH(AC44,0)+1</f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36">+H52-H47-H51</f>
        <v>23</v>
      </c>
      <c r="J46" s="184">
        <f t="shared" ref="J46:Z46" si="137">+J52-J47-J51</f>
        <v>13</v>
      </c>
      <c r="K46" s="184">
        <f t="shared" si="137"/>
        <v>15</v>
      </c>
      <c r="L46" s="184">
        <f t="shared" si="137"/>
        <v>15</v>
      </c>
      <c r="M46" s="184">
        <f t="shared" si="137"/>
        <v>15</v>
      </c>
      <c r="N46" s="184">
        <f t="shared" si="137"/>
        <v>16</v>
      </c>
      <c r="O46" s="184">
        <f t="shared" si="137"/>
        <v>18</v>
      </c>
      <c r="P46" s="184">
        <f t="shared" si="137"/>
        <v>20</v>
      </c>
      <c r="Q46" s="184">
        <f t="shared" si="137"/>
        <v>21</v>
      </c>
      <c r="R46" s="184">
        <f t="shared" si="137"/>
        <v>23</v>
      </c>
      <c r="S46" s="184">
        <f t="shared" si="137"/>
        <v>23</v>
      </c>
      <c r="T46" s="184">
        <f t="shared" si="137"/>
        <v>24</v>
      </c>
      <c r="U46" s="184">
        <f t="shared" si="137"/>
        <v>25</v>
      </c>
      <c r="V46" s="184">
        <f t="shared" si="137"/>
        <v>28</v>
      </c>
      <c r="W46" s="184">
        <f t="shared" si="137"/>
        <v>31</v>
      </c>
      <c r="X46" s="184">
        <f t="shared" si="137"/>
        <v>34</v>
      </c>
      <c r="Y46" s="184">
        <f t="shared" si="137"/>
        <v>34</v>
      </c>
      <c r="Z46" s="184">
        <f t="shared" si="137"/>
        <v>35</v>
      </c>
      <c r="AA46" s="184">
        <f>+AA52-AA47-AA51</f>
        <v>28</v>
      </c>
      <c r="AB46" s="184">
        <f>+AB52-AB47-AB51</f>
        <v>27</v>
      </c>
      <c r="AC46" s="184">
        <f t="shared" ref="AC46:AD46" si="138">+AC52-AC47-AC51</f>
        <v>28</v>
      </c>
      <c r="AD46" s="184">
        <f t="shared" si="138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69" t="s">
        <v>1551</v>
      </c>
      <c r="E48" s="199">
        <f t="shared" ref="E48:E50" si="139">SUM(J48:U48)</f>
        <v>0</v>
      </c>
      <c r="F48" s="199">
        <f t="shared" ref="F48:F50" si="140">SUM(V48:AD48)</f>
        <v>-9</v>
      </c>
      <c r="H48" s="199">
        <f t="shared" ref="H48:H50" si="141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69" t="s">
        <v>1552</v>
      </c>
      <c r="E49" s="199">
        <f t="shared" si="139"/>
        <v>0</v>
      </c>
      <c r="F49" s="199">
        <f t="shared" si="140"/>
        <v>0</v>
      </c>
      <c r="H49" s="199">
        <f t="shared" si="141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69" t="s">
        <v>1553</v>
      </c>
      <c r="E50" s="199">
        <f t="shared" si="139"/>
        <v>0</v>
      </c>
      <c r="F50" s="199">
        <f t="shared" si="140"/>
        <v>-1</v>
      </c>
      <c r="H50" s="199">
        <f t="shared" si="141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  <v>0</v>
      </c>
      <c r="F51" s="260">
        <f>SUM(V51:AD51)</f>
        <v>-10</v>
      </c>
      <c r="G51" s="261"/>
      <c r="H51" s="260">
        <f>SUM(S51:AD51)</f>
        <v>-10</v>
      </c>
      <c r="I51" s="261"/>
      <c r="J51" s="262">
        <f>-COUNTIFS('Full Customer List'!$J:$J,J$1,'Full Customer List'!$E:$E,$AF44)</f>
        <v>0</v>
      </c>
      <c r="K51" s="262">
        <f>-COUNTIFS('Full Customer List'!$J:$J,K$1,'Full Customer List'!$E:$E,$AF44)</f>
        <v>0</v>
      </c>
      <c r="L51" s="262">
        <f>-COUNTIFS('Full Customer List'!$J:$J,L$1,'Full Customer List'!$E:$E,$AF44)</f>
        <v>0</v>
      </c>
      <c r="M51" s="262">
        <f>-COUNTIFS('Full Customer List'!$J:$J,M$1,'Full Customer List'!$E:$E,$AF44)</f>
        <v>0</v>
      </c>
      <c r="N51" s="262">
        <f>-COUNTIFS('Full Customer List'!$J:$J,N$1,'Full Customer List'!$E:$E,$AF44)</f>
        <v>0</v>
      </c>
      <c r="O51" s="262">
        <f>-COUNTIFS('Full Customer List'!$J:$J,O$1,'Full Customer List'!$E:$E,$AF44)</f>
        <v>0</v>
      </c>
      <c r="P51" s="262">
        <f>-COUNTIFS('Full Customer List'!$J:$J,P$1,'Full Customer List'!$E:$E,$AF44)</f>
        <v>0</v>
      </c>
      <c r="Q51" s="262">
        <f>-COUNTIFS('Full Customer List'!$J:$J,Q$1,'Full Customer List'!$E:$E,$AF44)</f>
        <v>0</v>
      </c>
      <c r="R51" s="262">
        <f>-COUNTIFS('Full Customer List'!$J:$J,R$1,'Full Customer List'!$E:$E,$AF44)</f>
        <v>0</v>
      </c>
      <c r="S51" s="262">
        <f>-COUNTIFS('Full Customer List'!$J:$J,S$1,'Full Customer List'!$E:$E,$AF44)</f>
        <v>0</v>
      </c>
      <c r="T51" s="262">
        <f>-COUNTIFS('Full Customer List'!$J:$J,T$1,'Full Customer List'!$E:$E,$AF44)</f>
        <v>0</v>
      </c>
      <c r="U51" s="262">
        <f>-COUNTIFS('Full Customer List'!$J:$J,U$1,'Full Customer List'!$E:$E,$AF44)</f>
        <v>0</v>
      </c>
      <c r="V51" s="262">
        <f>-COUNTIFS('Full Customer List'!$J:$J,V$1,'Full Customer List'!$E:$E,$AF44)</f>
        <v>0</v>
      </c>
      <c r="W51" s="262">
        <f>-COUNTIFS('Full Customer List'!$J:$J,W$1,'Full Customer List'!$E:$E,$AF44)</f>
        <v>0</v>
      </c>
      <c r="X51" s="262">
        <f>-COUNTIFS('Full Customer List'!$J:$J,X$1,'Full Customer List'!$E:$E,$AF44)</f>
        <v>-1</v>
      </c>
      <c r="Y51" s="262">
        <f>-COUNTIFS('Full Customer List'!$J:$J,Y$1,'Full Customer List'!$E:$E,$AF44)</f>
        <v>-1</v>
      </c>
      <c r="Z51" s="262">
        <f>-COUNTIFS('Full Customer List'!$J:$J,Z$1,'Full Customer List'!$E:$E,$AF44)</f>
        <v>-7</v>
      </c>
      <c r="AA51" s="262">
        <f>-COUNTIFS('Full Customer List'!$J:$J,AA$1,'Full Customer List'!$E:$E,$AF44)</f>
        <v>-1</v>
      </c>
      <c r="AB51" s="262">
        <f>-COUNTIFS('Full Customer List'!$J:$J,AB$1,'Full Customer List'!$E:$E,$AF44)</f>
        <v>0</v>
      </c>
      <c r="AC51" s="262">
        <f>-COUNTIFS('Full Customer List'!$J:$J,AC$1,'Full Customer List'!$E:$E,$AF44)</f>
        <v>0</v>
      </c>
      <c r="AD51" s="262">
        <f>-COUNTIFS('Full Customer List'!$J:$J,AD$1,'Full Customer List'!$E:$E,$AF44)</f>
        <v>0</v>
      </c>
    </row>
    <row r="52" spans="2:34" ht="12" customHeight="1">
      <c r="B52" s="263" t="s">
        <v>1323</v>
      </c>
      <c r="C52" s="264"/>
      <c r="D52" s="264"/>
      <c r="E52" s="264">
        <f>+F46</f>
        <v>28</v>
      </c>
      <c r="F52" s="265">
        <f>+$AD52</f>
        <v>28</v>
      </c>
      <c r="H52" s="268">
        <f>+$AD52</f>
        <v>28</v>
      </c>
      <c r="J52" s="266">
        <f t="shared" ref="J52:AC52" si="142">+K46</f>
        <v>15</v>
      </c>
      <c r="K52" s="264">
        <f t="shared" si="142"/>
        <v>15</v>
      </c>
      <c r="L52" s="264">
        <f t="shared" si="142"/>
        <v>15</v>
      </c>
      <c r="M52" s="264">
        <f t="shared" si="142"/>
        <v>16</v>
      </c>
      <c r="N52" s="264">
        <f t="shared" si="142"/>
        <v>18</v>
      </c>
      <c r="O52" s="264">
        <f t="shared" si="142"/>
        <v>20</v>
      </c>
      <c r="P52" s="264">
        <f t="shared" si="142"/>
        <v>21</v>
      </c>
      <c r="Q52" s="264">
        <f t="shared" si="142"/>
        <v>23</v>
      </c>
      <c r="R52" s="264">
        <f t="shared" si="142"/>
        <v>23</v>
      </c>
      <c r="S52" s="266">
        <f t="shared" si="142"/>
        <v>24</v>
      </c>
      <c r="T52" s="264">
        <f t="shared" si="142"/>
        <v>25</v>
      </c>
      <c r="U52" s="264">
        <f t="shared" si="142"/>
        <v>28</v>
      </c>
      <c r="V52" s="264">
        <f t="shared" si="142"/>
        <v>31</v>
      </c>
      <c r="W52" s="264">
        <f t="shared" si="142"/>
        <v>34</v>
      </c>
      <c r="X52" s="264">
        <f t="shared" si="142"/>
        <v>34</v>
      </c>
      <c r="Y52" s="264">
        <f t="shared" si="142"/>
        <v>35</v>
      </c>
      <c r="Z52" s="264">
        <f t="shared" si="142"/>
        <v>28</v>
      </c>
      <c r="AA52" s="264">
        <f t="shared" si="142"/>
        <v>27</v>
      </c>
      <c r="AB52" s="264">
        <f t="shared" si="142"/>
        <v>28</v>
      </c>
      <c r="AC52" s="264">
        <f t="shared" si="142"/>
        <v>28</v>
      </c>
      <c r="AD52" s="267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1541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43">(J47+J46)/J46-1</f>
        <v>0.15384615384615374</v>
      </c>
      <c r="K54" s="240">
        <f t="shared" si="143"/>
        <v>0</v>
      </c>
      <c r="L54" s="240">
        <f t="shared" si="143"/>
        <v>0</v>
      </c>
      <c r="M54" s="240">
        <f t="shared" si="143"/>
        <v>6.6666666666666652E-2</v>
      </c>
      <c r="N54" s="240">
        <f t="shared" si="143"/>
        <v>0.125</v>
      </c>
      <c r="O54" s="240">
        <f t="shared" si="143"/>
        <v>0.11111111111111116</v>
      </c>
      <c r="P54" s="240">
        <f t="shared" si="143"/>
        <v>5.0000000000000044E-2</v>
      </c>
      <c r="Q54" s="240">
        <f t="shared" si="143"/>
        <v>9.5238095238095344E-2</v>
      </c>
      <c r="R54" s="240">
        <f t="shared" si="143"/>
        <v>0</v>
      </c>
      <c r="S54" s="250">
        <f t="shared" si="143"/>
        <v>4.3478260869565188E-2</v>
      </c>
      <c r="T54" s="240">
        <f t="shared" si="143"/>
        <v>4.1666666666666741E-2</v>
      </c>
      <c r="U54" s="240">
        <f t="shared" si="143"/>
        <v>0.12000000000000011</v>
      </c>
      <c r="V54" s="240">
        <f t="shared" si="143"/>
        <v>0.10714285714285721</v>
      </c>
      <c r="W54" s="240">
        <f t="shared" si="143"/>
        <v>9.6774193548387011E-2</v>
      </c>
      <c r="X54" s="240">
        <f t="shared" si="143"/>
        <v>2.9411764705882248E-2</v>
      </c>
      <c r="Y54" s="240">
        <f t="shared" si="143"/>
        <v>5.8823529411764719E-2</v>
      </c>
      <c r="Z54" s="240">
        <f t="shared" si="143"/>
        <v>0</v>
      </c>
      <c r="AA54" s="240">
        <f t="shared" si="143"/>
        <v>0</v>
      </c>
      <c r="AB54" s="240">
        <f t="shared" si="143"/>
        <v>3.7037037037036979E-2</v>
      </c>
      <c r="AC54" s="240">
        <f t="shared" ref="AC54:AD54" si="144">(AC47+AC46)/AC46-1</f>
        <v>0</v>
      </c>
      <c r="AD54" s="251">
        <f t="shared" si="144"/>
        <v>0</v>
      </c>
    </row>
    <row r="55" spans="2:34" ht="12" customHeight="1">
      <c r="B55" s="241" t="s">
        <v>1542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45">(J51+J46)/J46-1</f>
        <v>0</v>
      </c>
      <c r="K55" s="243">
        <f t="shared" si="145"/>
        <v>0</v>
      </c>
      <c r="L55" s="243">
        <f t="shared" si="145"/>
        <v>0</v>
      </c>
      <c r="M55" s="243">
        <f t="shared" si="145"/>
        <v>0</v>
      </c>
      <c r="N55" s="243">
        <f t="shared" si="145"/>
        <v>0</v>
      </c>
      <c r="O55" s="243">
        <f t="shared" si="145"/>
        <v>0</v>
      </c>
      <c r="P55" s="243">
        <f t="shared" si="145"/>
        <v>0</v>
      </c>
      <c r="Q55" s="243">
        <f t="shared" si="145"/>
        <v>0</v>
      </c>
      <c r="R55" s="243">
        <f t="shared" si="145"/>
        <v>0</v>
      </c>
      <c r="S55" s="245">
        <f t="shared" si="145"/>
        <v>0</v>
      </c>
      <c r="T55" s="243">
        <f t="shared" si="145"/>
        <v>0</v>
      </c>
      <c r="U55" s="243">
        <f t="shared" si="145"/>
        <v>0</v>
      </c>
      <c r="V55" s="243">
        <f t="shared" si="145"/>
        <v>0</v>
      </c>
      <c r="W55" s="243">
        <f t="shared" si="145"/>
        <v>0</v>
      </c>
      <c r="X55" s="243">
        <f t="shared" si="145"/>
        <v>-2.9411764705882359E-2</v>
      </c>
      <c r="Y55" s="243">
        <f t="shared" si="145"/>
        <v>-2.9411764705882359E-2</v>
      </c>
      <c r="Z55" s="243">
        <f t="shared" si="145"/>
        <v>-0.19999999999999996</v>
      </c>
      <c r="AA55" s="243">
        <f t="shared" si="145"/>
        <v>-3.5714285714285698E-2</v>
      </c>
      <c r="AB55" s="243">
        <f t="shared" si="145"/>
        <v>0</v>
      </c>
      <c r="AC55" s="243">
        <f t="shared" ref="AC55:AD55" si="146">(AC51+AC46)/AC46-1</f>
        <v>0</v>
      </c>
      <c r="AD55" s="244">
        <f t="shared" si="146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" si="147">EOMONTH(J57,0)+1</f>
        <v>45689</v>
      </c>
      <c r="L57" s="194">
        <f t="shared" ref="L57" si="148">EOMONTH(K57,0)+1</f>
        <v>45717</v>
      </c>
      <c r="M57" s="194">
        <f t="shared" ref="M57" si="149">EOMONTH(L57,0)+1</f>
        <v>45748</v>
      </c>
      <c r="N57" s="194">
        <f t="shared" ref="N57" si="150">EOMONTH(M57,0)+1</f>
        <v>45778</v>
      </c>
      <c r="O57" s="194">
        <f t="shared" ref="O57" si="151">EOMONTH(N57,0)+1</f>
        <v>45809</v>
      </c>
      <c r="P57" s="194">
        <f t="shared" ref="P57" si="152">EOMONTH(O57,0)+1</f>
        <v>45839</v>
      </c>
      <c r="Q57" s="194">
        <v>45870</v>
      </c>
      <c r="R57" s="194">
        <f t="shared" ref="R57" si="153">EOMONTH(Q57,0)+1</f>
        <v>45901</v>
      </c>
      <c r="S57" s="194">
        <f t="shared" ref="S57" si="154">EOMONTH(R57,0)+1</f>
        <v>45931</v>
      </c>
      <c r="T57" s="194">
        <f t="shared" ref="T57" si="155">EOMONTH(S57,0)+1</f>
        <v>45962</v>
      </c>
      <c r="U57" s="194">
        <f t="shared" ref="U57" si="156">EOMONTH(T57,0)+1</f>
        <v>45992</v>
      </c>
      <c r="V57" s="194">
        <f t="shared" ref="V57" si="157">EOMONTH(U57,0)+1</f>
        <v>46023</v>
      </c>
      <c r="W57" s="194">
        <f t="shared" ref="W57" si="158">EOMONTH(V57,0)+1</f>
        <v>46054</v>
      </c>
      <c r="X57" s="194">
        <f t="shared" ref="X57" si="159">EOMONTH(W57,0)+1</f>
        <v>46082</v>
      </c>
      <c r="Y57" s="194">
        <f t="shared" ref="Y57" si="160">EOMONTH(X57,0)+1</f>
        <v>46113</v>
      </c>
      <c r="Z57" s="194">
        <f t="shared" ref="Z57" si="161">EOMONTH(Y57,0)+1</f>
        <v>46143</v>
      </c>
      <c r="AA57" s="194">
        <f t="shared" ref="AA57" si="162">EOMONTH(Z57,0)+1</f>
        <v>46174</v>
      </c>
      <c r="AB57" s="194">
        <f t="shared" ref="AB57" si="163">EOMONTH(AA57,0)+1</f>
        <v>46204</v>
      </c>
      <c r="AC57" s="194">
        <f t="shared" ref="AC57" si="164">EOMONTH(AB57,0)+1</f>
        <v>46235</v>
      </c>
      <c r="AD57" s="194">
        <f t="shared" ref="AD57" si="165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66">+H65-H60-H64</f>
        <v>26</v>
      </c>
      <c r="J59" s="184">
        <f t="shared" ref="J59:Z59" si="167">+J65-J60-J64</f>
        <v>32</v>
      </c>
      <c r="K59" s="184">
        <f t="shared" si="167"/>
        <v>29</v>
      </c>
      <c r="L59" s="184">
        <f t="shared" si="167"/>
        <v>28</v>
      </c>
      <c r="M59" s="184">
        <f t="shared" si="167"/>
        <v>28</v>
      </c>
      <c r="N59" s="184">
        <f t="shared" si="167"/>
        <v>28</v>
      </c>
      <c r="O59" s="184">
        <f t="shared" si="167"/>
        <v>27</v>
      </c>
      <c r="P59" s="184">
        <f t="shared" si="167"/>
        <v>27</v>
      </c>
      <c r="Q59" s="184">
        <f t="shared" si="167"/>
        <v>26</v>
      </c>
      <c r="R59" s="184">
        <f t="shared" si="167"/>
        <v>27</v>
      </c>
      <c r="S59" s="184">
        <f t="shared" si="167"/>
        <v>26</v>
      </c>
      <c r="T59" s="184">
        <f t="shared" si="167"/>
        <v>26</v>
      </c>
      <c r="U59" s="184">
        <f t="shared" si="167"/>
        <v>26</v>
      </c>
      <c r="V59" s="184">
        <f t="shared" si="167"/>
        <v>23</v>
      </c>
      <c r="W59" s="184">
        <f t="shared" si="167"/>
        <v>22</v>
      </c>
      <c r="X59" s="184">
        <f t="shared" si="167"/>
        <v>21</v>
      </c>
      <c r="Y59" s="184">
        <f t="shared" si="167"/>
        <v>19</v>
      </c>
      <c r="Z59" s="184">
        <f t="shared" si="167"/>
        <v>19</v>
      </c>
      <c r="AA59" s="184">
        <f>+AA65-AA60-AA64</f>
        <v>18</v>
      </c>
      <c r="AB59" s="184">
        <f>+AB65-AB60-AB64</f>
        <v>18</v>
      </c>
      <c r="AC59" s="184">
        <f t="shared" ref="AC59:AD59" si="168">+AC65-AC60-AC64</f>
        <v>2</v>
      </c>
      <c r="AD59" s="184">
        <f t="shared" si="168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69" t="s">
        <v>1551</v>
      </c>
      <c r="E61" s="199">
        <f t="shared" ref="E61:E63" si="169">SUM(J61:U61)</f>
        <v>-7</v>
      </c>
      <c r="F61" s="199">
        <f t="shared" ref="F61:F63" si="170">SUM(V61:AD61)</f>
        <v>-5</v>
      </c>
      <c r="H61" s="199">
        <f t="shared" ref="H61:H63" si="171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69" t="s">
        <v>1552</v>
      </c>
      <c r="E62" s="199">
        <f t="shared" si="169"/>
        <v>-4</v>
      </c>
      <c r="F62" s="199">
        <f t="shared" si="170"/>
        <v>-15</v>
      </c>
      <c r="H62" s="199">
        <f t="shared" si="171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69" t="s">
        <v>1553</v>
      </c>
      <c r="E63" s="199">
        <f t="shared" si="169"/>
        <v>0</v>
      </c>
      <c r="F63" s="199">
        <f t="shared" si="170"/>
        <v>-1</v>
      </c>
      <c r="H63" s="199">
        <f t="shared" si="171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  <v>-11</v>
      </c>
      <c r="F64" s="260">
        <f>SUM(V64:AD64)</f>
        <v>-21</v>
      </c>
      <c r="G64" s="261"/>
      <c r="H64" s="260">
        <f>SUM(S64:AD64)</f>
        <v>-24</v>
      </c>
      <c r="I64" s="261"/>
      <c r="J64" s="262">
        <f>-COUNTIFS('Full Customer List'!$J:$J,J$1,'Full Customer List'!$E:$E,$AF57)</f>
        <v>-3</v>
      </c>
      <c r="K64" s="262">
        <f>-COUNTIFS('Full Customer List'!$J:$J,K$1,'Full Customer List'!$E:$E,$AF57)</f>
        <v>-1</v>
      </c>
      <c r="L64" s="262">
        <f>-COUNTIFS('Full Customer List'!$J:$J,L$1,'Full Customer List'!$E:$E,$AF57)</f>
        <v>0</v>
      </c>
      <c r="M64" s="262">
        <f>-COUNTIFS('Full Customer List'!$J:$J,M$1,'Full Customer List'!$E:$E,$AF57)</f>
        <v>0</v>
      </c>
      <c r="N64" s="262">
        <f>-COUNTIFS('Full Customer List'!$J:$J,N$1,'Full Customer List'!$E:$E,$AF57)</f>
        <v>-1</v>
      </c>
      <c r="O64" s="262">
        <f>-COUNTIFS('Full Customer List'!$J:$J,O$1,'Full Customer List'!$E:$E,$AF57)</f>
        <v>-1</v>
      </c>
      <c r="P64" s="262">
        <f>-COUNTIFS('Full Customer List'!$J:$J,P$1,'Full Customer List'!$E:$E,$AF57)</f>
        <v>-1</v>
      </c>
      <c r="Q64" s="262">
        <f>-COUNTIFS('Full Customer List'!$J:$J,Q$1,'Full Customer List'!$E:$E,$AF57)</f>
        <v>0</v>
      </c>
      <c r="R64" s="262">
        <f>-COUNTIFS('Full Customer List'!$J:$J,R$1,'Full Customer List'!$E:$E,$AF57)</f>
        <v>-1</v>
      </c>
      <c r="S64" s="262">
        <f>-COUNTIFS('Full Customer List'!$J:$J,S$1,'Full Customer List'!$E:$E,$AF57)</f>
        <v>0</v>
      </c>
      <c r="T64" s="262">
        <f>-COUNTIFS('Full Customer List'!$J:$J,T$1,'Full Customer List'!$E:$E,$AF57)</f>
        <v>0</v>
      </c>
      <c r="U64" s="262">
        <f>-COUNTIFS('Full Customer List'!$J:$J,U$1,'Full Customer List'!$E:$E,$AF57)</f>
        <v>-3</v>
      </c>
      <c r="V64" s="262">
        <f>-COUNTIFS('Full Customer List'!$J:$J,V$1,'Full Customer List'!$E:$E,$AF57)</f>
        <v>-1</v>
      </c>
      <c r="W64" s="262">
        <f>-COUNTIFS('Full Customer List'!$J:$J,W$1,'Full Customer List'!$E:$E,$AF57)</f>
        <v>-1</v>
      </c>
      <c r="X64" s="262">
        <f>-COUNTIFS('Full Customer List'!$J:$J,X$1,'Full Customer List'!$E:$E,$AF57)</f>
        <v>-2</v>
      </c>
      <c r="Y64" s="262">
        <f>-COUNTIFS('Full Customer List'!$J:$J,Y$1,'Full Customer List'!$E:$E,$AF57)</f>
        <v>0</v>
      </c>
      <c r="Z64" s="262">
        <f>-COUNTIFS('Full Customer List'!$J:$J,Z$1,'Full Customer List'!$E:$E,$AF57)</f>
        <v>-1</v>
      </c>
      <c r="AA64" s="262">
        <f>-COUNTIFS('Full Customer List'!$J:$J,AA$1,'Full Customer List'!$E:$E,$AF57)</f>
        <v>0</v>
      </c>
      <c r="AB64" s="262">
        <f>-COUNTIFS('Full Customer List'!$J:$J,AB$1,'Full Customer List'!$E:$E,$AF57)</f>
        <v>-16</v>
      </c>
      <c r="AC64" s="262">
        <f>-COUNTIFS('Full Customer List'!$J:$J,AC$1,'Full Customer List'!$E:$E,$AF57)</f>
        <v>0</v>
      </c>
      <c r="AD64" s="262">
        <f>-COUNTIFS('Full Customer List'!$J:$J,AD$1,'Full Customer List'!$E:$E,$AF57)</f>
        <v>0</v>
      </c>
    </row>
    <row r="65" spans="2:34" ht="12" customHeight="1">
      <c r="B65" s="263" t="s">
        <v>1323</v>
      </c>
      <c r="C65" s="264"/>
      <c r="D65" s="264"/>
      <c r="E65" s="264">
        <f>+F59</f>
        <v>23</v>
      </c>
      <c r="F65" s="265">
        <f>+$AD65</f>
        <v>2</v>
      </c>
      <c r="H65" s="268">
        <f>+$AD65</f>
        <v>2</v>
      </c>
      <c r="J65" s="266">
        <f t="shared" ref="J65:AC65" si="172">+K59</f>
        <v>29</v>
      </c>
      <c r="K65" s="264">
        <f t="shared" si="172"/>
        <v>28</v>
      </c>
      <c r="L65" s="264">
        <f t="shared" si="172"/>
        <v>28</v>
      </c>
      <c r="M65" s="264">
        <f t="shared" si="172"/>
        <v>28</v>
      </c>
      <c r="N65" s="264">
        <f t="shared" si="172"/>
        <v>27</v>
      </c>
      <c r="O65" s="264">
        <f t="shared" si="172"/>
        <v>27</v>
      </c>
      <c r="P65" s="264">
        <f t="shared" si="172"/>
        <v>26</v>
      </c>
      <c r="Q65" s="264">
        <f t="shared" si="172"/>
        <v>27</v>
      </c>
      <c r="R65" s="264">
        <f t="shared" si="172"/>
        <v>26</v>
      </c>
      <c r="S65" s="266">
        <f t="shared" si="172"/>
        <v>26</v>
      </c>
      <c r="T65" s="264">
        <f t="shared" si="172"/>
        <v>26</v>
      </c>
      <c r="U65" s="264">
        <f t="shared" si="172"/>
        <v>23</v>
      </c>
      <c r="V65" s="264">
        <f t="shared" si="172"/>
        <v>22</v>
      </c>
      <c r="W65" s="264">
        <f t="shared" si="172"/>
        <v>21</v>
      </c>
      <c r="X65" s="264">
        <f t="shared" si="172"/>
        <v>19</v>
      </c>
      <c r="Y65" s="264">
        <f t="shared" si="172"/>
        <v>19</v>
      </c>
      <c r="Z65" s="264">
        <f t="shared" si="172"/>
        <v>18</v>
      </c>
      <c r="AA65" s="264">
        <f t="shared" si="172"/>
        <v>18</v>
      </c>
      <c r="AB65" s="264">
        <f t="shared" si="172"/>
        <v>2</v>
      </c>
      <c r="AC65" s="264">
        <f t="shared" si="172"/>
        <v>2</v>
      </c>
      <c r="AD65" s="267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1541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73">(J60+J59)/J59-1</f>
        <v>0</v>
      </c>
      <c r="K67" s="240">
        <f t="shared" si="173"/>
        <v>0</v>
      </c>
      <c r="L67" s="240">
        <f t="shared" si="173"/>
        <v>0</v>
      </c>
      <c r="M67" s="240">
        <f t="shared" si="173"/>
        <v>0</v>
      </c>
      <c r="N67" s="240">
        <f t="shared" si="173"/>
        <v>0</v>
      </c>
      <c r="O67" s="240">
        <f t="shared" si="173"/>
        <v>3.7037037037036979E-2</v>
      </c>
      <c r="P67" s="240">
        <f t="shared" si="173"/>
        <v>0</v>
      </c>
      <c r="Q67" s="240">
        <f t="shared" si="173"/>
        <v>3.8461538461538547E-2</v>
      </c>
      <c r="R67" s="240">
        <f t="shared" si="173"/>
        <v>0</v>
      </c>
      <c r="S67" s="250">
        <f t="shared" si="173"/>
        <v>0</v>
      </c>
      <c r="T67" s="240">
        <f t="shared" si="173"/>
        <v>0</v>
      </c>
      <c r="U67" s="240">
        <f t="shared" si="173"/>
        <v>0</v>
      </c>
      <c r="V67" s="240">
        <f t="shared" si="173"/>
        <v>0</v>
      </c>
      <c r="W67" s="240">
        <f t="shared" si="173"/>
        <v>0</v>
      </c>
      <c r="X67" s="240">
        <f t="shared" si="173"/>
        <v>0</v>
      </c>
      <c r="Y67" s="240">
        <f t="shared" si="173"/>
        <v>0</v>
      </c>
      <c r="Z67" s="240">
        <f t="shared" si="173"/>
        <v>0</v>
      </c>
      <c r="AA67" s="240">
        <f t="shared" si="173"/>
        <v>0</v>
      </c>
      <c r="AB67" s="240">
        <f t="shared" si="173"/>
        <v>0</v>
      </c>
      <c r="AC67" s="240">
        <f t="shared" ref="AC67:AD67" si="174">(AC60+AC59)/AC59-1</f>
        <v>0</v>
      </c>
      <c r="AD67" s="251">
        <f t="shared" si="174"/>
        <v>0</v>
      </c>
      <c r="AF67" s="222"/>
    </row>
    <row r="68" spans="2:34" ht="12" customHeight="1">
      <c r="B68" s="241" t="s">
        <v>1542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75">(J64+J59)/J59-1</f>
        <v>-9.375E-2</v>
      </c>
      <c r="K68" s="243">
        <f t="shared" si="175"/>
        <v>-3.4482758620689613E-2</v>
      </c>
      <c r="L68" s="243">
        <f t="shared" si="175"/>
        <v>0</v>
      </c>
      <c r="M68" s="243">
        <f t="shared" si="175"/>
        <v>0</v>
      </c>
      <c r="N68" s="243">
        <f t="shared" si="175"/>
        <v>-3.5714285714285698E-2</v>
      </c>
      <c r="O68" s="243">
        <f t="shared" si="175"/>
        <v>-3.703703703703709E-2</v>
      </c>
      <c r="P68" s="243">
        <f t="shared" si="175"/>
        <v>-3.703703703703709E-2</v>
      </c>
      <c r="Q68" s="243">
        <f t="shared" si="175"/>
        <v>0</v>
      </c>
      <c r="R68" s="243">
        <f t="shared" si="175"/>
        <v>-3.703703703703709E-2</v>
      </c>
      <c r="S68" s="245">
        <f t="shared" si="175"/>
        <v>0</v>
      </c>
      <c r="T68" s="243">
        <f t="shared" si="175"/>
        <v>0</v>
      </c>
      <c r="U68" s="243">
        <f t="shared" si="175"/>
        <v>-0.11538461538461542</v>
      </c>
      <c r="V68" s="243">
        <f t="shared" si="175"/>
        <v>-4.3478260869565188E-2</v>
      </c>
      <c r="W68" s="243">
        <f t="shared" si="175"/>
        <v>-4.5454545454545414E-2</v>
      </c>
      <c r="X68" s="243">
        <f t="shared" si="175"/>
        <v>-9.5238095238095233E-2</v>
      </c>
      <c r="Y68" s="243">
        <f t="shared" si="175"/>
        <v>0</v>
      </c>
      <c r="Z68" s="243">
        <f t="shared" si="175"/>
        <v>-5.2631578947368474E-2</v>
      </c>
      <c r="AA68" s="243">
        <f t="shared" si="175"/>
        <v>0</v>
      </c>
      <c r="AB68" s="243">
        <f t="shared" si="175"/>
        <v>-0.88888888888888884</v>
      </c>
      <c r="AC68" s="243">
        <f t="shared" ref="AC68:AD68" si="176">(AC64+AC59)/AC59-1</f>
        <v>0</v>
      </c>
      <c r="AD68" s="244">
        <f t="shared" si="176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" si="177">EOMONTH(J70,0)+1</f>
        <v>45689</v>
      </c>
      <c r="L70" s="194">
        <f t="shared" ref="L70" si="178">EOMONTH(K70,0)+1</f>
        <v>45717</v>
      </c>
      <c r="M70" s="194">
        <f t="shared" ref="M70" si="179">EOMONTH(L70,0)+1</f>
        <v>45748</v>
      </c>
      <c r="N70" s="194">
        <f t="shared" ref="N70" si="180">EOMONTH(M70,0)+1</f>
        <v>45778</v>
      </c>
      <c r="O70" s="194">
        <f t="shared" ref="O70" si="181">EOMONTH(N70,0)+1</f>
        <v>45809</v>
      </c>
      <c r="P70" s="194">
        <f t="shared" ref="P70" si="182">EOMONTH(O70,0)+1</f>
        <v>45839</v>
      </c>
      <c r="Q70" s="194">
        <v>45870</v>
      </c>
      <c r="R70" s="194">
        <f t="shared" ref="R70" si="183">EOMONTH(Q70,0)+1</f>
        <v>45901</v>
      </c>
      <c r="S70" s="194">
        <f t="shared" ref="S70" si="184">EOMONTH(R70,0)+1</f>
        <v>45931</v>
      </c>
      <c r="T70" s="194">
        <f t="shared" ref="T70" si="185">EOMONTH(S70,0)+1</f>
        <v>45962</v>
      </c>
      <c r="U70" s="194">
        <f t="shared" ref="U70" si="186">EOMONTH(T70,0)+1</f>
        <v>45992</v>
      </c>
      <c r="V70" s="194">
        <f t="shared" ref="V70" si="187">EOMONTH(U70,0)+1</f>
        <v>46023</v>
      </c>
      <c r="W70" s="194">
        <f t="shared" ref="W70" si="188">EOMONTH(V70,0)+1</f>
        <v>46054</v>
      </c>
      <c r="X70" s="194">
        <f t="shared" ref="X70" si="189">EOMONTH(W70,0)+1</f>
        <v>46082</v>
      </c>
      <c r="Y70" s="194">
        <f t="shared" ref="Y70" si="190">EOMONTH(X70,0)+1</f>
        <v>46113</v>
      </c>
      <c r="Z70" s="194">
        <f t="shared" ref="Z70" si="191">EOMONTH(Y70,0)+1</f>
        <v>46143</v>
      </c>
      <c r="AA70" s="194">
        <f t="shared" ref="AA70" si="192">EOMONTH(Z70,0)+1</f>
        <v>46174</v>
      </c>
      <c r="AB70" s="194">
        <f t="shared" ref="AB70" si="193">EOMONTH(AA70,0)+1</f>
        <v>46204</v>
      </c>
      <c r="AC70" s="194">
        <f t="shared" ref="AC70" si="194">EOMONTH(AB70,0)+1</f>
        <v>46235</v>
      </c>
      <c r="AD70" s="194">
        <f t="shared" ref="AD70" si="195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96">+H78-H73-H77</f>
        <v>17</v>
      </c>
      <c r="J72" s="184">
        <f t="shared" ref="J72:Z72" si="197">+J78-J73-J77</f>
        <v>30</v>
      </c>
      <c r="K72" s="184">
        <f t="shared" si="197"/>
        <v>26</v>
      </c>
      <c r="L72" s="184">
        <f t="shared" si="197"/>
        <v>26</v>
      </c>
      <c r="M72" s="184">
        <f t="shared" si="197"/>
        <v>26</v>
      </c>
      <c r="N72" s="184">
        <f t="shared" si="197"/>
        <v>23</v>
      </c>
      <c r="O72" s="184">
        <f t="shared" si="197"/>
        <v>23</v>
      </c>
      <c r="P72" s="184">
        <f t="shared" si="197"/>
        <v>18</v>
      </c>
      <c r="Q72" s="184">
        <f t="shared" si="197"/>
        <v>19</v>
      </c>
      <c r="R72" s="184">
        <f t="shared" si="197"/>
        <v>18</v>
      </c>
      <c r="S72" s="184">
        <f t="shared" si="197"/>
        <v>17</v>
      </c>
      <c r="T72" s="184">
        <f t="shared" si="197"/>
        <v>17</v>
      </c>
      <c r="U72" s="184">
        <f t="shared" si="197"/>
        <v>10</v>
      </c>
      <c r="V72" s="184">
        <f t="shared" si="197"/>
        <v>3</v>
      </c>
      <c r="W72" s="184">
        <f t="shared" si="197"/>
        <v>1</v>
      </c>
      <c r="X72" s="184">
        <f t="shared" si="197"/>
        <v>1</v>
      </c>
      <c r="Y72" s="184">
        <f t="shared" si="197"/>
        <v>1</v>
      </c>
      <c r="Z72" s="184">
        <f t="shared" si="197"/>
        <v>2</v>
      </c>
      <c r="AA72" s="184">
        <f>+AA78-AA73-AA77</f>
        <v>1</v>
      </c>
      <c r="AB72" s="184">
        <f>+AB78-AB73-AB77</f>
        <v>1</v>
      </c>
      <c r="AC72" s="184">
        <f t="shared" ref="AC72:AD72" si="198">+AC78-AC73-AC77</f>
        <v>0</v>
      </c>
      <c r="AD72" s="184">
        <f t="shared" si="198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69" t="s">
        <v>1551</v>
      </c>
      <c r="E74" s="199">
        <f t="shared" ref="E74:E76" si="199">SUM(J74:U74)</f>
        <v>-24</v>
      </c>
      <c r="F74" s="199">
        <f t="shared" ref="F74:F76" si="200">SUM(V74:AD74)</f>
        <v>-2</v>
      </c>
      <c r="H74" s="199">
        <f t="shared" ref="H74:H76" si="201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69" t="s">
        <v>1552</v>
      </c>
      <c r="E75" s="199">
        <f t="shared" si="199"/>
        <v>-19</v>
      </c>
      <c r="F75" s="199">
        <f t="shared" si="200"/>
        <v>-2</v>
      </c>
      <c r="H75" s="199">
        <f t="shared" si="201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69" t="s">
        <v>1553</v>
      </c>
      <c r="E76" s="199">
        <f t="shared" si="199"/>
        <v>0</v>
      </c>
      <c r="F76" s="199">
        <f t="shared" si="200"/>
        <v>0</v>
      </c>
      <c r="H76" s="199">
        <f t="shared" si="201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  <v>-43</v>
      </c>
      <c r="F77" s="260">
        <f>SUM(V77:AD77)</f>
        <v>-4</v>
      </c>
      <c r="G77" s="261"/>
      <c r="H77" s="260">
        <f>SUM(S77:AD77)</f>
        <v>-21</v>
      </c>
      <c r="I77" s="261"/>
      <c r="J77" s="262">
        <f>-COUNTIFS('Full Customer List'!$J:$J,J$1,'Full Customer List'!$E:$E,$AF70)</f>
        <v>-4</v>
      </c>
      <c r="K77" s="262">
        <f>-COUNTIFS('Full Customer List'!$J:$J,K$1,'Full Customer List'!$E:$E,$AF70)</f>
        <v>-3</v>
      </c>
      <c r="L77" s="262">
        <f>-COUNTIFS('Full Customer List'!$J:$J,L$1,'Full Customer List'!$E:$E,$AF70)</f>
        <v>-2</v>
      </c>
      <c r="M77" s="262">
        <f>-COUNTIFS('Full Customer List'!$J:$J,M$1,'Full Customer List'!$E:$E,$AF70)</f>
        <v>-4</v>
      </c>
      <c r="N77" s="262">
        <f>-COUNTIFS('Full Customer List'!$J:$J,N$1,'Full Customer List'!$E:$E,$AF70)</f>
        <v>-2</v>
      </c>
      <c r="O77" s="262">
        <f>-COUNTIFS('Full Customer List'!$J:$J,O$1,'Full Customer List'!$E:$E,$AF70)</f>
        <v>-6</v>
      </c>
      <c r="P77" s="262">
        <f>-COUNTIFS('Full Customer List'!$J:$J,P$1,'Full Customer List'!$E:$E,$AF70)</f>
        <v>0</v>
      </c>
      <c r="Q77" s="262">
        <f>-COUNTIFS('Full Customer List'!$J:$J,Q$1,'Full Customer List'!$E:$E,$AF70)</f>
        <v>-2</v>
      </c>
      <c r="R77" s="262">
        <f>-COUNTIFS('Full Customer List'!$J:$J,R$1,'Full Customer List'!$E:$E,$AF70)</f>
        <v>-3</v>
      </c>
      <c r="S77" s="262">
        <f>-COUNTIFS('Full Customer List'!$J:$J,S$1,'Full Customer List'!$E:$E,$AF70)</f>
        <v>-1</v>
      </c>
      <c r="T77" s="262">
        <f>-COUNTIFS('Full Customer List'!$J:$J,T$1,'Full Customer List'!$E:$E,$AF70)</f>
        <v>-8</v>
      </c>
      <c r="U77" s="262">
        <f>-COUNTIFS('Full Customer List'!$J:$J,U$1,'Full Customer List'!$E:$E,$AF70)</f>
        <v>-8</v>
      </c>
      <c r="V77" s="262">
        <f>-COUNTIFS('Full Customer List'!$J:$J,V$1,'Full Customer List'!$E:$E,$AF70)</f>
        <v>-2</v>
      </c>
      <c r="W77" s="262">
        <f>-COUNTIFS('Full Customer List'!$J:$J,W$1,'Full Customer List'!$E:$E,$AF70)</f>
        <v>0</v>
      </c>
      <c r="X77" s="262">
        <f>-COUNTIFS('Full Customer List'!$J:$J,X$1,'Full Customer List'!$E:$E,$AF70)</f>
        <v>0</v>
      </c>
      <c r="Y77" s="262">
        <f>-COUNTIFS('Full Customer List'!$J:$J,Y$1,'Full Customer List'!$E:$E,$AF70)</f>
        <v>0</v>
      </c>
      <c r="Z77" s="262">
        <f>-COUNTIFS('Full Customer List'!$J:$J,Z$1,'Full Customer List'!$E:$E,$AF70)</f>
        <v>-1</v>
      </c>
      <c r="AA77" s="262">
        <f>-COUNTIFS('Full Customer List'!$J:$J,AA$1,'Full Customer List'!$E:$E,$AF70)</f>
        <v>0</v>
      </c>
      <c r="AB77" s="262">
        <f>-COUNTIFS('Full Customer List'!$J:$J,AB$1,'Full Customer List'!$E:$E,$AF70)</f>
        <v>-1</v>
      </c>
      <c r="AC77" s="262">
        <f>-COUNTIFS('Full Customer List'!$J:$J,AC$1,'Full Customer List'!$E:$E,$AF70)</f>
        <v>0</v>
      </c>
      <c r="AD77" s="262">
        <f>-COUNTIFS('Full Customer List'!$J:$J,AD$1,'Full Customer List'!$E:$E,$AF70)</f>
        <v>0</v>
      </c>
    </row>
    <row r="78" spans="2:34" ht="12" customHeight="1">
      <c r="B78" s="263" t="s">
        <v>1323</v>
      </c>
      <c r="C78" s="264"/>
      <c r="D78" s="264"/>
      <c r="E78" s="264">
        <f>+F72</f>
        <v>3</v>
      </c>
      <c r="F78" s="265">
        <f>+$AD78</f>
        <v>0</v>
      </c>
      <c r="H78" s="268">
        <f>+$AD78</f>
        <v>0</v>
      </c>
      <c r="J78" s="266">
        <f t="shared" ref="J78:AC78" si="202">+K72</f>
        <v>26</v>
      </c>
      <c r="K78" s="264">
        <f t="shared" si="202"/>
        <v>26</v>
      </c>
      <c r="L78" s="264">
        <f t="shared" si="202"/>
        <v>26</v>
      </c>
      <c r="M78" s="264">
        <f t="shared" si="202"/>
        <v>23</v>
      </c>
      <c r="N78" s="264">
        <f t="shared" si="202"/>
        <v>23</v>
      </c>
      <c r="O78" s="264">
        <f t="shared" si="202"/>
        <v>18</v>
      </c>
      <c r="P78" s="264">
        <f t="shared" si="202"/>
        <v>19</v>
      </c>
      <c r="Q78" s="264">
        <f t="shared" si="202"/>
        <v>18</v>
      </c>
      <c r="R78" s="264">
        <f t="shared" si="202"/>
        <v>17</v>
      </c>
      <c r="S78" s="266">
        <f t="shared" si="202"/>
        <v>17</v>
      </c>
      <c r="T78" s="264">
        <f t="shared" si="202"/>
        <v>10</v>
      </c>
      <c r="U78" s="264">
        <f t="shared" si="202"/>
        <v>3</v>
      </c>
      <c r="V78" s="264">
        <f t="shared" si="202"/>
        <v>1</v>
      </c>
      <c r="W78" s="264">
        <f t="shared" si="202"/>
        <v>1</v>
      </c>
      <c r="X78" s="264">
        <f t="shared" si="202"/>
        <v>1</v>
      </c>
      <c r="Y78" s="264">
        <f t="shared" si="202"/>
        <v>2</v>
      </c>
      <c r="Z78" s="264">
        <f t="shared" si="202"/>
        <v>1</v>
      </c>
      <c r="AA78" s="264">
        <f t="shared" si="202"/>
        <v>1</v>
      </c>
      <c r="AB78" s="264">
        <f t="shared" si="202"/>
        <v>0</v>
      </c>
      <c r="AC78" s="264">
        <f t="shared" si="202"/>
        <v>0</v>
      </c>
      <c r="AD78" s="265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1541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203">(J73+J72)/J72-1</f>
        <v>0</v>
      </c>
      <c r="K80" s="240">
        <f t="shared" si="203"/>
        <v>0.11538461538461542</v>
      </c>
      <c r="L80" s="240">
        <f t="shared" si="203"/>
        <v>7.6923076923076872E-2</v>
      </c>
      <c r="M80" s="240">
        <f t="shared" si="203"/>
        <v>3.8461538461538547E-2</v>
      </c>
      <c r="N80" s="240">
        <f t="shared" si="203"/>
        <v>8.6956521739130377E-2</v>
      </c>
      <c r="O80" s="240">
        <f t="shared" si="203"/>
        <v>4.3478260869565188E-2</v>
      </c>
      <c r="P80" s="240">
        <f t="shared" si="203"/>
        <v>5.555555555555558E-2</v>
      </c>
      <c r="Q80" s="240">
        <f t="shared" si="203"/>
        <v>5.2631578947368363E-2</v>
      </c>
      <c r="R80" s="240">
        <f t="shared" si="203"/>
        <v>0.11111111111111116</v>
      </c>
      <c r="S80" s="250">
        <f t="shared" si="203"/>
        <v>5.8823529411764719E-2</v>
      </c>
      <c r="T80" s="240">
        <f t="shared" si="203"/>
        <v>5.8823529411764719E-2</v>
      </c>
      <c r="U80" s="240">
        <f t="shared" si="203"/>
        <v>0.10000000000000009</v>
      </c>
      <c r="V80" s="240">
        <f t="shared" si="203"/>
        <v>0</v>
      </c>
      <c r="W80" s="240">
        <f t="shared" si="203"/>
        <v>0</v>
      </c>
      <c r="X80" s="240">
        <f t="shared" si="203"/>
        <v>0</v>
      </c>
      <c r="Y80" s="240">
        <f t="shared" si="203"/>
        <v>1</v>
      </c>
      <c r="Z80" s="240">
        <f t="shared" si="203"/>
        <v>0</v>
      </c>
      <c r="AA80" s="240">
        <f t="shared" si="203"/>
        <v>0</v>
      </c>
      <c r="AB80" s="240">
        <f t="shared" si="20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1542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204">(J77+J72)/J72-1</f>
        <v>-0.1333333333333333</v>
      </c>
      <c r="K81" s="243">
        <f t="shared" si="204"/>
        <v>-0.11538461538461542</v>
      </c>
      <c r="L81" s="243">
        <f t="shared" si="204"/>
        <v>-7.6923076923076872E-2</v>
      </c>
      <c r="M81" s="243">
        <f t="shared" si="204"/>
        <v>-0.15384615384615385</v>
      </c>
      <c r="N81" s="243">
        <f t="shared" si="204"/>
        <v>-8.6956521739130488E-2</v>
      </c>
      <c r="O81" s="243">
        <f t="shared" si="204"/>
        <v>-0.26086956521739135</v>
      </c>
      <c r="P81" s="243">
        <f t="shared" si="204"/>
        <v>0</v>
      </c>
      <c r="Q81" s="243">
        <f t="shared" si="204"/>
        <v>-0.10526315789473684</v>
      </c>
      <c r="R81" s="243">
        <f t="shared" si="204"/>
        <v>-0.16666666666666663</v>
      </c>
      <c r="S81" s="245">
        <f t="shared" si="204"/>
        <v>-5.8823529411764719E-2</v>
      </c>
      <c r="T81" s="243">
        <f t="shared" si="204"/>
        <v>-0.47058823529411764</v>
      </c>
      <c r="U81" s="243">
        <f t="shared" si="204"/>
        <v>-0.8</v>
      </c>
      <c r="V81" s="243">
        <f t="shared" si="204"/>
        <v>-0.66666666666666674</v>
      </c>
      <c r="W81" s="243">
        <f t="shared" si="204"/>
        <v>0</v>
      </c>
      <c r="X81" s="243">
        <f t="shared" si="204"/>
        <v>0</v>
      </c>
      <c r="Y81" s="243">
        <f t="shared" si="204"/>
        <v>0</v>
      </c>
      <c r="Z81" s="243">
        <f t="shared" si="204"/>
        <v>-0.5</v>
      </c>
      <c r="AA81" s="243">
        <f t="shared" si="204"/>
        <v>0</v>
      </c>
      <c r="AB81" s="243">
        <f t="shared" si="204"/>
        <v>-1</v>
      </c>
      <c r="AC81" s="243">
        <f t="shared" ref="AC81:AD81" si="205">IFERROR((AC77+AC72)/AC72-1,0)</f>
        <v>0</v>
      </c>
      <c r="AD81" s="244">
        <f t="shared" si="20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" si="206">EOMONTH(J83,0)+1</f>
        <v>45689</v>
      </c>
      <c r="L83" s="194">
        <f t="shared" ref="L83" si="207">EOMONTH(K83,0)+1</f>
        <v>45717</v>
      </c>
      <c r="M83" s="194">
        <f t="shared" ref="M83" si="208">EOMONTH(L83,0)+1</f>
        <v>45748</v>
      </c>
      <c r="N83" s="194">
        <f t="shared" ref="N83" si="209">EOMONTH(M83,0)+1</f>
        <v>45778</v>
      </c>
      <c r="O83" s="194">
        <f t="shared" ref="O83" si="210">EOMONTH(N83,0)+1</f>
        <v>45809</v>
      </c>
      <c r="P83" s="194">
        <f t="shared" ref="P83" si="211">EOMONTH(O83,0)+1</f>
        <v>45839</v>
      </c>
      <c r="Q83" s="194">
        <v>45870</v>
      </c>
      <c r="R83" s="194">
        <f t="shared" ref="R83" si="212">EOMONTH(Q83,0)+1</f>
        <v>45901</v>
      </c>
      <c r="S83" s="194">
        <f t="shared" ref="S83" si="213">EOMONTH(R83,0)+1</f>
        <v>45931</v>
      </c>
      <c r="T83" s="194">
        <f t="shared" ref="T83" si="214">EOMONTH(S83,0)+1</f>
        <v>45962</v>
      </c>
      <c r="U83" s="194">
        <f t="shared" ref="U83" si="215">EOMONTH(T83,0)+1</f>
        <v>45992</v>
      </c>
      <c r="V83" s="194">
        <f t="shared" ref="V83" si="216">EOMONTH(U83,0)+1</f>
        <v>46023</v>
      </c>
      <c r="W83" s="194">
        <f t="shared" ref="W83" si="217">EOMONTH(V83,0)+1</f>
        <v>46054</v>
      </c>
      <c r="X83" s="194">
        <f t="shared" ref="X83" si="218">EOMONTH(W83,0)+1</f>
        <v>46082</v>
      </c>
      <c r="Y83" s="194">
        <f t="shared" ref="Y83" si="219">EOMONTH(X83,0)+1</f>
        <v>46113</v>
      </c>
      <c r="Z83" s="194">
        <f t="shared" ref="Z83" si="220">EOMONTH(Y83,0)+1</f>
        <v>46143</v>
      </c>
      <c r="AA83" s="194">
        <f t="shared" ref="AA83" si="221">EOMONTH(Z83,0)+1</f>
        <v>46174</v>
      </c>
      <c r="AB83" s="194">
        <f t="shared" ref="AB83" si="222">EOMONTH(AA83,0)+1</f>
        <v>46204</v>
      </c>
      <c r="AC83" s="194">
        <f t="shared" ref="AC83" si="223">EOMONTH(AB83,0)+1</f>
        <v>46235</v>
      </c>
      <c r="AD83" s="194">
        <f t="shared" ref="AD83" si="22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25">+H91-H86-H90</f>
        <v>-10</v>
      </c>
      <c r="J85" s="184">
        <f t="shared" ref="J85:Z85" si="226">+J91-J86-J90</f>
        <v>-11</v>
      </c>
      <c r="K85" s="184">
        <f t="shared" si="226"/>
        <v>-11</v>
      </c>
      <c r="L85" s="184">
        <f t="shared" si="226"/>
        <v>-11</v>
      </c>
      <c r="M85" s="184">
        <f t="shared" si="226"/>
        <v>-11</v>
      </c>
      <c r="N85" s="184">
        <f t="shared" si="226"/>
        <v>-11</v>
      </c>
      <c r="O85" s="184">
        <f t="shared" si="226"/>
        <v>-11</v>
      </c>
      <c r="P85" s="184">
        <f t="shared" si="226"/>
        <v>-11</v>
      </c>
      <c r="Q85" s="184">
        <f t="shared" si="226"/>
        <v>-11</v>
      </c>
      <c r="R85" s="184">
        <f t="shared" si="226"/>
        <v>-11</v>
      </c>
      <c r="S85" s="184">
        <f t="shared" si="226"/>
        <v>-10</v>
      </c>
      <c r="T85" s="184">
        <f t="shared" si="226"/>
        <v>-2</v>
      </c>
      <c r="U85" s="184">
        <f t="shared" si="226"/>
        <v>-3</v>
      </c>
      <c r="V85" s="184">
        <f t="shared" si="226"/>
        <v>-3</v>
      </c>
      <c r="W85" s="184">
        <f t="shared" si="226"/>
        <v>-2</v>
      </c>
      <c r="X85" s="184">
        <f t="shared" si="226"/>
        <v>0</v>
      </c>
      <c r="Y85" s="184">
        <f t="shared" si="226"/>
        <v>0</v>
      </c>
      <c r="Z85" s="184">
        <f t="shared" si="226"/>
        <v>0</v>
      </c>
      <c r="AA85" s="184">
        <f>+AA91-AA86-AA90</f>
        <v>0</v>
      </c>
      <c r="AB85" s="184">
        <f>+AB91-AB86-AB90</f>
        <v>0</v>
      </c>
      <c r="AC85" s="184">
        <f t="shared" ref="AC85:AD85" si="227">+AC91-AC86-AC90</f>
        <v>0</v>
      </c>
      <c r="AD85" s="184">
        <f t="shared" si="22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69" t="s">
        <v>1551</v>
      </c>
      <c r="E87" s="199">
        <f t="shared" ref="E87:E89" si="228">SUM(J87:U87)</f>
        <v>0</v>
      </c>
      <c r="F87" s="199">
        <f t="shared" ref="F87:F89" si="229">SUM(V87:AD87)</f>
        <v>0</v>
      </c>
      <c r="H87" s="199">
        <f t="shared" ref="H87:H89" si="23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69" t="s">
        <v>1552</v>
      </c>
      <c r="E88" s="199">
        <f t="shared" si="228"/>
        <v>0</v>
      </c>
      <c r="F88" s="199">
        <f t="shared" si="229"/>
        <v>0</v>
      </c>
      <c r="H88" s="199">
        <f t="shared" si="23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69" t="s">
        <v>1553</v>
      </c>
      <c r="E89" s="199">
        <f t="shared" si="228"/>
        <v>-2</v>
      </c>
      <c r="F89" s="199">
        <f t="shared" si="229"/>
        <v>0</v>
      </c>
      <c r="H89" s="199">
        <f t="shared" si="23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-2</v>
      </c>
      <c r="F90" s="260">
        <f>SUM(V90:AD90)</f>
        <v>0</v>
      </c>
      <c r="G90" s="261"/>
      <c r="H90" s="260">
        <f>SUM(S90:AD90)</f>
        <v>-1</v>
      </c>
      <c r="I90" s="261"/>
      <c r="J90" s="262">
        <f>-COUNTIFS('Full Customer List'!$J:$J,J$1,'Full Customer List'!$E:$E,$AF83)</f>
        <v>0</v>
      </c>
      <c r="K90" s="262">
        <f>-COUNTIFS('Full Customer List'!$J:$J,K$1,'Full Customer List'!$E:$E,$AF83)</f>
        <v>0</v>
      </c>
      <c r="L90" s="262">
        <f>-COUNTIFS('Full Customer List'!$J:$J,L$1,'Full Customer List'!$E:$E,$AF83)</f>
        <v>0</v>
      </c>
      <c r="M90" s="262">
        <f>-COUNTIFS('Full Customer List'!$J:$J,M$1,'Full Customer List'!$E:$E,$AF83)</f>
        <v>0</v>
      </c>
      <c r="N90" s="262">
        <f>-COUNTIFS('Full Customer List'!$J:$J,N$1,'Full Customer List'!$E:$E,$AF83)</f>
        <v>0</v>
      </c>
      <c r="O90" s="262">
        <f>-COUNTIFS('Full Customer List'!$J:$J,O$1,'Full Customer List'!$E:$E,$AF83)</f>
        <v>0</v>
      </c>
      <c r="P90" s="262">
        <f>-COUNTIFS('Full Customer List'!$J:$J,P$1,'Full Customer List'!$E:$E,$AF83)</f>
        <v>0</v>
      </c>
      <c r="Q90" s="262">
        <f>-COUNTIFS('Full Customer List'!$J:$J,Q$1,'Full Customer List'!$E:$E,$AF83)</f>
        <v>0</v>
      </c>
      <c r="R90" s="262">
        <f>-COUNTIFS('Full Customer List'!$J:$J,R$1,'Full Customer List'!$E:$E,$AF83)</f>
        <v>-1</v>
      </c>
      <c r="S90" s="262">
        <f>-COUNTIFS('Full Customer List'!$J:$J,S$1,'Full Customer List'!$E:$E,$AF83)</f>
        <v>0</v>
      </c>
      <c r="T90" s="262">
        <f>-COUNTIFS('Full Customer List'!$J:$J,T$1,'Full Customer List'!$E:$E,$AF83)</f>
        <v>-1</v>
      </c>
      <c r="U90" s="262">
        <f>-COUNTIFS('Full Customer List'!$J:$J,U$1,'Full Customer List'!$E:$E,$AF83)</f>
        <v>0</v>
      </c>
      <c r="V90" s="262">
        <f>-COUNTIFS('Full Customer List'!$J:$J,V$1,'Full Customer List'!$E:$E,$AF83)</f>
        <v>0</v>
      </c>
      <c r="W90" s="262">
        <f>-COUNTIFS('Full Customer List'!$J:$J,W$1,'Full Customer List'!$E:$E,$AF83)</f>
        <v>0</v>
      </c>
      <c r="X90" s="262">
        <f>-COUNTIFS('Full Customer List'!$J:$J,X$1,'Full Customer List'!$E:$E,$AF83)</f>
        <v>0</v>
      </c>
      <c r="Y90" s="262">
        <f>-COUNTIFS('Full Customer List'!$J:$J,Y$1,'Full Customer List'!$E:$E,$AF83)</f>
        <v>0</v>
      </c>
      <c r="Z90" s="262">
        <f>-COUNTIFS('Full Customer List'!$J:$J,Z$1,'Full Customer List'!$E:$E,$AF83)</f>
        <v>0</v>
      </c>
      <c r="AA90" s="262">
        <f>-COUNTIFS('Full Customer List'!$J:$J,AA$1,'Full Customer List'!$E:$E,$AF83)</f>
        <v>0</v>
      </c>
      <c r="AB90" s="262">
        <f>-COUNTIFS('Full Customer List'!$J:$J,AB$1,'Full Customer List'!$E:$E,$AF83)</f>
        <v>0</v>
      </c>
      <c r="AC90" s="262">
        <f>-COUNTIFS('Full Customer List'!$J:$J,AC$1,'Full Customer List'!$E:$E,$AF83)</f>
        <v>0</v>
      </c>
      <c r="AD90" s="262">
        <f>-COUNTIFS('Full Customer List'!$J:$J,AD$1,'Full Customer List'!$E:$E,$AF83)</f>
        <v>0</v>
      </c>
    </row>
    <row r="91" spans="2:37" ht="12" customHeight="1">
      <c r="B91" s="263" t="s">
        <v>1323</v>
      </c>
      <c r="C91" s="264"/>
      <c r="D91" s="264"/>
      <c r="E91" s="264">
        <f>+F85</f>
        <v>-3</v>
      </c>
      <c r="F91" s="265">
        <f>+$AD91</f>
        <v>0</v>
      </c>
      <c r="H91" s="268">
        <f>+$AD91</f>
        <v>0</v>
      </c>
      <c r="J91" s="266">
        <f t="shared" ref="J91:AC91" si="231">+K85</f>
        <v>-11</v>
      </c>
      <c r="K91" s="264">
        <f t="shared" si="231"/>
        <v>-11</v>
      </c>
      <c r="L91" s="264">
        <f t="shared" si="231"/>
        <v>-11</v>
      </c>
      <c r="M91" s="264">
        <f t="shared" si="231"/>
        <v>-11</v>
      </c>
      <c r="N91" s="264">
        <f t="shared" si="231"/>
        <v>-11</v>
      </c>
      <c r="O91" s="264">
        <f t="shared" si="231"/>
        <v>-11</v>
      </c>
      <c r="P91" s="264">
        <f t="shared" si="231"/>
        <v>-11</v>
      </c>
      <c r="Q91" s="264">
        <f t="shared" si="231"/>
        <v>-11</v>
      </c>
      <c r="R91" s="264">
        <f t="shared" si="231"/>
        <v>-10</v>
      </c>
      <c r="S91" s="264">
        <f t="shared" si="231"/>
        <v>-2</v>
      </c>
      <c r="T91" s="264">
        <f t="shared" si="231"/>
        <v>-3</v>
      </c>
      <c r="U91" s="264">
        <f t="shared" si="231"/>
        <v>-3</v>
      </c>
      <c r="V91" s="264">
        <f t="shared" si="231"/>
        <v>-2</v>
      </c>
      <c r="W91" s="264">
        <f t="shared" si="231"/>
        <v>0</v>
      </c>
      <c r="X91" s="264">
        <f t="shared" si="231"/>
        <v>0</v>
      </c>
      <c r="Y91" s="264">
        <f t="shared" si="231"/>
        <v>0</v>
      </c>
      <c r="Z91" s="264">
        <f t="shared" si="231"/>
        <v>0</v>
      </c>
      <c r="AA91" s="264">
        <f t="shared" si="231"/>
        <v>0</v>
      </c>
      <c r="AB91" s="264">
        <f t="shared" si="231"/>
        <v>0</v>
      </c>
      <c r="AC91" s="264">
        <f t="shared" si="231"/>
        <v>0</v>
      </c>
      <c r="AD91" s="265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1541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32">(J86+J85)/J85-1</f>
        <v>0</v>
      </c>
      <c r="K93" s="240">
        <f t="shared" si="232"/>
        <v>0</v>
      </c>
      <c r="L93" s="240">
        <f t="shared" si="232"/>
        <v>0</v>
      </c>
      <c r="M93" s="240">
        <f t="shared" si="232"/>
        <v>0</v>
      </c>
      <c r="N93" s="240">
        <f t="shared" si="232"/>
        <v>0</v>
      </c>
      <c r="O93" s="240">
        <f t="shared" si="232"/>
        <v>0</v>
      </c>
      <c r="P93" s="240">
        <f t="shared" si="232"/>
        <v>0</v>
      </c>
      <c r="Q93" s="240">
        <f t="shared" si="232"/>
        <v>0</v>
      </c>
      <c r="R93" s="240">
        <f t="shared" si="232"/>
        <v>-0.18181818181818177</v>
      </c>
      <c r="S93" s="240">
        <f t="shared" si="232"/>
        <v>-0.8</v>
      </c>
      <c r="T93" s="240">
        <f t="shared" si="232"/>
        <v>0</v>
      </c>
      <c r="U93" s="240">
        <f t="shared" ref="U93:AD93" si="233">IFERROR((U86+U85)/U85-1,0)</f>
        <v>0</v>
      </c>
      <c r="V93" s="240">
        <f t="shared" si="233"/>
        <v>-0.33333333333333337</v>
      </c>
      <c r="W93" s="240">
        <f t="shared" si="233"/>
        <v>-1</v>
      </c>
      <c r="X93" s="240">
        <f t="shared" si="233"/>
        <v>0</v>
      </c>
      <c r="Y93" s="240">
        <f t="shared" si="233"/>
        <v>0</v>
      </c>
      <c r="Z93" s="240">
        <f t="shared" si="233"/>
        <v>0</v>
      </c>
      <c r="AA93" s="240">
        <f t="shared" si="233"/>
        <v>0</v>
      </c>
      <c r="AB93" s="240">
        <f t="shared" si="233"/>
        <v>0</v>
      </c>
      <c r="AC93" s="240">
        <f t="shared" si="233"/>
        <v>0</v>
      </c>
      <c r="AD93" s="251">
        <f t="shared" si="233"/>
        <v>0</v>
      </c>
    </row>
    <row r="94" spans="2:37" ht="12" customHeight="1">
      <c r="B94" s="241" t="s">
        <v>1542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34">(J90+J85)/J85-1</f>
        <v>0</v>
      </c>
      <c r="K94" s="243">
        <f t="shared" si="234"/>
        <v>0</v>
      </c>
      <c r="L94" s="243">
        <f t="shared" si="234"/>
        <v>0</v>
      </c>
      <c r="M94" s="243">
        <f t="shared" si="234"/>
        <v>0</v>
      </c>
      <c r="N94" s="243">
        <f t="shared" si="234"/>
        <v>0</v>
      </c>
      <c r="O94" s="243">
        <f t="shared" si="234"/>
        <v>0</v>
      </c>
      <c r="P94" s="243">
        <f t="shared" si="234"/>
        <v>0</v>
      </c>
      <c r="Q94" s="243">
        <f t="shared" si="234"/>
        <v>0</v>
      </c>
      <c r="R94" s="243">
        <f t="shared" si="234"/>
        <v>9.0909090909090828E-2</v>
      </c>
      <c r="S94" s="243">
        <f t="shared" si="234"/>
        <v>0</v>
      </c>
      <c r="T94" s="243">
        <f t="shared" si="234"/>
        <v>0.5</v>
      </c>
      <c r="U94" s="243">
        <f t="shared" si="234"/>
        <v>0</v>
      </c>
      <c r="V94" s="243">
        <f t="shared" si="234"/>
        <v>0</v>
      </c>
      <c r="W94" s="243">
        <f t="shared" si="234"/>
        <v>0</v>
      </c>
      <c r="X94" s="243">
        <f>IFERROR((X90+X85)/X85-1,0)</f>
        <v>0</v>
      </c>
      <c r="Y94" s="243">
        <f t="shared" ref="Y94:AD94" si="235">IFERROR((Y90+Y85)/Y85-1,0)</f>
        <v>0</v>
      </c>
      <c r="Z94" s="243">
        <f t="shared" si="235"/>
        <v>0</v>
      </c>
      <c r="AA94" s="243">
        <f t="shared" si="235"/>
        <v>0</v>
      </c>
      <c r="AB94" s="243">
        <f t="shared" si="235"/>
        <v>0</v>
      </c>
      <c r="AC94" s="243">
        <f t="shared" si="235"/>
        <v>0</v>
      </c>
      <c r="AD94" s="244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25" priority="1">
      <formula>$AG$3=1</formula>
    </cfRule>
  </conditionalFormatting>
  <conditionalFormatting sqref="B6:H6 J6:AH6">
    <cfRule type="expression" dxfId="24" priority="19">
      <formula>$Y$3=1</formula>
    </cfRule>
  </conditionalFormatting>
  <conditionalFormatting sqref="B19:H19 J19:AH19">
    <cfRule type="expression" dxfId="23" priority="7">
      <formula>$Y$3=1</formula>
    </cfRule>
  </conditionalFormatting>
  <conditionalFormatting sqref="B32:H32">
    <cfRule type="expression" dxfId="22" priority="6">
      <formula>$Y$3=1</formula>
    </cfRule>
  </conditionalFormatting>
  <conditionalFormatting sqref="B45:H45">
    <cfRule type="expression" dxfId="21" priority="5">
      <formula>$Y$3=1</formula>
    </cfRule>
  </conditionalFormatting>
  <conditionalFormatting sqref="B58:H58">
    <cfRule type="expression" dxfId="20" priority="4">
      <formula>$Y$3=1</formula>
    </cfRule>
  </conditionalFormatting>
  <conditionalFormatting sqref="B71:H71">
    <cfRule type="expression" dxfId="19" priority="3">
      <formula>$Y$3=1</formula>
    </cfRule>
  </conditionalFormatting>
  <conditionalFormatting sqref="B84:H84">
    <cfRule type="expression" dxfId="18" priority="2">
      <formula>$Y$3=1</formula>
    </cfRule>
  </conditionalFormatting>
  <conditionalFormatting sqref="J32:AH32">
    <cfRule type="expression" dxfId="17" priority="17">
      <formula>$Y$3=1</formula>
    </cfRule>
  </conditionalFormatting>
  <conditionalFormatting sqref="J45:AH45">
    <cfRule type="expression" dxfId="16" priority="13">
      <formula>$Y$3=1</formula>
    </cfRule>
  </conditionalFormatting>
  <conditionalFormatting sqref="J58:AH58">
    <cfRule type="expression" dxfId="15" priority="16">
      <formula>$Y$3=1</formula>
    </cfRule>
  </conditionalFormatting>
  <conditionalFormatting sqref="J71:AH71">
    <cfRule type="expression" dxfId="14" priority="15">
      <formula>$Y$3=1</formula>
    </cfRule>
  </conditionalFormatting>
  <conditionalFormatting sqref="J84:AH84">
    <cfRule type="expression" dxfId="13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Retention'!B2</f>
        <v>Keystone Bookkeepers</v>
      </c>
    </row>
    <row r="3" spans="2:12">
      <c r="B3" s="38" t="s">
        <v>1556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1" t="str">
        <f>+'Client Retention'!B19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0" t="s">
        <v>1557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70" t="s">
        <v>1558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70" t="s">
        <v>1559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70" t="s">
        <v>1560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1" t="str">
        <f>+B111</f>
        <v>Property Manager, STR Owner &amp; Short-Term Rental</v>
      </c>
      <c r="C117" s="194">
        <v>45658</v>
      </c>
      <c r="D117" s="194">
        <f t="shared" ref="D117" si="2">EOMONTH(C117,0)+1</f>
        <v>45689</v>
      </c>
      <c r="E117" s="194">
        <f t="shared" ref="E117" si="3">EOMONTH(D117,0)+1</f>
        <v>45717</v>
      </c>
      <c r="F117" s="194">
        <f t="shared" ref="F117" si="4">EOMONTH(E117,0)+1</f>
        <v>45748</v>
      </c>
      <c r="G117" s="194">
        <f t="shared" ref="G117" si="5">EOMONTH(F117,0)+1</f>
        <v>45778</v>
      </c>
      <c r="H117" s="194">
        <f t="shared" ref="H117" si="6">EOMONTH(G117,0)+1</f>
        <v>45809</v>
      </c>
      <c r="I117" s="194">
        <f t="shared" ref="I117" si="7">EOMONTH(H117,0)+1</f>
        <v>45839</v>
      </c>
      <c r="J117" s="194">
        <v>45870</v>
      </c>
      <c r="K117" s="194">
        <f t="shared" ref="K117" si="8">EOMONTH(J117,0)+1</f>
        <v>45901</v>
      </c>
      <c r="L117" s="194">
        <f t="shared" ref="L117" si="9">EOMONTH(K117,0)+1</f>
        <v>45931</v>
      </c>
      <c r="M117" s="194">
        <f t="shared" ref="M117" si="10">EOMONTH(L117,0)+1</f>
        <v>45962</v>
      </c>
      <c r="N117" s="194">
        <f t="shared" ref="N117" si="11">EOMONTH(M117,0)+1</f>
        <v>45992</v>
      </c>
      <c r="O117" s="194">
        <f t="shared" ref="O117" si="12">EOMONTH(N117,0)+1</f>
        <v>46023</v>
      </c>
      <c r="P117" s="194">
        <f t="shared" ref="P117" si="13">EOMONTH(O117,0)+1</f>
        <v>46054</v>
      </c>
      <c r="Q117" s="194">
        <f t="shared" ref="Q117" si="14">EOMONTH(P117,0)+1</f>
        <v>46082</v>
      </c>
      <c r="R117" s="194">
        <f t="shared" ref="R117" si="15">EOMONTH(Q117,0)+1</f>
        <v>46113</v>
      </c>
      <c r="S117" s="194">
        <f t="shared" ref="S117" si="16">EOMONTH(R117,0)+1</f>
        <v>46143</v>
      </c>
      <c r="T117" s="194">
        <f t="shared" ref="T117" si="17">EOMONTH(S117,0)+1</f>
        <v>46174</v>
      </c>
      <c r="U117" s="194">
        <f t="shared" ref="U117" si="18">EOMONTH(T117,0)+1</f>
        <v>46204</v>
      </c>
      <c r="V117" s="194">
        <f t="shared" ref="V117" si="19">EOMONTH(U117,0)+1</f>
        <v>46235</v>
      </c>
      <c r="W117" s="194">
        <f t="shared" ref="W117" si="20">EOMONTH(V117,0)+1</f>
        <v>46266</v>
      </c>
    </row>
    <row r="118" spans="2:23">
      <c r="B118" s="270" t="s">
        <v>1557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70" t="s">
        <v>1561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1" t="str">
        <f>+'Client Retention'!B32</f>
        <v>Property Manager</v>
      </c>
      <c r="C121" s="194">
        <v>45658</v>
      </c>
      <c r="D121" s="194">
        <f t="shared" ref="D121" si="22">EOMONTH(C121,0)+1</f>
        <v>45689</v>
      </c>
      <c r="E121" s="194">
        <f t="shared" ref="E121" si="23">EOMONTH(D121,0)+1</f>
        <v>45717</v>
      </c>
      <c r="F121" s="194">
        <f t="shared" ref="F121" si="24">EOMONTH(E121,0)+1</f>
        <v>45748</v>
      </c>
      <c r="G121" s="194">
        <f t="shared" ref="G121" si="25">EOMONTH(F121,0)+1</f>
        <v>45778</v>
      </c>
      <c r="H121" s="194">
        <f t="shared" ref="H121" si="26">EOMONTH(G121,0)+1</f>
        <v>45809</v>
      </c>
      <c r="I121" s="194">
        <f t="shared" ref="I121" si="27">EOMONTH(H121,0)+1</f>
        <v>45839</v>
      </c>
      <c r="J121" s="194">
        <v>45870</v>
      </c>
      <c r="K121" s="194">
        <f t="shared" ref="K121" si="28">EOMONTH(J121,0)+1</f>
        <v>45901</v>
      </c>
      <c r="L121" s="194">
        <f t="shared" ref="L121" si="29">EOMONTH(K121,0)+1</f>
        <v>45931</v>
      </c>
      <c r="M121" s="194">
        <f t="shared" ref="M121" si="30">EOMONTH(L121,0)+1</f>
        <v>45962</v>
      </c>
      <c r="N121" s="194">
        <f t="shared" ref="N121" si="31">EOMONTH(M121,0)+1</f>
        <v>45992</v>
      </c>
      <c r="O121" s="194">
        <f t="shared" ref="O121" si="32">EOMONTH(N121,0)+1</f>
        <v>46023</v>
      </c>
      <c r="P121" s="194">
        <f t="shared" ref="P121" si="33">EOMONTH(O121,0)+1</f>
        <v>46054</v>
      </c>
      <c r="Q121" s="194">
        <f t="shared" ref="Q121" si="34">EOMONTH(P121,0)+1</f>
        <v>46082</v>
      </c>
      <c r="R121" s="194">
        <f t="shared" ref="R121" si="35">EOMONTH(Q121,0)+1</f>
        <v>46113</v>
      </c>
      <c r="S121" s="194">
        <f t="shared" ref="S121" si="36">EOMONTH(R121,0)+1</f>
        <v>46143</v>
      </c>
      <c r="T121" s="194">
        <f t="shared" ref="T121" si="37">EOMONTH(S121,0)+1</f>
        <v>46174</v>
      </c>
      <c r="U121" s="194">
        <f t="shared" ref="U121" si="38">EOMONTH(T121,0)+1</f>
        <v>46204</v>
      </c>
      <c r="V121" s="194">
        <f t="shared" ref="V121" si="39">EOMONTH(U121,0)+1</f>
        <v>46235</v>
      </c>
      <c r="W121" s="194">
        <f t="shared" ref="W121" si="40">EOMONTH(V121,0)+1</f>
        <v>46266</v>
      </c>
    </row>
    <row r="122" spans="2:23">
      <c r="B122" s="270" t="s">
        <v>1557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70" t="s">
        <v>1561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1" t="str">
        <f>+'Client Retention'!B45</f>
        <v>STR Owner</v>
      </c>
      <c r="C125" s="194">
        <v>45658</v>
      </c>
      <c r="D125" s="194">
        <f t="shared" ref="D125" si="41">EOMONTH(C125,0)+1</f>
        <v>45689</v>
      </c>
      <c r="E125" s="194">
        <f t="shared" ref="E125" si="42">EOMONTH(D125,0)+1</f>
        <v>45717</v>
      </c>
      <c r="F125" s="194">
        <f t="shared" ref="F125" si="43">EOMONTH(E125,0)+1</f>
        <v>45748</v>
      </c>
      <c r="G125" s="194">
        <f t="shared" ref="G125" si="44">EOMONTH(F125,0)+1</f>
        <v>45778</v>
      </c>
      <c r="H125" s="194">
        <f t="shared" ref="H125" si="45">EOMONTH(G125,0)+1</f>
        <v>45809</v>
      </c>
      <c r="I125" s="194">
        <f t="shared" ref="I125" si="46">EOMONTH(H125,0)+1</f>
        <v>45839</v>
      </c>
      <c r="J125" s="194">
        <v>45870</v>
      </c>
      <c r="K125" s="194">
        <f t="shared" ref="K125" si="47">EOMONTH(J125,0)+1</f>
        <v>45901</v>
      </c>
      <c r="L125" s="194">
        <f t="shared" ref="L125" si="48">EOMONTH(K125,0)+1</f>
        <v>45931</v>
      </c>
      <c r="M125" s="194">
        <f t="shared" ref="M125" si="49">EOMONTH(L125,0)+1</f>
        <v>45962</v>
      </c>
      <c r="N125" s="194">
        <f t="shared" ref="N125" si="50">EOMONTH(M125,0)+1</f>
        <v>45992</v>
      </c>
      <c r="O125" s="194">
        <f t="shared" ref="O125" si="51">EOMONTH(N125,0)+1</f>
        <v>46023</v>
      </c>
      <c r="P125" s="194">
        <f t="shared" ref="P125" si="52">EOMONTH(O125,0)+1</f>
        <v>46054</v>
      </c>
      <c r="Q125" s="194">
        <f t="shared" ref="Q125" si="53">EOMONTH(P125,0)+1</f>
        <v>46082</v>
      </c>
      <c r="R125" s="194">
        <f t="shared" ref="R125" si="54">EOMONTH(Q125,0)+1</f>
        <v>46113</v>
      </c>
      <c r="S125" s="194">
        <f t="shared" ref="S125" si="55">EOMONTH(R125,0)+1</f>
        <v>46143</v>
      </c>
      <c r="T125" s="194">
        <f t="shared" ref="T125" si="56">EOMONTH(S125,0)+1</f>
        <v>46174</v>
      </c>
      <c r="U125" s="194">
        <f t="shared" ref="U125" si="57">EOMONTH(T125,0)+1</f>
        <v>46204</v>
      </c>
      <c r="V125" s="194">
        <f t="shared" ref="V125" si="58">EOMONTH(U125,0)+1</f>
        <v>46235</v>
      </c>
      <c r="W125" s="194">
        <f t="shared" ref="W125" si="59">EOMONTH(V125,0)+1</f>
        <v>46266</v>
      </c>
    </row>
    <row r="126" spans="2:23">
      <c r="B126" s="270" t="s">
        <v>1557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70" t="s">
        <v>1561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8" width="8.85546875" style="175" hidden="1" customWidth="1" outlineLevel="1"/>
    <col min="19" max="19" width="9.85546875" style="175" bestFit="1" customWidth="1" collapsed="1"/>
    <col min="20" max="21" width="9.85546875" style="175" bestFit="1" customWidth="1"/>
    <col min="22" max="30" width="8.8554687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AD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 t="shared" si="0"/>
        <v>45900</v>
      </c>
      <c r="R1" s="198">
        <f t="shared" si="0"/>
        <v>45930</v>
      </c>
      <c r="S1" s="198">
        <f t="shared" si="0"/>
        <v>45961</v>
      </c>
      <c r="T1" s="198">
        <f t="shared" si="0"/>
        <v>45991</v>
      </c>
      <c r="U1" s="198">
        <f t="shared" si="0"/>
        <v>46022</v>
      </c>
      <c r="V1" s="198">
        <f t="shared" si="0"/>
        <v>46053</v>
      </c>
      <c r="W1" s="198">
        <f t="shared" si="0"/>
        <v>46081</v>
      </c>
      <c r="X1" s="198">
        <f t="shared" si="0"/>
        <v>46112</v>
      </c>
      <c r="Y1" s="198">
        <f t="shared" si="0"/>
        <v>46142</v>
      </c>
      <c r="Z1" s="198">
        <f t="shared" si="0"/>
        <v>46173</v>
      </c>
      <c r="AA1" s="198">
        <f t="shared" si="0"/>
        <v>46203</v>
      </c>
      <c r="AB1" s="198">
        <f t="shared" si="0"/>
        <v>46234</v>
      </c>
      <c r="AC1" s="198">
        <f t="shared" si="0"/>
        <v>46265</v>
      </c>
      <c r="AD1" s="198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1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:P5" si="1">EOMONTH(J5,0)+1</f>
        <v>45689</v>
      </c>
      <c r="L5" s="194">
        <f t="shared" si="1"/>
        <v>45717</v>
      </c>
      <c r="M5" s="194">
        <f t="shared" si="1"/>
        <v>45748</v>
      </c>
      <c r="N5" s="194">
        <f t="shared" si="1"/>
        <v>45778</v>
      </c>
      <c r="O5" s="194">
        <f t="shared" si="1"/>
        <v>45809</v>
      </c>
      <c r="P5" s="194">
        <f t="shared" si="1"/>
        <v>45839</v>
      </c>
      <c r="Q5" s="194">
        <v>45870</v>
      </c>
      <c r="R5" s="194">
        <f t="shared" ref="R5:AD5" si="2">EOMONTH(Q5,0)+1</f>
        <v>45901</v>
      </c>
      <c r="S5" s="194">
        <f t="shared" si="2"/>
        <v>45931</v>
      </c>
      <c r="T5" s="194">
        <f t="shared" si="2"/>
        <v>45962</v>
      </c>
      <c r="U5" s="194">
        <f t="shared" si="2"/>
        <v>45992</v>
      </c>
      <c r="V5" s="194">
        <f t="shared" si="2"/>
        <v>46023</v>
      </c>
      <c r="W5" s="194">
        <f t="shared" si="2"/>
        <v>46054</v>
      </c>
      <c r="X5" s="194">
        <f t="shared" si="2"/>
        <v>46082</v>
      </c>
      <c r="Y5" s="194">
        <f t="shared" si="2"/>
        <v>46113</v>
      </c>
      <c r="Z5" s="194">
        <f t="shared" si="2"/>
        <v>46143</v>
      </c>
      <c r="AA5" s="194">
        <f t="shared" si="2"/>
        <v>46174</v>
      </c>
      <c r="AB5" s="194">
        <f t="shared" si="2"/>
        <v>46204</v>
      </c>
      <c r="AC5" s="194">
        <f t="shared" si="2"/>
        <v>46235</v>
      </c>
      <c r="AD5" s="194">
        <f t="shared" si="2"/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1575</v>
      </c>
      <c r="C7" s="184">
        <f>+C13-C8-C12</f>
        <v>287.81575999999882</v>
      </c>
      <c r="D7" s="184">
        <f>+D13-D8-D12</f>
        <v>602.68375999999876</v>
      </c>
      <c r="E7" s="184">
        <f>+E13-E8-E12</f>
        <v>1301.677099999999</v>
      </c>
      <c r="F7" s="184">
        <f>+F13-F8-F12</f>
        <v>2231.432119999999</v>
      </c>
      <c r="H7" s="184">
        <f>+H13-H8-H12</f>
        <v>1947.6706799999993</v>
      </c>
      <c r="J7" s="184">
        <f t="shared" ref="J7:AD7" si="3">+J13-J8-J12</f>
        <v>108.47309166666655</v>
      </c>
      <c r="K7" s="184">
        <f t="shared" si="3"/>
        <v>117.00979666666655</v>
      </c>
      <c r="L7" s="184">
        <f t="shared" si="3"/>
        <v>120.25279666666654</v>
      </c>
      <c r="M7" s="184">
        <f t="shared" si="3"/>
        <v>133.96387999999988</v>
      </c>
      <c r="N7" s="184">
        <f t="shared" si="3"/>
        <v>136.80437999999987</v>
      </c>
      <c r="O7" s="184">
        <f t="shared" si="3"/>
        <v>145.68704666666653</v>
      </c>
      <c r="P7" s="184">
        <f t="shared" si="3"/>
        <v>146.81951333333319</v>
      </c>
      <c r="Q7" s="184">
        <f t="shared" si="3"/>
        <v>148.38547999999986</v>
      </c>
      <c r="R7" s="184">
        <f t="shared" si="3"/>
        <v>154.54209999999983</v>
      </c>
      <c r="S7" s="184">
        <f t="shared" si="3"/>
        <v>162.30588999999983</v>
      </c>
      <c r="T7" s="184">
        <f t="shared" si="3"/>
        <v>177.94297333333319</v>
      </c>
      <c r="U7" s="184">
        <f t="shared" si="3"/>
        <v>180.08713999999986</v>
      </c>
      <c r="V7" s="184">
        <f t="shared" si="3"/>
        <v>185.95267666666652</v>
      </c>
      <c r="W7" s="184">
        <f t="shared" si="3"/>
        <v>193.41600999999986</v>
      </c>
      <c r="X7" s="184">
        <f t="shared" si="3"/>
        <v>201.50984333333321</v>
      </c>
      <c r="Y7" s="184">
        <f t="shared" si="3"/>
        <v>204.83447666666655</v>
      </c>
      <c r="Z7" s="184">
        <f t="shared" si="3"/>
        <v>210.52247666666656</v>
      </c>
      <c r="AA7" s="184">
        <f t="shared" si="3"/>
        <v>216.54630999999989</v>
      </c>
      <c r="AB7" s="184">
        <f t="shared" si="3"/>
        <v>219.62222666666656</v>
      </c>
      <c r="AC7" s="184">
        <f t="shared" si="3"/>
        <v>218.0725599999999</v>
      </c>
      <c r="AD7" s="184">
        <f t="shared" si="3"/>
        <v>220.20889333333324</v>
      </c>
    </row>
    <row r="8" spans="2:34">
      <c r="B8" s="193" t="s">
        <v>1322</v>
      </c>
      <c r="C8" s="197">
        <f>SUMIFS('Full Customer List'!$G:$G,'Full Customer List'!$I:$I,"&gt;"&amp;'Client Retention $'!C$134,'Full Customer List'!$I:$I,"&lt;"&amp;'Client Retention $'!C$135)/1000*12</f>
        <v>425.01599999999996</v>
      </c>
      <c r="D8" s="197">
        <f>SUMIFS('Full Customer List'!$G:$G,'Full Customer List'!$I:$I,"&gt;"&amp;'Client Retention $'!D$134,'Full Customer List'!$I:$I,"&lt;"&amp;'Client Retention $'!D$135)/1000*12</f>
        <v>967.92534000000023</v>
      </c>
      <c r="E8" s="199">
        <f>SUM(J8:U8)*12</f>
        <v>1318.2288800000001</v>
      </c>
      <c r="F8" s="199">
        <f>SUM(V8:AD8)*12</f>
        <v>1000.9545999999999</v>
      </c>
      <c r="H8" s="199">
        <f>SUM(S8:AD8)*12</f>
        <v>1445.2814000000001</v>
      </c>
      <c r="J8" s="197">
        <f>SUMIFS('Full Customer List'!$G:$G,'Full Customer List'!$I:$I,'Client Retention $'!J$5)/1000</f>
        <v>11.667329999999998</v>
      </c>
      <c r="K8" s="197">
        <f>SUMIFS('Full Customer List'!$G:$G,'Full Customer List'!$I:$I,'Client Retention $'!K$5)/1000</f>
        <v>4.5530000000000008</v>
      </c>
      <c r="L8" s="197">
        <f>SUMIFS('Full Customer List'!$G:$G,'Full Customer List'!$I:$I,'Client Retention $'!L$5)/1000</f>
        <v>14.481333333333332</v>
      </c>
      <c r="M8" s="197">
        <f>SUMIFS('Full Customer List'!$G:$G,'Full Customer List'!$I:$I,'Client Retention $'!M$5)/1000</f>
        <v>5.1738333333333326</v>
      </c>
      <c r="N8" s="197">
        <f>SUMIFS('Full Customer List'!$G:$G,'Full Customer List'!$I:$I,'Client Retention $'!N$5)/1000</f>
        <v>9.6526666666666667</v>
      </c>
      <c r="O8" s="197">
        <f>SUMIFS('Full Customer List'!$G:$G,'Full Customer List'!$I:$I,'Client Retention $'!O$5)/1000</f>
        <v>4.2576333333333336</v>
      </c>
      <c r="P8" s="197">
        <f>SUMIFS('Full Customer List'!$G:$G,'Full Customer List'!$I:$I,'Client Retention $'!P$5)/1000</f>
        <v>5.5756333333333332</v>
      </c>
      <c r="Q8" s="197">
        <f>SUMIFS('Full Customer List'!$G:$G,'Full Customer List'!$I:$I,'Client Retention $'!Q$5)/1000</f>
        <v>6.7349533333333333</v>
      </c>
      <c r="R8" s="197">
        <f>SUMIFS('Full Customer List'!$G:$G,'Full Customer List'!$I:$I,'Client Retention $'!R$5)/1000</f>
        <v>10.728789999999998</v>
      </c>
      <c r="S8" s="197">
        <f>SUMIFS('Full Customer List'!$G:$G,'Full Customer List'!$I:$I,'Client Retention $'!S$5)/1000</f>
        <v>16.267083333333336</v>
      </c>
      <c r="T8" s="197">
        <f>SUMIFS('Full Customer List'!$G:$G,'Full Customer List'!$I:$I,'Client Retention $'!T$5)/1000</f>
        <v>8.9833333333333343</v>
      </c>
      <c r="U8" s="197">
        <f>SUMIFS('Full Customer List'!$G:$G,'Full Customer List'!$I:$I,'Client Retention $'!U$5)/1000</f>
        <v>11.776816666666665</v>
      </c>
      <c r="V8" s="197">
        <f>SUMIFS('Full Customer List'!$G:$G,'Full Customer List'!$I:$I,'Client Retention $'!V$5)/1000</f>
        <v>11.151666666666666</v>
      </c>
      <c r="W8" s="197">
        <f>SUMIFS('Full Customer List'!$G:$G,'Full Customer List'!$I:$I,'Client Retention $'!W$5)/1000</f>
        <v>8.823833333333333</v>
      </c>
      <c r="X8" s="197">
        <f>SUMIFS('Full Customer List'!$G:$G,'Full Customer List'!$I:$I,'Client Retention $'!X$5)/1000</f>
        <v>7.3784666666666681</v>
      </c>
      <c r="Y8" s="197">
        <f>SUMIFS('Full Customer List'!$G:$G,'Full Customer List'!$I:$I,'Client Retention $'!Y$5)/1000</f>
        <v>12.933333333333334</v>
      </c>
      <c r="Z8" s="197">
        <f>SUMIFS('Full Customer List'!$G:$G,'Full Customer List'!$I:$I,'Client Retention $'!Z$5)/1000</f>
        <v>15.057333333333334</v>
      </c>
      <c r="AA8" s="197">
        <f>SUMIFS('Full Customer List'!$G:$G,'Full Customer List'!$I:$I,'Client Retention $'!AA$5)/1000</f>
        <v>4.86625</v>
      </c>
      <c r="AB8" s="197">
        <f>SUMIFS('Full Customer List'!$G:$G,'Full Customer List'!$I:$I,'Client Retention $'!AB$5)/1000</f>
        <v>12.429</v>
      </c>
      <c r="AC8" s="197">
        <f>SUMIFS('Full Customer List'!$G:$G,'Full Customer List'!$I:$I,'Client Retention $'!AC$5)/1000</f>
        <v>4.8780000000000001</v>
      </c>
      <c r="AD8" s="197">
        <f>SUMIFS('Full Customer List'!$G:$G,'Full Customer List'!$I:$I,'Client Retention $'!AD$5)/1000</f>
        <v>5.8949999999999996</v>
      </c>
    </row>
    <row r="9" spans="2:34">
      <c r="B9" s="269" t="s">
        <v>1551</v>
      </c>
      <c r="E9" s="199">
        <f>SUM(J9:U9)*12</f>
        <v>-247.45336</v>
      </c>
      <c r="F9" s="199">
        <f>SUM(V9:AD9)*12</f>
        <v>-194.12</v>
      </c>
      <c r="H9" s="199">
        <f>SUM(S9:AD9)*12</f>
        <v>-281.25536</v>
      </c>
      <c r="J9" s="197">
        <f>-SUMIFS('Full Customer List'!$G:$G,'Full Customer List'!$J:$J,J$1,'Full Customer List'!$H:$H,'Client Retention $'!$AF9)/1000</f>
        <v>-0.875</v>
      </c>
      <c r="K9" s="197">
        <f>-SUMIFS('Full Customer List'!$G:$G,'Full Customer List'!$J:$J,K$1,'Full Customer List'!$H:$H,'Client Retention $'!$AF9)/1000</f>
        <v>-0.82499999999999996</v>
      </c>
      <c r="L9" s="197">
        <f>-SUMIFS('Full Customer List'!$G:$G,'Full Customer List'!$J:$J,L$1,'Full Customer List'!$H:$H,'Client Retention $'!$AF9)/1000</f>
        <v>-0.39500000000000002</v>
      </c>
      <c r="M9" s="197">
        <f>-SUMIFS('Full Customer List'!$G:$G,'Full Customer List'!$J:$J,M$1,'Full Customer List'!$H:$H,'Client Retention $'!$AF9)/1000</f>
        <v>-1.9383333333333332</v>
      </c>
      <c r="N9" s="197">
        <f>-SUMIFS('Full Customer List'!$G:$G,'Full Customer List'!$J:$J,N$1,'Full Customer List'!$H:$H,'Client Retention $'!$AF9)/1000</f>
        <v>-0.3</v>
      </c>
      <c r="O9" s="197">
        <f>-SUMIFS('Full Customer List'!$G:$G,'Full Customer List'!$J:$J,O$1,'Full Customer List'!$H:$H,'Client Retention $'!$AF9)/1000</f>
        <v>-2.7885</v>
      </c>
      <c r="P9" s="197">
        <f>-SUMIFS('Full Customer List'!$G:$G,'Full Customer List'!$J:$J,P$1,'Full Customer List'!$H:$H,'Client Retention $'!$AF9)/1000</f>
        <v>-4.0096666666666669</v>
      </c>
      <c r="Q9" s="197">
        <f>-SUMIFS('Full Customer List'!$G:$G,'Full Customer List'!$J:$J,Q$1,'Full Customer List'!$H:$H,'Client Retention $'!$AF9)/1000</f>
        <v>-0.57833333333333337</v>
      </c>
      <c r="R9" s="197">
        <f>-SUMIFS('Full Customer List'!$G:$G,'Full Customer List'!$J:$J,R$1,'Full Customer List'!$H:$H,'Client Retention $'!$AF9)/1000</f>
        <v>-1.65</v>
      </c>
      <c r="S9" s="197">
        <f>-SUMIFS('Full Customer List'!$G:$G,'Full Customer List'!$J:$J,S$1,'Full Customer List'!$H:$H,'Client Retention $'!$AF9)/1000</f>
        <v>-0.63</v>
      </c>
      <c r="T9" s="197">
        <f>-SUMIFS('Full Customer List'!$G:$G,'Full Customer List'!$J:$J,T$1,'Full Customer List'!$H:$H,'Client Retention $'!$AF9)/1000</f>
        <v>-2.1783333333333337</v>
      </c>
      <c r="U9" s="197">
        <f>-SUMIFS('Full Customer List'!$G:$G,'Full Customer List'!$J:$J,U$1,'Full Customer List'!$H:$H,'Client Retention $'!$AF9)/1000</f>
        <v>-4.4529466666666657</v>
      </c>
      <c r="V9" s="197">
        <f>-SUMIFS('Full Customer List'!$G:$G,'Full Customer List'!$J:$J,V$1,'Full Customer List'!$H:$H,'Client Retention $'!$AF9)/1000</f>
        <v>-0.46</v>
      </c>
      <c r="W9" s="197">
        <f>-SUMIFS('Full Customer List'!$G:$G,'Full Customer List'!$J:$J,W$1,'Full Customer List'!$H:$H,'Client Retention $'!$AF9)/1000</f>
        <v>-0.73</v>
      </c>
      <c r="X9" s="197">
        <f>-SUMIFS('Full Customer List'!$G:$G,'Full Customer List'!$J:$J,X$1,'Full Customer List'!$H:$H,'Client Retention $'!$AF9)/1000</f>
        <v>-1.2888333333333335</v>
      </c>
      <c r="Y9" s="197">
        <f>-SUMIFS('Full Customer List'!$G:$G,'Full Customer List'!$J:$J,Y$1,'Full Customer List'!$H:$H,'Client Retention $'!$AF9)/1000</f>
        <v>-3.97</v>
      </c>
      <c r="Z9" s="197">
        <f>-SUMIFS('Full Customer List'!$G:$G,'Full Customer List'!$J:$J,Z$1,'Full Customer List'!$H:$H,'Client Retention $'!$AF9)/1000</f>
        <v>-5.0308333333333328</v>
      </c>
      <c r="AA9" s="197">
        <f>-SUMIFS('Full Customer List'!$G:$G,'Full Customer List'!$J:$J,AA$1,'Full Customer List'!$H:$H,'Client Retention $'!$AF9)/1000</f>
        <v>-1.7903333333333336</v>
      </c>
      <c r="AB9" s="197">
        <f>-SUMIFS('Full Customer List'!$G:$G,'Full Customer List'!$J:$J,AB$1,'Full Customer List'!$H:$H,'Client Retention $'!$AF9)/1000</f>
        <v>-2.9066666666666667</v>
      </c>
      <c r="AC9" s="197">
        <f>-SUMIFS('Full Customer List'!$G:$G,'Full Customer List'!$J:$J,AC$1,'Full Customer List'!$H:$H,'Client Retention $'!$AF9)/1000</f>
        <v>0</v>
      </c>
      <c r="AD9" s="197">
        <f>-SUMIFS('Full Customer List'!$G:$G,'Full Customer List'!$J:$J,AD$1,'Full Customer List'!$H:$H,'Client Retention $'!$AF9)/1000</f>
        <v>0</v>
      </c>
      <c r="AF9" s="175" t="s">
        <v>509</v>
      </c>
    </row>
    <row r="10" spans="2:34">
      <c r="B10" s="269" t="s">
        <v>1552</v>
      </c>
      <c r="E10" s="199">
        <f>SUM(J10:U10)*12</f>
        <v>-131.12050000000002</v>
      </c>
      <c r="F10" s="199">
        <f>SUM(V10:AD10)*12</f>
        <v>-179.66399999999999</v>
      </c>
      <c r="H10" s="199">
        <f>SUM(S10:AD10)*12</f>
        <v>-248.29400000000001</v>
      </c>
      <c r="J10" s="197">
        <f>-SUMIFS('Full Customer List'!$G:$G,'Full Customer List'!$J:$J,J$1,'Full Customer List'!$H:$H,'Client Retention $'!$AF10)/1000</f>
        <v>-2.2556250000000002</v>
      </c>
      <c r="K10" s="197">
        <f>-SUMIFS('Full Customer List'!$G:$G,'Full Customer List'!$J:$J,K$1,'Full Customer List'!$H:$H,'Client Retention $'!$AF10)/1000</f>
        <v>-0.48499999999999999</v>
      </c>
      <c r="L10" s="197">
        <f>-SUMIFS('Full Customer List'!$G:$G,'Full Customer List'!$J:$J,L$1,'Full Customer List'!$H:$H,'Client Retention $'!$AF10)/1000</f>
        <v>-0.37524999999999997</v>
      </c>
      <c r="M10" s="197">
        <f>-SUMIFS('Full Customer List'!$G:$G,'Full Customer List'!$J:$J,M$1,'Full Customer List'!$H:$H,'Client Retention $'!$AF10)/1000</f>
        <v>-0.39500000000000002</v>
      </c>
      <c r="N10" s="197">
        <f>-SUMIFS('Full Customer List'!$G:$G,'Full Customer List'!$J:$J,N$1,'Full Customer List'!$H:$H,'Client Retention $'!$AF10)/1000</f>
        <v>-0.47</v>
      </c>
      <c r="O10" s="197">
        <f>-SUMIFS('Full Customer List'!$G:$G,'Full Customer List'!$J:$J,O$1,'Full Customer List'!$H:$H,'Client Retention $'!$AF10)/1000</f>
        <v>-0.33666666666666667</v>
      </c>
      <c r="P10" s="197">
        <f>-SUMIFS('Full Customer List'!$G:$G,'Full Customer List'!$J:$J,P$1,'Full Customer List'!$H:$H,'Client Retention $'!$AF10)/1000</f>
        <v>0</v>
      </c>
      <c r="Q10" s="197">
        <f>-SUMIFS('Full Customer List'!$G:$G,'Full Customer List'!$J:$J,Q$1,'Full Customer List'!$H:$H,'Client Retention $'!$AF10)/1000</f>
        <v>0</v>
      </c>
      <c r="R10" s="197">
        <f>-SUMIFS('Full Customer List'!$G:$G,'Full Customer List'!$J:$J,R$1,'Full Customer List'!$H:$H,'Client Retention $'!$AF10)/1000</f>
        <v>-0.89</v>
      </c>
      <c r="S10" s="197">
        <f>-SUMIFS('Full Customer List'!$G:$G,'Full Customer List'!$J:$J,S$1,'Full Customer List'!$H:$H,'Client Retention $'!$AF10)/1000</f>
        <v>0</v>
      </c>
      <c r="T10" s="197">
        <f>-SUMIFS('Full Customer List'!$G:$G,'Full Customer List'!$J:$J,T$1,'Full Customer List'!$H:$H,'Client Retention $'!$AF10)/1000</f>
        <v>-4.2608333333333341</v>
      </c>
      <c r="U10" s="197">
        <f>-SUMIFS('Full Customer List'!$G:$G,'Full Customer List'!$J:$J,U$1,'Full Customer List'!$H:$H,'Client Retention $'!$AF10)/1000</f>
        <v>-1.4583333333333335</v>
      </c>
      <c r="V10" s="197">
        <f>-SUMIFS('Full Customer List'!$G:$G,'Full Customer List'!$J:$J,V$1,'Full Customer List'!$H:$H,'Client Retention $'!$AF10)/1000</f>
        <v>-3.2283333333333335</v>
      </c>
      <c r="W10" s="197">
        <f>-SUMIFS('Full Customer List'!$G:$G,'Full Customer List'!$J:$J,W$1,'Full Customer List'!$H:$H,'Client Retention $'!$AF10)/1000</f>
        <v>0</v>
      </c>
      <c r="X10" s="197">
        <f>-SUMIFS('Full Customer List'!$G:$G,'Full Customer List'!$J:$J,X$1,'Full Customer List'!$H:$H,'Client Retention $'!$AF10)/1000</f>
        <v>0</v>
      </c>
      <c r="Y10" s="197">
        <f>-SUMIFS('Full Customer List'!$G:$G,'Full Customer List'!$J:$J,Y$1,'Full Customer List'!$H:$H,'Client Retention $'!$AF10)/1000</f>
        <v>-0.54</v>
      </c>
      <c r="Z10" s="197">
        <f>-SUMIFS('Full Customer List'!$G:$G,'Full Customer List'!$J:$J,Z$1,'Full Customer List'!$H:$H,'Client Retention $'!$AF10)/1000</f>
        <v>-1.6836666666666664</v>
      </c>
      <c r="AA10" s="197">
        <f>-SUMIFS('Full Customer List'!$G:$G,'Full Customer List'!$J:$J,AA$1,'Full Customer List'!$H:$H,'Client Retention $'!$AF10)/1000</f>
        <v>0</v>
      </c>
      <c r="AB10" s="197">
        <f>-SUMIFS('Full Customer List'!$G:$G,'Full Customer List'!$J:$J,AB$1,'Full Customer List'!$H:$H,'Client Retention $'!$AF10)/1000</f>
        <v>-9.52</v>
      </c>
      <c r="AC10" s="197">
        <f>-SUMIFS('Full Customer List'!$G:$G,'Full Customer List'!$J:$J,AC$1,'Full Customer List'!$H:$H,'Client Retention $'!$AF10)/1000</f>
        <v>0</v>
      </c>
      <c r="AD10" s="197">
        <f>-SUMIFS('Full Customer List'!$G:$G,'Full Customer List'!$J:$J,AD$1,'Full Customer List'!$H:$H,'Client Retention $'!$AF10)/1000</f>
        <v>0</v>
      </c>
      <c r="AF10" s="175" t="s">
        <v>510</v>
      </c>
    </row>
    <row r="11" spans="2:34">
      <c r="B11" s="269" t="s">
        <v>1553</v>
      </c>
      <c r="E11" s="199">
        <f>SUM(J11:U11)*12</f>
        <v>-9.8999999999999986</v>
      </c>
      <c r="F11" s="199">
        <f>SUM(V11:AD11)*12</f>
        <v>-145.35600000000002</v>
      </c>
      <c r="H11" s="199">
        <f>SUM(S11:AD11)*12</f>
        <v>-150.15600000000001</v>
      </c>
      <c r="J11" s="197">
        <f>-SUMIFS('Full Customer List'!$G:$G,'Full Customer List'!$J:$J,J$1,'Full Customer List'!$H:$H,'Client Retention $'!$AF11)/1000</f>
        <v>0</v>
      </c>
      <c r="K11" s="197">
        <f>-SUMIFS('Full Customer List'!$G:$G,'Full Customer List'!$J:$J,K$1,'Full Customer List'!$H:$H,'Client Retention $'!$AF11)/1000</f>
        <v>0</v>
      </c>
      <c r="L11" s="197">
        <f>-SUMIFS('Full Customer List'!$G:$G,'Full Customer List'!$J:$J,L$1,'Full Customer List'!$H:$H,'Client Retention $'!$AF11)/1000</f>
        <v>0</v>
      </c>
      <c r="M11" s="197">
        <f>-SUMIFS('Full Customer List'!$G:$G,'Full Customer List'!$J:$J,M$1,'Full Customer List'!$H:$H,'Client Retention $'!$AF11)/1000</f>
        <v>0</v>
      </c>
      <c r="N11" s="197">
        <f>-SUMIFS('Full Customer List'!$G:$G,'Full Customer List'!$J:$J,N$1,'Full Customer List'!$H:$H,'Client Retention $'!$AF11)/1000</f>
        <v>0</v>
      </c>
      <c r="O11" s="197">
        <f>-SUMIFS('Full Customer List'!$G:$G,'Full Customer List'!$J:$J,O$1,'Full Customer List'!$H:$H,'Client Retention $'!$AF11)/1000</f>
        <v>0</v>
      </c>
      <c r="P11" s="197">
        <f>-SUMIFS('Full Customer List'!$G:$G,'Full Customer List'!$J:$J,P$1,'Full Customer List'!$H:$H,'Client Retention $'!$AF11)/1000</f>
        <v>0</v>
      </c>
      <c r="Q11" s="197">
        <f>-SUMIFS('Full Customer List'!$G:$G,'Full Customer List'!$J:$J,Q$1,'Full Customer List'!$H:$H,'Client Retention $'!$AF11)/1000</f>
        <v>0</v>
      </c>
      <c r="R11" s="197">
        <f>-SUMIFS('Full Customer List'!$G:$G,'Full Customer List'!$J:$J,R$1,'Full Customer List'!$H:$H,'Client Retention $'!$AF11)/1000</f>
        <v>-0.42499999999999999</v>
      </c>
      <c r="S11" s="197">
        <f>-SUMIFS('Full Customer List'!$G:$G,'Full Customer List'!$J:$J,S$1,'Full Customer List'!$H:$H,'Client Retention $'!$AF11)/1000</f>
        <v>0</v>
      </c>
      <c r="T11" s="197">
        <f>-SUMIFS('Full Customer List'!$G:$G,'Full Customer List'!$J:$J,T$1,'Full Customer List'!$H:$H,'Client Retention $'!$AF11)/1000</f>
        <v>-0.4</v>
      </c>
      <c r="U11" s="197">
        <f>-SUMIFS('Full Customer List'!$G:$G,'Full Customer List'!$J:$J,U$1,'Full Customer List'!$H:$H,'Client Retention $'!$AF11)/1000</f>
        <v>0</v>
      </c>
      <c r="V11" s="197">
        <f>-SUMIFS('Full Customer List'!$G:$G,'Full Customer List'!$J:$J,V$1,'Full Customer List'!$H:$H,'Client Retention $'!$AF11)/1000</f>
        <v>0</v>
      </c>
      <c r="W11" s="197">
        <f>-SUMIFS('Full Customer List'!$G:$G,'Full Customer List'!$J:$J,W$1,'Full Customer List'!$H:$H,'Client Retention $'!$AF11)/1000</f>
        <v>0</v>
      </c>
      <c r="X11" s="197">
        <f>-SUMIFS('Full Customer List'!$G:$G,'Full Customer List'!$J:$J,X$1,'Full Customer List'!$H:$H,'Client Retention $'!$AF11)/1000</f>
        <v>-2.7650000000000001</v>
      </c>
      <c r="Y11" s="197">
        <f>-SUMIFS('Full Customer List'!$G:$G,'Full Customer List'!$J:$J,Y$1,'Full Customer List'!$H:$H,'Client Retention $'!$AF11)/1000</f>
        <v>-2.7353333333333336</v>
      </c>
      <c r="Z11" s="197">
        <f>-SUMIFS('Full Customer List'!$G:$G,'Full Customer List'!$J:$J,Z$1,'Full Customer List'!$H:$H,'Client Retention $'!$AF11)/1000</f>
        <v>-2.319</v>
      </c>
      <c r="AA11" s="197">
        <f>-SUMIFS('Full Customer List'!$G:$G,'Full Customer List'!$J:$J,AA$1,'Full Customer List'!$H:$H,'Client Retention $'!$AF11)/1000</f>
        <v>0</v>
      </c>
      <c r="AB11" s="197">
        <f>-SUMIFS('Full Customer List'!$G:$G,'Full Customer List'!$J:$J,AB$1,'Full Customer List'!$H:$H,'Client Retention $'!$AF11)/1000</f>
        <v>-1.552</v>
      </c>
      <c r="AC11" s="197">
        <f>-SUMIFS('Full Customer List'!$G:$G,'Full Customer List'!$J:$J,AC$1,'Full Customer List'!$H:$H,'Client Retention $'!$AF11)/1000</f>
        <v>-2.7416666666666667</v>
      </c>
      <c r="AD11" s="197">
        <f>-SUMIFS('Full Customer List'!$G:$G,'Full Customer List'!$J:$J,AD$1,'Full Customer List'!$H:$H,'Client Retention $'!$AF11)/1000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Departures'!C13/1000*12</f>
        <v>-110.148</v>
      </c>
      <c r="D12" s="262">
        <f>-'Client Departures'!C14/1000*12</f>
        <v>-268.93200000000002</v>
      </c>
      <c r="E12" s="260">
        <f>SUM(J12:U12)*12</f>
        <v>-388.47386</v>
      </c>
      <c r="F12" s="260">
        <f>SUM(V12:AD12)*12</f>
        <v>-519.14</v>
      </c>
      <c r="G12" s="261"/>
      <c r="H12" s="260">
        <f>SUM(S12:AD12)*12</f>
        <v>-679.70536000000004</v>
      </c>
      <c r="I12" s="261"/>
      <c r="J12" s="262">
        <f>-SUMIFS('Full Customer List'!$G:$G,'Full Customer List'!$J:$J,J$1)/1000</f>
        <v>-3.1306250000000002</v>
      </c>
      <c r="K12" s="262">
        <f>-SUMIFS('Full Customer List'!$G:$G,'Full Customer List'!$J:$J,K$1)/1000</f>
        <v>-1.31</v>
      </c>
      <c r="L12" s="262">
        <f>-SUMIFS('Full Customer List'!$G:$G,'Full Customer List'!$J:$J,L$1)/1000</f>
        <v>-0.77024999999999999</v>
      </c>
      <c r="M12" s="262">
        <f>-SUMIFS('Full Customer List'!$G:$G,'Full Customer List'!$J:$J,M$1)/1000</f>
        <v>-2.333333333333333</v>
      </c>
      <c r="N12" s="262">
        <f>-SUMIFS('Full Customer List'!$G:$G,'Full Customer List'!$J:$J,N$1)/1000</f>
        <v>-0.77</v>
      </c>
      <c r="O12" s="262">
        <f>-SUMIFS('Full Customer List'!$G:$G,'Full Customer List'!$J:$J,O$1)/1000</f>
        <v>-3.1251666666666669</v>
      </c>
      <c r="P12" s="262">
        <f>-SUMIFS('Full Customer List'!$G:$G,'Full Customer List'!$J:$J,P$1)/1000</f>
        <v>-4.0096666666666669</v>
      </c>
      <c r="Q12" s="262">
        <f>-SUMIFS('Full Customer List'!$G:$G,'Full Customer List'!$J:$J,Q$1)/1000</f>
        <v>-0.57833333333333337</v>
      </c>
      <c r="R12" s="262">
        <f>-SUMIFS('Full Customer List'!$G:$G,'Full Customer List'!$J:$J,R$1)/1000</f>
        <v>-2.9649999999999999</v>
      </c>
      <c r="S12" s="262">
        <f>-SUMIFS('Full Customer List'!$G:$G,'Full Customer List'!$J:$J,S$1)/1000</f>
        <v>-0.63</v>
      </c>
      <c r="T12" s="262">
        <f>-SUMIFS('Full Customer List'!$G:$G,'Full Customer List'!$J:$J,T$1)/1000</f>
        <v>-6.8391666666666682</v>
      </c>
      <c r="U12" s="262">
        <f>-SUMIFS('Full Customer List'!$G:$G,'Full Customer List'!$J:$J,U$1)/1000</f>
        <v>-5.9112799999999996</v>
      </c>
      <c r="V12" s="262">
        <f>-SUMIFS('Full Customer List'!$G:$G,'Full Customer List'!$J:$J,V$1)/1000</f>
        <v>-3.6883333333333335</v>
      </c>
      <c r="W12" s="262">
        <f>-SUMIFS('Full Customer List'!$G:$G,'Full Customer List'!$J:$J,W$1)/1000</f>
        <v>-0.73</v>
      </c>
      <c r="X12" s="262">
        <f>-SUMIFS('Full Customer List'!$G:$G,'Full Customer List'!$J:$J,X$1)/1000</f>
        <v>-4.0538333333333334</v>
      </c>
      <c r="Y12" s="262">
        <f>-SUMIFS('Full Customer List'!$G:$G,'Full Customer List'!$J:$J,Y$1)/1000</f>
        <v>-7.245333333333333</v>
      </c>
      <c r="Z12" s="262">
        <f>-SUMIFS('Full Customer List'!$G:$G,'Full Customer List'!$J:$J,Z$1)/1000</f>
        <v>-9.0335000000000001</v>
      </c>
      <c r="AA12" s="262">
        <f>-SUMIFS('Full Customer List'!$G:$G,'Full Customer List'!$J:$J,AA$1)/1000</f>
        <v>-1.7903333333333336</v>
      </c>
      <c r="AB12" s="262">
        <f>-SUMIFS('Full Customer List'!$G:$G,'Full Customer List'!$J:$J,AB$1)/1000</f>
        <v>-13.978666666666665</v>
      </c>
      <c r="AC12" s="262">
        <f>-SUMIFS('Full Customer List'!$G:$G,'Full Customer List'!$J:$J,AC$1)/1000</f>
        <v>-2.7416666666666667</v>
      </c>
      <c r="AD12" s="262">
        <f>-SUMIFS('Full Customer List'!$G:$G,'Full Customer List'!$J:$J,AD$1)/1000</f>
        <v>0</v>
      </c>
    </row>
    <row r="13" spans="2:34" ht="12" customHeight="1">
      <c r="B13" s="263" t="s">
        <v>1574</v>
      </c>
      <c r="C13" s="264">
        <f>+D7</f>
        <v>602.68375999999876</v>
      </c>
      <c r="D13" s="264">
        <f>+E7</f>
        <v>1301.677099999999</v>
      </c>
      <c r="E13" s="264">
        <f>+F7</f>
        <v>2231.432119999999</v>
      </c>
      <c r="F13" s="265">
        <f>+$AD13*12</f>
        <v>2713.2467199999992</v>
      </c>
      <c r="H13" s="268">
        <f>+$AD13*12</f>
        <v>2713.2467199999992</v>
      </c>
      <c r="J13" s="266">
        <f t="shared" ref="J13:AC13" si="4">+K7</f>
        <v>117.00979666666655</v>
      </c>
      <c r="K13" s="264">
        <f t="shared" si="4"/>
        <v>120.25279666666654</v>
      </c>
      <c r="L13" s="264">
        <f t="shared" si="4"/>
        <v>133.96387999999988</v>
      </c>
      <c r="M13" s="264">
        <f t="shared" si="4"/>
        <v>136.80437999999987</v>
      </c>
      <c r="N13" s="264">
        <f t="shared" si="4"/>
        <v>145.68704666666653</v>
      </c>
      <c r="O13" s="264">
        <f t="shared" si="4"/>
        <v>146.81951333333319</v>
      </c>
      <c r="P13" s="264">
        <f t="shared" si="4"/>
        <v>148.38547999999986</v>
      </c>
      <c r="Q13" s="264">
        <f t="shared" si="4"/>
        <v>154.54209999999983</v>
      </c>
      <c r="R13" s="264">
        <f t="shared" si="4"/>
        <v>162.30588999999983</v>
      </c>
      <c r="S13" s="266">
        <f t="shared" si="4"/>
        <v>177.94297333333319</v>
      </c>
      <c r="T13" s="264">
        <f t="shared" si="4"/>
        <v>180.08713999999986</v>
      </c>
      <c r="U13" s="264">
        <f t="shared" si="4"/>
        <v>185.95267666666652</v>
      </c>
      <c r="V13" s="264">
        <f t="shared" si="4"/>
        <v>193.41600999999986</v>
      </c>
      <c r="W13" s="264">
        <f t="shared" si="4"/>
        <v>201.50984333333321</v>
      </c>
      <c r="X13" s="264">
        <f t="shared" si="4"/>
        <v>204.83447666666655</v>
      </c>
      <c r="Y13" s="264">
        <f t="shared" si="4"/>
        <v>210.52247666666656</v>
      </c>
      <c r="Z13" s="264">
        <f t="shared" si="4"/>
        <v>216.54630999999989</v>
      </c>
      <c r="AA13" s="264">
        <f t="shared" si="4"/>
        <v>219.62222666666656</v>
      </c>
      <c r="AB13" s="264">
        <f t="shared" si="4"/>
        <v>218.0725599999999</v>
      </c>
      <c r="AC13" s="264">
        <f t="shared" si="4"/>
        <v>220.20889333333324</v>
      </c>
      <c r="AD13" s="265">
        <f>SUMIFS('Full Customer List'!$G:$G,'Full Customer List'!$C:$C,"Active")/1000</f>
        <v>226.10389333333325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1571</v>
      </c>
      <c r="C15" s="240">
        <f>(C8+C7)/C7-1</f>
        <v>1.4766946743986558</v>
      </c>
      <c r="D15" s="240">
        <f>(D8+D7)/D7-1</f>
        <v>1.6060252560978285</v>
      </c>
      <c r="E15" s="240">
        <f>(E8+E7)/E7-1</f>
        <v>1.0127157341863056</v>
      </c>
      <c r="F15" s="251">
        <f>(F8+F7)/F7-1</f>
        <v>0.44857049023745366</v>
      </c>
      <c r="G15" s="252"/>
      <c r="H15" s="253">
        <f>(H8+H7)/H7-1</f>
        <v>0.74205635215497545</v>
      </c>
      <c r="J15" s="250">
        <f t="shared" ref="J15:AD15" si="5">(J8+J7)/J7-1</f>
        <v>0.10755967052043869</v>
      </c>
      <c r="K15" s="240">
        <f t="shared" si="5"/>
        <v>3.8911271788382162E-2</v>
      </c>
      <c r="L15" s="240">
        <f t="shared" si="5"/>
        <v>0.12042408771144597</v>
      </c>
      <c r="M15" s="240">
        <f t="shared" si="5"/>
        <v>3.8621106923249382E-2</v>
      </c>
      <c r="N15" s="240">
        <f t="shared" si="5"/>
        <v>7.0558169750607913E-2</v>
      </c>
      <c r="O15" s="240">
        <f t="shared" si="5"/>
        <v>2.922451536185533E-2</v>
      </c>
      <c r="P15" s="240">
        <f t="shared" si="5"/>
        <v>3.7976105537651739E-2</v>
      </c>
      <c r="Q15" s="240">
        <f t="shared" si="5"/>
        <v>4.5388223519803539E-2</v>
      </c>
      <c r="R15" s="240">
        <f t="shared" si="5"/>
        <v>6.9423089242348857E-2</v>
      </c>
      <c r="S15" s="250">
        <f t="shared" si="5"/>
        <v>0.10022484910025975</v>
      </c>
      <c r="T15" s="240">
        <f t="shared" si="5"/>
        <v>5.0484338690380381E-2</v>
      </c>
      <c r="U15" s="240">
        <f t="shared" si="5"/>
        <v>6.5395100764366942E-2</v>
      </c>
      <c r="V15" s="240">
        <f t="shared" si="5"/>
        <v>5.9970455207035478E-2</v>
      </c>
      <c r="W15" s="240">
        <f t="shared" si="5"/>
        <v>4.5621007967920235E-2</v>
      </c>
      <c r="X15" s="240">
        <f t="shared" si="5"/>
        <v>3.6615911881095364E-2</v>
      </c>
      <c r="Y15" s="240">
        <f t="shared" si="5"/>
        <v>6.3140412413971392E-2</v>
      </c>
      <c r="Z15" s="240">
        <f t="shared" si="5"/>
        <v>7.1523637626468517E-2</v>
      </c>
      <c r="AA15" s="240">
        <f t="shared" si="5"/>
        <v>2.247209846244913E-2</v>
      </c>
      <c r="AB15" s="240">
        <f t="shared" si="5"/>
        <v>5.6592632670390941E-2</v>
      </c>
      <c r="AC15" s="240">
        <f t="shared" si="5"/>
        <v>2.236870150008774E-2</v>
      </c>
      <c r="AD15" s="251">
        <f t="shared" si="5"/>
        <v>2.6770035990674845E-2</v>
      </c>
    </row>
    <row r="16" spans="2:34">
      <c r="B16" s="241" t="s">
        <v>1572</v>
      </c>
      <c r="C16" s="243">
        <f>(C12+C7)/C7-1</f>
        <v>-0.38270315704741276</v>
      </c>
      <c r="D16" s="243">
        <f>(D12+D7)/D7-1</f>
        <v>-0.44622406948546378</v>
      </c>
      <c r="E16" s="243">
        <f>(E12+E7)/E7-1</f>
        <v>-0.29844103426264501</v>
      </c>
      <c r="F16" s="244">
        <f>(F12+F7)/F7-1</f>
        <v>-0.2326487977595304</v>
      </c>
      <c r="G16" s="252"/>
      <c r="H16" s="246">
        <f>(H12+H7)/H7-1</f>
        <v>-0.34898372038952719</v>
      </c>
      <c r="J16" s="245">
        <f t="shared" ref="J16:AD16" si="6">(J12+J7)/J7-1</f>
        <v>-2.8860844213975945E-2</v>
      </c>
      <c r="K16" s="243">
        <f t="shared" si="6"/>
        <v>-1.119564376076887E-2</v>
      </c>
      <c r="L16" s="243">
        <f t="shared" si="6"/>
        <v>-6.4052564376950727E-3</v>
      </c>
      <c r="M16" s="243">
        <f t="shared" si="6"/>
        <v>-1.7417630284621066E-2</v>
      </c>
      <c r="N16" s="243">
        <f t="shared" si="6"/>
        <v>-5.6284747608228436E-3</v>
      </c>
      <c r="O16" s="243">
        <f t="shared" si="6"/>
        <v>-2.1451232200602521E-2</v>
      </c>
      <c r="P16" s="243">
        <f t="shared" si="6"/>
        <v>-2.7310175436716544E-2</v>
      </c>
      <c r="Q16" s="243">
        <f t="shared" si="6"/>
        <v>-3.8975062339883237E-3</v>
      </c>
      <c r="R16" s="243">
        <f t="shared" si="6"/>
        <v>-1.9185710560423397E-2</v>
      </c>
      <c r="S16" s="245">
        <f t="shared" si="6"/>
        <v>-3.8815596895466209E-3</v>
      </c>
      <c r="T16" s="243">
        <f t="shared" si="6"/>
        <v>-3.8434598110570706E-2</v>
      </c>
      <c r="U16" s="243">
        <f t="shared" si="6"/>
        <v>-3.282455371327464E-2</v>
      </c>
      <c r="V16" s="243">
        <f t="shared" si="6"/>
        <v>-1.9834795602028055E-2</v>
      </c>
      <c r="W16" s="243">
        <f t="shared" si="6"/>
        <v>-3.7742480573350612E-3</v>
      </c>
      <c r="X16" s="243">
        <f t="shared" si="6"/>
        <v>-2.0117296834118226E-2</v>
      </c>
      <c r="Y16" s="243">
        <f t="shared" si="6"/>
        <v>-3.5371649593558763E-2</v>
      </c>
      <c r="Z16" s="243">
        <f t="shared" si="6"/>
        <v>-4.2909907497921562E-2</v>
      </c>
      <c r="AA16" s="243">
        <f t="shared" si="6"/>
        <v>-8.2676695499144248E-3</v>
      </c>
      <c r="AB16" s="243">
        <f t="shared" si="6"/>
        <v>-6.364868838108495E-2</v>
      </c>
      <c r="AC16" s="243">
        <f t="shared" si="6"/>
        <v>-1.2572267994958586E-2</v>
      </c>
      <c r="AD16" s="244">
        <f t="shared" si="6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:P18" si="7">EOMONTH(J18,0)+1</f>
        <v>45689</v>
      </c>
      <c r="L18" s="194">
        <f t="shared" si="7"/>
        <v>45717</v>
      </c>
      <c r="M18" s="194">
        <f t="shared" si="7"/>
        <v>45748</v>
      </c>
      <c r="N18" s="194">
        <f t="shared" si="7"/>
        <v>45778</v>
      </c>
      <c r="O18" s="194">
        <f t="shared" si="7"/>
        <v>45809</v>
      </c>
      <c r="P18" s="194">
        <f t="shared" si="7"/>
        <v>45839</v>
      </c>
      <c r="Q18" s="194">
        <v>45870</v>
      </c>
      <c r="R18" s="194">
        <f t="shared" ref="R18:AD18" si="8">EOMONTH(Q18,0)+1</f>
        <v>45901</v>
      </c>
      <c r="S18" s="194">
        <f t="shared" si="8"/>
        <v>45931</v>
      </c>
      <c r="T18" s="194">
        <f t="shared" si="8"/>
        <v>45962</v>
      </c>
      <c r="U18" s="194">
        <f t="shared" si="8"/>
        <v>45992</v>
      </c>
      <c r="V18" s="194">
        <f t="shared" si="8"/>
        <v>46023</v>
      </c>
      <c r="W18" s="194">
        <f t="shared" si="8"/>
        <v>46054</v>
      </c>
      <c r="X18" s="194">
        <f t="shared" si="8"/>
        <v>46082</v>
      </c>
      <c r="Y18" s="194">
        <f t="shared" si="8"/>
        <v>46113</v>
      </c>
      <c r="Z18" s="194">
        <f t="shared" si="8"/>
        <v>46143</v>
      </c>
      <c r="AA18" s="194">
        <f t="shared" si="8"/>
        <v>46174</v>
      </c>
      <c r="AB18" s="194">
        <f t="shared" si="8"/>
        <v>46204</v>
      </c>
      <c r="AC18" s="194">
        <f t="shared" si="8"/>
        <v>46235</v>
      </c>
      <c r="AD18" s="194">
        <f t="shared" si="8"/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1575</v>
      </c>
      <c r="C20" s="184"/>
      <c r="D20" s="184"/>
      <c r="E20" s="184">
        <f>+E26-E21-E25</f>
        <v>1254.4500999999996</v>
      </c>
      <c r="F20" s="184">
        <f>+F26-F21-F25</f>
        <v>2130.2061199999994</v>
      </c>
      <c r="H20" s="184">
        <f>+H26-H21-H25</f>
        <v>1900.0236799999996</v>
      </c>
      <c r="J20" s="184">
        <f t="shared" ref="J20:AD20" si="9">+J26-J21-J25</f>
        <v>104.53750833333326</v>
      </c>
      <c r="K20" s="184">
        <f t="shared" si="9"/>
        <v>114.67921333333325</v>
      </c>
      <c r="L20" s="184">
        <f t="shared" si="9"/>
        <v>118.32221333333325</v>
      </c>
      <c r="M20" s="184">
        <f t="shared" si="9"/>
        <v>132.03329666666659</v>
      </c>
      <c r="N20" s="184">
        <f t="shared" si="9"/>
        <v>134.87379666666658</v>
      </c>
      <c r="O20" s="184">
        <f t="shared" si="9"/>
        <v>144.05646333333326</v>
      </c>
      <c r="P20" s="184">
        <f t="shared" si="9"/>
        <v>145.15226333333325</v>
      </c>
      <c r="Q20" s="184">
        <f t="shared" si="9"/>
        <v>147.42822999999993</v>
      </c>
      <c r="R20" s="184">
        <f t="shared" si="9"/>
        <v>153.18484999999993</v>
      </c>
      <c r="S20" s="184">
        <f t="shared" si="9"/>
        <v>158.33530666666661</v>
      </c>
      <c r="T20" s="184">
        <f t="shared" si="9"/>
        <v>168.50713999999994</v>
      </c>
      <c r="U20" s="184">
        <f t="shared" si="9"/>
        <v>171.05130666666659</v>
      </c>
      <c r="V20" s="184">
        <f t="shared" si="9"/>
        <v>177.51717666666659</v>
      </c>
      <c r="W20" s="184">
        <f t="shared" si="9"/>
        <v>184.20550999999992</v>
      </c>
      <c r="X20" s="184">
        <f t="shared" si="9"/>
        <v>190.97934333333325</v>
      </c>
      <c r="Y20" s="184">
        <f t="shared" si="9"/>
        <v>194.66947666666658</v>
      </c>
      <c r="Z20" s="184">
        <f t="shared" si="9"/>
        <v>200.3574766666666</v>
      </c>
      <c r="AA20" s="184">
        <f t="shared" si="9"/>
        <v>206.72130999999993</v>
      </c>
      <c r="AB20" s="184">
        <f t="shared" si="9"/>
        <v>209.7972266666666</v>
      </c>
      <c r="AC20" s="184">
        <f t="shared" si="9"/>
        <v>216.72255999999993</v>
      </c>
      <c r="AD20" s="184">
        <f t="shared" si="9"/>
        <v>218.85889333333327</v>
      </c>
    </row>
    <row r="21" spans="2:34">
      <c r="B21" s="193" t="s">
        <v>1322</v>
      </c>
      <c r="E21" s="199">
        <f>SUM(J21:U21)*12</f>
        <v>1202.5058799999999</v>
      </c>
      <c r="F21" s="199">
        <f>SUM(V21:AD21)*12</f>
        <v>967.95459999999991</v>
      </c>
      <c r="H21" s="199">
        <f>SUM(S21:AD21)*12</f>
        <v>1346.6983999999998</v>
      </c>
      <c r="J21" s="197">
        <f t="shared" ref="J21:AD21" si="10">+J34+J47+J73</f>
        <v>11.66733</v>
      </c>
      <c r="K21" s="197">
        <f t="shared" si="10"/>
        <v>4.5529999999999999</v>
      </c>
      <c r="L21" s="197">
        <f t="shared" si="10"/>
        <v>14.481333333333332</v>
      </c>
      <c r="M21" s="197">
        <f t="shared" si="10"/>
        <v>5.1738333333333335</v>
      </c>
      <c r="N21" s="197">
        <f t="shared" si="10"/>
        <v>9.652666666666665</v>
      </c>
      <c r="O21" s="197">
        <f t="shared" si="10"/>
        <v>3.9176333333333337</v>
      </c>
      <c r="P21" s="197">
        <f t="shared" si="10"/>
        <v>5.5756333333333332</v>
      </c>
      <c r="Q21" s="197">
        <f t="shared" si="10"/>
        <v>6.334953333333333</v>
      </c>
      <c r="R21" s="197">
        <f t="shared" si="10"/>
        <v>7.2904566666666666</v>
      </c>
      <c r="S21" s="197">
        <f t="shared" si="10"/>
        <v>10.801833333333335</v>
      </c>
      <c r="T21" s="197">
        <f t="shared" si="10"/>
        <v>8.9833333333333343</v>
      </c>
      <c r="U21" s="197">
        <f t="shared" si="10"/>
        <v>11.776816666666665</v>
      </c>
      <c r="V21" s="197">
        <f t="shared" si="10"/>
        <v>10.026666666666666</v>
      </c>
      <c r="W21" s="197">
        <f t="shared" si="10"/>
        <v>7.198833333333333</v>
      </c>
      <c r="X21" s="197">
        <f t="shared" si="10"/>
        <v>7.3784666666666672</v>
      </c>
      <c r="Y21" s="197">
        <f t="shared" si="10"/>
        <v>12.933333333333334</v>
      </c>
      <c r="Z21" s="197">
        <f t="shared" si="10"/>
        <v>15.057333333333334</v>
      </c>
      <c r="AA21" s="197">
        <f t="shared" si="10"/>
        <v>4.86625</v>
      </c>
      <c r="AB21" s="197">
        <f t="shared" si="10"/>
        <v>12.428999999999998</v>
      </c>
      <c r="AC21" s="197">
        <f t="shared" si="10"/>
        <v>4.8780000000000001</v>
      </c>
      <c r="AD21" s="197">
        <f t="shared" si="10"/>
        <v>5.8949999999999996</v>
      </c>
    </row>
    <row r="22" spans="2:34">
      <c r="B22" s="269" t="s">
        <v>1551</v>
      </c>
      <c r="E22" s="199">
        <f>SUM(J22:U22)*12</f>
        <v>-213.98936000000003</v>
      </c>
      <c r="F22" s="199">
        <f>SUM(V22:AD22)*12</f>
        <v>-177.79399999999998</v>
      </c>
      <c r="H22" s="199">
        <f>SUM(S22:AD22)*12</f>
        <v>-257.72535999999997</v>
      </c>
      <c r="J22" s="197">
        <f t="shared" ref="J22:AD22" si="11">+J35+J48+J74</f>
        <v>0</v>
      </c>
      <c r="K22" s="197">
        <f t="shared" si="11"/>
        <v>-0.82499999999999996</v>
      </c>
      <c r="L22" s="197">
        <f t="shared" si="11"/>
        <v>-0.39500000000000002</v>
      </c>
      <c r="M22" s="197">
        <f t="shared" si="11"/>
        <v>-1.9383333333333332</v>
      </c>
      <c r="N22" s="197">
        <f t="shared" si="11"/>
        <v>0</v>
      </c>
      <c r="O22" s="197">
        <f t="shared" si="11"/>
        <v>-2.4851666666666663</v>
      </c>
      <c r="P22" s="197">
        <f t="shared" si="11"/>
        <v>-3.2996666666666665</v>
      </c>
      <c r="Q22" s="197">
        <f t="shared" si="11"/>
        <v>-0.57833333333333337</v>
      </c>
      <c r="R22" s="197">
        <f t="shared" si="11"/>
        <v>-1.65</v>
      </c>
      <c r="S22" s="197">
        <f t="shared" si="11"/>
        <v>-0.63</v>
      </c>
      <c r="T22" s="197">
        <f t="shared" si="11"/>
        <v>-2.1783333333333337</v>
      </c>
      <c r="U22" s="197">
        <f t="shared" si="11"/>
        <v>-3.8526133333333332</v>
      </c>
      <c r="V22" s="197">
        <f t="shared" si="11"/>
        <v>-0.11</v>
      </c>
      <c r="W22" s="197">
        <f t="shared" si="11"/>
        <v>-0.42499999999999999</v>
      </c>
      <c r="X22" s="197">
        <f t="shared" si="11"/>
        <v>-0.92333333333333334</v>
      </c>
      <c r="Y22" s="197">
        <f t="shared" si="11"/>
        <v>-3.9699999999999998</v>
      </c>
      <c r="Z22" s="197">
        <f t="shared" si="11"/>
        <v>-4.6908333333333339</v>
      </c>
      <c r="AA22" s="197">
        <f t="shared" si="11"/>
        <v>-1.7903333333333333</v>
      </c>
      <c r="AB22" s="197">
        <f t="shared" si="11"/>
        <v>-2.9066666666666667</v>
      </c>
      <c r="AC22" s="197">
        <f t="shared" si="11"/>
        <v>0</v>
      </c>
      <c r="AD22" s="197">
        <f t="shared" si="11"/>
        <v>0</v>
      </c>
    </row>
    <row r="23" spans="2:34">
      <c r="B23" s="269" t="s">
        <v>1552</v>
      </c>
      <c r="E23" s="199">
        <f>SUM(J23:U23)*12</f>
        <v>-112.76050000000001</v>
      </c>
      <c r="F23" s="199">
        <f>SUM(V23:AD23)*12</f>
        <v>-83.424000000000007</v>
      </c>
      <c r="H23" s="199">
        <f>SUM(S23:AD23)*12</f>
        <v>-152.05400000000003</v>
      </c>
      <c r="J23" s="197">
        <f t="shared" ref="J23:AD23" si="12">+J36+J49+J75</f>
        <v>-1.525625</v>
      </c>
      <c r="K23" s="197">
        <f t="shared" si="12"/>
        <v>-8.5000000000000006E-2</v>
      </c>
      <c r="L23" s="197">
        <f t="shared" si="12"/>
        <v>-0.37524999999999997</v>
      </c>
      <c r="M23" s="197">
        <f t="shared" si="12"/>
        <v>-0.39500000000000002</v>
      </c>
      <c r="N23" s="197">
        <f t="shared" si="12"/>
        <v>-0.47</v>
      </c>
      <c r="O23" s="197">
        <f t="shared" si="12"/>
        <v>-0.33666666666666667</v>
      </c>
      <c r="P23" s="197">
        <f t="shared" si="12"/>
        <v>0</v>
      </c>
      <c r="Q23" s="197">
        <f t="shared" si="12"/>
        <v>0</v>
      </c>
      <c r="R23" s="197">
        <f t="shared" si="12"/>
        <v>-0.49</v>
      </c>
      <c r="S23" s="197">
        <f t="shared" si="12"/>
        <v>0</v>
      </c>
      <c r="T23" s="197">
        <f t="shared" si="12"/>
        <v>-4.2608333333333341</v>
      </c>
      <c r="U23" s="197">
        <f t="shared" si="12"/>
        <v>-1.4583333333333335</v>
      </c>
      <c r="V23" s="197">
        <f t="shared" si="12"/>
        <v>-3.2283333333333335</v>
      </c>
      <c r="W23" s="197">
        <f t="shared" si="12"/>
        <v>0</v>
      </c>
      <c r="X23" s="197">
        <f t="shared" si="12"/>
        <v>0</v>
      </c>
      <c r="Y23" s="197">
        <f t="shared" si="12"/>
        <v>-0.54</v>
      </c>
      <c r="Z23" s="197">
        <f t="shared" si="12"/>
        <v>-1.6836666666666664</v>
      </c>
      <c r="AA23" s="197">
        <f t="shared" si="12"/>
        <v>0</v>
      </c>
      <c r="AB23" s="197">
        <f t="shared" si="12"/>
        <v>-1.5</v>
      </c>
      <c r="AC23" s="197">
        <f t="shared" si="12"/>
        <v>0</v>
      </c>
      <c r="AD23" s="197">
        <f t="shared" si="12"/>
        <v>0</v>
      </c>
    </row>
    <row r="24" spans="2:34">
      <c r="B24" s="269" t="s">
        <v>1553</v>
      </c>
      <c r="E24" s="199">
        <f>SUM(J24:U24)*12</f>
        <v>0</v>
      </c>
      <c r="F24" s="199">
        <f>SUM(V24:AD24)*12</f>
        <v>-139.89600000000002</v>
      </c>
      <c r="H24" s="199">
        <f>SUM(S24:AD24)*12</f>
        <v>-139.89600000000002</v>
      </c>
      <c r="J24" s="197">
        <f t="shared" ref="J24:AD24" si="13">+J37+J50+J76</f>
        <v>0</v>
      </c>
      <c r="K24" s="197">
        <f t="shared" si="13"/>
        <v>0</v>
      </c>
      <c r="L24" s="197">
        <f t="shared" si="13"/>
        <v>0</v>
      </c>
      <c r="M24" s="197">
        <f t="shared" si="13"/>
        <v>0</v>
      </c>
      <c r="N24" s="197">
        <f t="shared" si="13"/>
        <v>0</v>
      </c>
      <c r="O24" s="197">
        <f t="shared" si="13"/>
        <v>0</v>
      </c>
      <c r="P24" s="197">
        <f t="shared" si="13"/>
        <v>0</v>
      </c>
      <c r="Q24" s="197">
        <f t="shared" si="13"/>
        <v>0</v>
      </c>
      <c r="R24" s="197">
        <f t="shared" si="13"/>
        <v>0</v>
      </c>
      <c r="S24" s="197">
        <f t="shared" si="13"/>
        <v>0</v>
      </c>
      <c r="T24" s="197">
        <f t="shared" si="13"/>
        <v>0</v>
      </c>
      <c r="U24" s="197">
        <f t="shared" si="13"/>
        <v>0</v>
      </c>
      <c r="V24" s="197">
        <f t="shared" si="13"/>
        <v>0</v>
      </c>
      <c r="W24" s="197">
        <f t="shared" si="13"/>
        <v>0</v>
      </c>
      <c r="X24" s="197">
        <f t="shared" si="13"/>
        <v>-2.7650000000000001</v>
      </c>
      <c r="Y24" s="197">
        <f t="shared" si="13"/>
        <v>-2.7353333333333336</v>
      </c>
      <c r="Z24" s="197">
        <f t="shared" si="13"/>
        <v>-2.319</v>
      </c>
      <c r="AA24" s="197">
        <f t="shared" si="13"/>
        <v>0</v>
      </c>
      <c r="AB24" s="197">
        <f t="shared" si="13"/>
        <v>-1.097</v>
      </c>
      <c r="AC24" s="197">
        <f t="shared" si="13"/>
        <v>-2.7416666666666667</v>
      </c>
      <c r="AD24" s="197">
        <f t="shared" si="13"/>
        <v>0</v>
      </c>
    </row>
    <row r="25" spans="2:34" ht="12" customHeight="1">
      <c r="B25" s="259" t="s">
        <v>1555</v>
      </c>
      <c r="C25" s="262"/>
      <c r="D25" s="262"/>
      <c r="E25" s="260">
        <f>SUM(J25:U25)*12</f>
        <v>-326.74986000000001</v>
      </c>
      <c r="F25" s="260">
        <f>SUM(V25:AD25)*12</f>
        <v>-401.11400000000003</v>
      </c>
      <c r="G25" s="261"/>
      <c r="H25" s="260">
        <f>SUM(S25:AD25)*12</f>
        <v>-549.67535999999996</v>
      </c>
      <c r="I25" s="261"/>
      <c r="J25" s="262">
        <f t="shared" ref="J25:AD25" si="14">+J38+J51+J77</f>
        <v>-1.525625</v>
      </c>
      <c r="K25" s="262">
        <f t="shared" si="14"/>
        <v>-0.91</v>
      </c>
      <c r="L25" s="262">
        <f t="shared" si="14"/>
        <v>-0.77024999999999999</v>
      </c>
      <c r="M25" s="262">
        <f t="shared" si="14"/>
        <v>-2.333333333333333</v>
      </c>
      <c r="N25" s="262">
        <f t="shared" si="14"/>
        <v>-0.47</v>
      </c>
      <c r="O25" s="262">
        <f t="shared" si="14"/>
        <v>-2.8218333333333336</v>
      </c>
      <c r="P25" s="262">
        <f t="shared" si="14"/>
        <v>-3.2996666666666665</v>
      </c>
      <c r="Q25" s="262">
        <f t="shared" si="14"/>
        <v>-0.57833333333333337</v>
      </c>
      <c r="R25" s="262">
        <f t="shared" si="14"/>
        <v>-2.14</v>
      </c>
      <c r="S25" s="262">
        <f t="shared" si="14"/>
        <v>-0.63</v>
      </c>
      <c r="T25" s="262">
        <f t="shared" si="14"/>
        <v>-6.4391666666666678</v>
      </c>
      <c r="U25" s="262">
        <f t="shared" si="14"/>
        <v>-5.3109466666666663</v>
      </c>
      <c r="V25" s="262">
        <f t="shared" si="14"/>
        <v>-3.3383333333333334</v>
      </c>
      <c r="W25" s="262">
        <f t="shared" si="14"/>
        <v>-0.42499999999999999</v>
      </c>
      <c r="X25" s="262">
        <f t="shared" si="14"/>
        <v>-3.6883333333333335</v>
      </c>
      <c r="Y25" s="262">
        <f t="shared" si="14"/>
        <v>-7.245333333333333</v>
      </c>
      <c r="Z25" s="262">
        <f t="shared" si="14"/>
        <v>-8.6935000000000002</v>
      </c>
      <c r="AA25" s="262">
        <f t="shared" si="14"/>
        <v>-1.7903333333333333</v>
      </c>
      <c r="AB25" s="262">
        <f t="shared" si="14"/>
        <v>-5.5036666666666667</v>
      </c>
      <c r="AC25" s="262">
        <f t="shared" si="14"/>
        <v>-2.7416666666666667</v>
      </c>
      <c r="AD25" s="262">
        <f t="shared" si="14"/>
        <v>0</v>
      </c>
    </row>
    <row r="26" spans="2:34" ht="12" customHeight="1">
      <c r="B26" s="263" t="s">
        <v>1574</v>
      </c>
      <c r="C26" s="264"/>
      <c r="D26" s="264"/>
      <c r="E26" s="264">
        <f>+F20</f>
        <v>2130.2061199999994</v>
      </c>
      <c r="F26" s="265">
        <f>+$AD26*12</f>
        <v>2697.0467199999994</v>
      </c>
      <c r="H26" s="268">
        <f>+$AD26*12</f>
        <v>2697.0467199999994</v>
      </c>
      <c r="J26" s="266">
        <f t="shared" ref="J26:AA26" si="15">+K20</f>
        <v>114.67921333333325</v>
      </c>
      <c r="K26" s="264">
        <f t="shared" si="15"/>
        <v>118.32221333333325</v>
      </c>
      <c r="L26" s="264">
        <f t="shared" si="15"/>
        <v>132.03329666666659</v>
      </c>
      <c r="M26" s="264">
        <f t="shared" si="15"/>
        <v>134.87379666666658</v>
      </c>
      <c r="N26" s="264">
        <f t="shared" si="15"/>
        <v>144.05646333333326</v>
      </c>
      <c r="O26" s="264">
        <f t="shared" si="15"/>
        <v>145.15226333333325</v>
      </c>
      <c r="P26" s="264">
        <f t="shared" si="15"/>
        <v>147.42822999999993</v>
      </c>
      <c r="Q26" s="264">
        <f t="shared" si="15"/>
        <v>153.18484999999993</v>
      </c>
      <c r="R26" s="264">
        <f t="shared" si="15"/>
        <v>158.33530666666661</v>
      </c>
      <c r="S26" s="266">
        <f t="shared" si="15"/>
        <v>168.50713999999994</v>
      </c>
      <c r="T26" s="264">
        <f t="shared" si="15"/>
        <v>171.05130666666659</v>
      </c>
      <c r="U26" s="264">
        <f t="shared" si="15"/>
        <v>177.51717666666659</v>
      </c>
      <c r="V26" s="264">
        <f t="shared" si="15"/>
        <v>184.20550999999992</v>
      </c>
      <c r="W26" s="264">
        <f t="shared" si="15"/>
        <v>190.97934333333325</v>
      </c>
      <c r="X26" s="264">
        <f t="shared" si="15"/>
        <v>194.66947666666658</v>
      </c>
      <c r="Y26" s="264">
        <f t="shared" si="15"/>
        <v>200.3574766666666</v>
      </c>
      <c r="Z26" s="264">
        <f t="shared" si="15"/>
        <v>206.72130999999993</v>
      </c>
      <c r="AA26" s="264">
        <f t="shared" si="15"/>
        <v>209.7972266666666</v>
      </c>
      <c r="AB26" s="264">
        <f>+AB39+AB52</f>
        <v>216.72255999999993</v>
      </c>
      <c r="AC26" s="264">
        <f>+AC39+AC52</f>
        <v>218.85889333333327</v>
      </c>
      <c r="AD26" s="265">
        <f>+AD39+AD52+AD78</f>
        <v>224.75389333333328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1571</v>
      </c>
      <c r="C28" s="239"/>
      <c r="D28" s="239"/>
      <c r="E28" s="240">
        <f>(E21+E20)/E20-1</f>
        <v>0.95859203965147799</v>
      </c>
      <c r="F28" s="251">
        <f>(F21+F20)/F20-1</f>
        <v>0.4543948075785269</v>
      </c>
      <c r="G28" s="252"/>
      <c r="H28" s="253">
        <f>(H21+H20)/H20-1</f>
        <v>0.70877979794441326</v>
      </c>
      <c r="J28" s="250">
        <f t="shared" ref="J28:AD28" si="16">(J21+J20)/J20-1</f>
        <v>0.11160903092119812</v>
      </c>
      <c r="K28" s="240">
        <f t="shared" si="16"/>
        <v>3.9702051205792399E-2</v>
      </c>
      <c r="L28" s="240">
        <f t="shared" si="16"/>
        <v>0.12238896590395099</v>
      </c>
      <c r="M28" s="240">
        <f t="shared" si="16"/>
        <v>3.9185822545924065E-2</v>
      </c>
      <c r="N28" s="240">
        <f t="shared" si="16"/>
        <v>7.1568139291894761E-2</v>
      </c>
      <c r="O28" s="240">
        <f t="shared" si="16"/>
        <v>2.7195123652788089E-2</v>
      </c>
      <c r="P28" s="240">
        <f t="shared" si="16"/>
        <v>3.8412307223410158E-2</v>
      </c>
      <c r="Q28" s="240">
        <f t="shared" si="16"/>
        <v>4.2969744216106776E-2</v>
      </c>
      <c r="R28" s="240">
        <f t="shared" si="16"/>
        <v>4.7592543692582367E-2</v>
      </c>
      <c r="S28" s="250">
        <f t="shared" si="16"/>
        <v>6.822125501088494E-2</v>
      </c>
      <c r="T28" s="240">
        <f t="shared" si="16"/>
        <v>5.3311291932990779E-2</v>
      </c>
      <c r="U28" s="240">
        <f t="shared" si="16"/>
        <v>6.8849615335687231E-2</v>
      </c>
      <c r="V28" s="240">
        <f t="shared" si="16"/>
        <v>5.648279707317716E-2</v>
      </c>
      <c r="W28" s="240">
        <f t="shared" si="16"/>
        <v>3.9080445168732103E-2</v>
      </c>
      <c r="X28" s="240">
        <f t="shared" si="16"/>
        <v>3.8634893899432754E-2</v>
      </c>
      <c r="Y28" s="240">
        <f t="shared" si="16"/>
        <v>6.6437397145106436E-2</v>
      </c>
      <c r="Z28" s="240">
        <f t="shared" si="16"/>
        <v>7.5152340625571634E-2</v>
      </c>
      <c r="AA28" s="240">
        <f t="shared" si="16"/>
        <v>2.3540146876971813E-2</v>
      </c>
      <c r="AB28" s="240">
        <f t="shared" si="16"/>
        <v>5.9242918495522545E-2</v>
      </c>
      <c r="AC28" s="240">
        <f t="shared" si="16"/>
        <v>2.2508039772139998E-2</v>
      </c>
      <c r="AD28" s="251">
        <f t="shared" si="16"/>
        <v>2.6935163155657582E-2</v>
      </c>
    </row>
    <row r="29" spans="2:34">
      <c r="B29" s="241" t="s">
        <v>1572</v>
      </c>
      <c r="C29" s="242"/>
      <c r="D29" s="242"/>
      <c r="E29" s="243">
        <f>(E25+E20)/E20-1</f>
        <v>-0.2604725847604461</v>
      </c>
      <c r="F29" s="244">
        <f>(F25+F20)/F20-1</f>
        <v>-0.18829821031591076</v>
      </c>
      <c r="G29" s="252"/>
      <c r="H29" s="246">
        <f>(H25+H20)/H20-1</f>
        <v>-0.28929921547083037</v>
      </c>
      <c r="J29" s="245">
        <f t="shared" ref="J29:AD29" si="17">(J25+J20)/J20-1</f>
        <v>-1.4594044035709408E-2</v>
      </c>
      <c r="K29" s="243">
        <f t="shared" si="17"/>
        <v>-7.9351782554955008E-3</v>
      </c>
      <c r="L29" s="243">
        <f t="shared" si="17"/>
        <v>-6.5097666642702778E-3</v>
      </c>
      <c r="M29" s="243">
        <f t="shared" si="17"/>
        <v>-1.7672309881227255E-2</v>
      </c>
      <c r="N29" s="243">
        <f t="shared" si="17"/>
        <v>-3.4847391533107119E-3</v>
      </c>
      <c r="O29" s="243">
        <f t="shared" si="17"/>
        <v>-1.9588384082454335E-2</v>
      </c>
      <c r="P29" s="243">
        <f t="shared" si="17"/>
        <v>-2.2732450675530869E-2</v>
      </c>
      <c r="Q29" s="243">
        <f t="shared" si="17"/>
        <v>-3.9228127023795967E-3</v>
      </c>
      <c r="R29" s="243">
        <f t="shared" si="17"/>
        <v>-1.3970049910288052E-2</v>
      </c>
      <c r="S29" s="245">
        <f t="shared" si="17"/>
        <v>-3.9788977787897917E-3</v>
      </c>
      <c r="T29" s="243">
        <f t="shared" si="17"/>
        <v>-3.8213019737126097E-2</v>
      </c>
      <c r="U29" s="243">
        <f t="shared" si="17"/>
        <v>-3.1048851775311359E-2</v>
      </c>
      <c r="V29" s="243">
        <f t="shared" si="17"/>
        <v>-1.8805691911165878E-2</v>
      </c>
      <c r="W29" s="243">
        <f t="shared" si="17"/>
        <v>-2.3072056856497936E-3</v>
      </c>
      <c r="X29" s="243">
        <f t="shared" si="17"/>
        <v>-1.9312734398168718E-2</v>
      </c>
      <c r="Y29" s="243">
        <f t="shared" si="17"/>
        <v>-3.7218640833660555E-2</v>
      </c>
      <c r="Z29" s="243">
        <f t="shared" si="17"/>
        <v>-4.338994553451736E-2</v>
      </c>
      <c r="AA29" s="243">
        <f t="shared" si="17"/>
        <v>-8.6606133317040923E-3</v>
      </c>
      <c r="AB29" s="243">
        <f t="shared" si="17"/>
        <v>-2.623326701744777E-2</v>
      </c>
      <c r="AC29" s="243">
        <f t="shared" si="17"/>
        <v>-1.2650582692760204E-2</v>
      </c>
      <c r="AD29" s="244">
        <f t="shared" si="17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:P31" si="18">EOMONTH(J31,0)+1</f>
        <v>45689</v>
      </c>
      <c r="L31" s="194">
        <f t="shared" si="18"/>
        <v>45717</v>
      </c>
      <c r="M31" s="194">
        <f t="shared" si="18"/>
        <v>45748</v>
      </c>
      <c r="N31" s="194">
        <f t="shared" si="18"/>
        <v>45778</v>
      </c>
      <c r="O31" s="194">
        <f t="shared" si="18"/>
        <v>45809</v>
      </c>
      <c r="P31" s="194">
        <f t="shared" si="18"/>
        <v>45839</v>
      </c>
      <c r="Q31" s="194">
        <v>45870</v>
      </c>
      <c r="R31" s="194">
        <f t="shared" ref="R31:AD31" si="19">EOMONTH(Q31,0)+1</f>
        <v>45901</v>
      </c>
      <c r="S31" s="194">
        <f t="shared" si="19"/>
        <v>45931</v>
      </c>
      <c r="T31" s="194">
        <f t="shared" si="19"/>
        <v>45962</v>
      </c>
      <c r="U31" s="194">
        <f t="shared" si="19"/>
        <v>45992</v>
      </c>
      <c r="V31" s="194">
        <f t="shared" si="19"/>
        <v>46023</v>
      </c>
      <c r="W31" s="194">
        <f t="shared" si="19"/>
        <v>46054</v>
      </c>
      <c r="X31" s="194">
        <f t="shared" si="19"/>
        <v>46082</v>
      </c>
      <c r="Y31" s="194">
        <f t="shared" si="19"/>
        <v>46113</v>
      </c>
      <c r="Z31" s="194">
        <f t="shared" si="19"/>
        <v>46143</v>
      </c>
      <c r="AA31" s="194">
        <f t="shared" si="19"/>
        <v>46174</v>
      </c>
      <c r="AB31" s="194">
        <f t="shared" si="19"/>
        <v>46204</v>
      </c>
      <c r="AC31" s="194">
        <f t="shared" si="19"/>
        <v>46235</v>
      </c>
      <c r="AD31" s="194">
        <f t="shared" si="19"/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1575</v>
      </c>
      <c r="C33" s="184"/>
      <c r="D33" s="184"/>
      <c r="E33" s="184">
        <f>+E39-E34-E38</f>
        <v>1010.8202399999997</v>
      </c>
      <c r="F33" s="184">
        <f>+F39-F34-F38</f>
        <v>1979.9461199999996</v>
      </c>
      <c r="H33" s="184">
        <f>+H39-H34-H38</f>
        <v>1643.4123199999997</v>
      </c>
      <c r="J33" s="184">
        <f t="shared" ref="J33:AD33" si="20">+J39-J34-J38</f>
        <v>84.235019999999977</v>
      </c>
      <c r="K33" s="184">
        <f t="shared" si="20"/>
        <v>94.66701666666664</v>
      </c>
      <c r="L33" s="184">
        <f t="shared" si="20"/>
        <v>98.39334999999997</v>
      </c>
      <c r="M33" s="184">
        <f t="shared" si="20"/>
        <v>111.85968333333329</v>
      </c>
      <c r="N33" s="184">
        <f t="shared" si="20"/>
        <v>115.95768333333329</v>
      </c>
      <c r="O33" s="184">
        <f t="shared" si="20"/>
        <v>123.73068333333329</v>
      </c>
      <c r="P33" s="184">
        <f t="shared" si="20"/>
        <v>125.35564999999995</v>
      </c>
      <c r="Q33" s="184">
        <f t="shared" si="20"/>
        <v>127.11561666666663</v>
      </c>
      <c r="R33" s="184">
        <f t="shared" si="20"/>
        <v>132.15056999999996</v>
      </c>
      <c r="S33" s="184">
        <f t="shared" si="20"/>
        <v>136.95102666666662</v>
      </c>
      <c r="T33" s="184">
        <f t="shared" si="20"/>
        <v>146.97035999999994</v>
      </c>
      <c r="U33" s="184">
        <f t="shared" si="20"/>
        <v>155.15369333333328</v>
      </c>
      <c r="V33" s="184">
        <f t="shared" si="20"/>
        <v>164.99550999999994</v>
      </c>
      <c r="W33" s="184">
        <f t="shared" si="20"/>
        <v>171.54884333333328</v>
      </c>
      <c r="X33" s="184">
        <f t="shared" si="20"/>
        <v>176.65950999999993</v>
      </c>
      <c r="Y33" s="184">
        <f t="shared" si="20"/>
        <v>180.59630999999993</v>
      </c>
      <c r="Z33" s="184">
        <f t="shared" si="20"/>
        <v>184.61430999999993</v>
      </c>
      <c r="AA33" s="184">
        <f t="shared" si="20"/>
        <v>193.33497666666659</v>
      </c>
      <c r="AB33" s="184">
        <f t="shared" si="20"/>
        <v>196.81089333333327</v>
      </c>
      <c r="AC33" s="184">
        <f t="shared" si="20"/>
        <v>204.81822666666659</v>
      </c>
      <c r="AD33" s="184">
        <f t="shared" si="20"/>
        <v>206.95455999999993</v>
      </c>
    </row>
    <row r="34" spans="2:34">
      <c r="B34" s="193" t="s">
        <v>1322</v>
      </c>
      <c r="E34" s="199">
        <f>SUM(J34:U34)*12</f>
        <v>1012.32188</v>
      </c>
      <c r="F34" s="199">
        <f>SUM(V34:AD34)*12</f>
        <v>905.88059999999996</v>
      </c>
      <c r="H34" s="199">
        <f>SUM(S34:AD34)*12</f>
        <v>1246.0143999999998</v>
      </c>
      <c r="J34" s="197">
        <f>SUMIFS('Full Customer List'!$G:$G,'Full Customer List'!$I:$I,'Client Retention $'!J$5,'Full Customer List'!$E:$E,'Client Retention $'!$AF$31)/1000</f>
        <v>10.431996666666667</v>
      </c>
      <c r="K34" s="197">
        <f>SUMIFS('Full Customer List'!$G:$G,'Full Customer List'!$I:$I,'Client Retention $'!K$5,'Full Customer List'!$E:$E,'Client Retention $'!$AF$31)/1000</f>
        <v>3.7263333333333333</v>
      </c>
      <c r="L34" s="197">
        <f>SUMIFS('Full Customer List'!$G:$G,'Full Customer List'!$I:$I,'Client Retention $'!L$5,'Full Customer List'!$E:$E,'Client Retention $'!$AF$31)/1000</f>
        <v>13.466333333333331</v>
      </c>
      <c r="M34" s="197">
        <f>SUMIFS('Full Customer List'!$G:$G,'Full Customer List'!$I:$I,'Client Retention $'!M$5,'Full Customer List'!$E:$E,'Client Retention $'!$AF$31)/1000</f>
        <v>4.0979999999999999</v>
      </c>
      <c r="N34" s="197">
        <f>SUMIFS('Full Customer List'!$G:$G,'Full Customer List'!$I:$I,'Client Retention $'!N$5,'Full Customer List'!$E:$E,'Client Retention $'!$AF$31)/1000</f>
        <v>7.7729999999999988</v>
      </c>
      <c r="O34" s="197">
        <f>SUMIFS('Full Customer List'!$G:$G,'Full Customer List'!$I:$I,'Client Retention $'!O$5,'Full Customer List'!$E:$E,'Client Retention $'!$AF$31)/1000</f>
        <v>1.6249666666666667</v>
      </c>
      <c r="P34" s="197">
        <f>SUMIFS('Full Customer List'!$G:$G,'Full Customer List'!$I:$I,'Client Retention $'!P$5,'Full Customer List'!$E:$E,'Client Retention $'!$AF$31)/1000</f>
        <v>5.0596333333333332</v>
      </c>
      <c r="Q34" s="197">
        <f>SUMIFS('Full Customer List'!$G:$G,'Full Customer List'!$I:$I,'Client Retention $'!Q$5,'Full Customer List'!$E:$E,'Client Retention $'!$AF$31)/1000</f>
        <v>5.0349533333333332</v>
      </c>
      <c r="R34" s="197">
        <f>SUMIFS('Full Customer List'!$G:$G,'Full Customer List'!$I:$I,'Client Retention $'!R$5,'Full Customer List'!$E:$E,'Client Retention $'!$AF$31)/1000</f>
        <v>4.8004566666666664</v>
      </c>
      <c r="S34" s="197">
        <f>SUMIFS('Full Customer List'!$G:$G,'Full Customer List'!$I:$I,'Client Retention $'!S$5,'Full Customer List'!$E:$E,'Client Retention $'!$AF$31)/1000</f>
        <v>10.019333333333334</v>
      </c>
      <c r="T34" s="197">
        <f>SUMIFS('Full Customer List'!$G:$G,'Full Customer List'!$I:$I,'Client Retention $'!T$5,'Full Customer List'!$E:$E,'Client Retention $'!$AF$31)/1000</f>
        <v>8.1833333333333336</v>
      </c>
      <c r="U34" s="197">
        <f>SUMIFS('Full Customer List'!$G:$G,'Full Customer List'!$I:$I,'Client Retention $'!U$5,'Full Customer List'!$E:$E,'Client Retention $'!$AF$31)/1000</f>
        <v>10.141816666666665</v>
      </c>
      <c r="V34" s="197">
        <f>SUMIFS('Full Customer List'!$G:$G,'Full Customer List'!$I:$I,'Client Retention $'!V$5,'Full Customer List'!$E:$E,'Client Retention $'!$AF$31)/1000</f>
        <v>9.4066666666666663</v>
      </c>
      <c r="W34" s="197">
        <f>SUMIFS('Full Customer List'!$G:$G,'Full Customer List'!$I:$I,'Client Retention $'!W$5,'Full Customer List'!$E:$E,'Client Retention $'!$AF$31)/1000</f>
        <v>5.5356666666666658</v>
      </c>
      <c r="X34" s="197">
        <f>SUMIFS('Full Customer List'!$G:$G,'Full Customer List'!$I:$I,'Client Retention $'!X$5,'Full Customer List'!$E:$E,'Client Retention $'!$AF$31)/1000</f>
        <v>6.9768000000000008</v>
      </c>
      <c r="Y34" s="197">
        <f>SUMIFS('Full Customer List'!$G:$G,'Full Customer List'!$I:$I,'Client Retention $'!Y$5,'Full Customer List'!$E:$E,'Client Retention $'!$AF$31)/1000</f>
        <v>10.863333333333333</v>
      </c>
      <c r="Z34" s="197">
        <f>SUMIFS('Full Customer List'!$G:$G,'Full Customer List'!$I:$I,'Client Retention $'!Z$5,'Full Customer List'!$E:$E,'Client Retention $'!$AF$31)/1000</f>
        <v>15.057333333333334</v>
      </c>
      <c r="AA34" s="197">
        <f>SUMIFS('Full Customer List'!$G:$G,'Full Customer List'!$I:$I,'Client Retention $'!AA$5,'Full Customer List'!$E:$E,'Client Retention $'!$AF$31)/1000</f>
        <v>4.86625</v>
      </c>
      <c r="AB34" s="197">
        <f>SUMIFS('Full Customer List'!$G:$G,'Full Customer List'!$I:$I,'Client Retention $'!AB$5,'Full Customer List'!$E:$E,'Client Retention $'!$AF$31)/1000</f>
        <v>12.010999999999999</v>
      </c>
      <c r="AC34" s="197">
        <f>SUMIFS('Full Customer List'!$G:$G,'Full Customer List'!$I:$I,'Client Retention $'!AC$5,'Full Customer List'!$E:$E,'Client Retention $'!$AF$31)/1000</f>
        <v>4.8780000000000001</v>
      </c>
      <c r="AD34" s="197">
        <f>SUMIFS('Full Customer List'!$G:$G,'Full Customer List'!$I:$I,'Client Retention $'!AD$5,'Full Customer List'!$E:$E,'Client Retention $'!$AF$31)/1000</f>
        <v>5.8949999999999996</v>
      </c>
    </row>
    <row r="35" spans="2:34">
      <c r="B35" s="269" t="s">
        <v>1551</v>
      </c>
      <c r="E35" s="199">
        <f>SUM(J35:U35)*12</f>
        <v>-39.595999999999997</v>
      </c>
      <c r="F35" s="199">
        <f>SUM(V35:AD35)*12</f>
        <v>-138.59199999999998</v>
      </c>
      <c r="H35" s="199">
        <f>SUM(S35:AD35)*12</f>
        <v>-138.59199999999998</v>
      </c>
      <c r="J35" s="197">
        <f>-SUMIFS('Full Customer List'!$G:$G,'Full Customer List'!$J:$J,J$1,'Full Customer List'!$E:$E,'Client Retention $'!$AF$31,'Full Customer List'!$H:$H,'Client Retention $'!$AF35)/1000</f>
        <v>0</v>
      </c>
      <c r="K35" s="197">
        <f>-SUMIFS('Full Customer List'!$G:$G,'Full Customer List'!$J:$J,K$1,'Full Customer List'!$E:$E,'Client Retention $'!$AF$31,'Full Customer List'!$H:$H,'Client Retention $'!$AF35)/1000</f>
        <v>0</v>
      </c>
      <c r="L35" s="197">
        <f>-SUMIFS('Full Customer List'!$G:$G,'Full Customer List'!$J:$J,L$1,'Full Customer List'!$E:$E,'Client Retention $'!$AF$31,'Full Customer List'!$H:$H,'Client Retention $'!$AF35)/1000</f>
        <v>0</v>
      </c>
      <c r="M35" s="197">
        <f>-SUMIFS('Full Customer List'!$G:$G,'Full Customer List'!$J:$J,M$1,'Full Customer List'!$E:$E,'Client Retention $'!$AF$31,'Full Customer List'!$H:$H,'Client Retention $'!$AF35)/1000</f>
        <v>0</v>
      </c>
      <c r="N35" s="197">
        <f>-SUMIFS('Full Customer List'!$G:$G,'Full Customer List'!$J:$J,N$1,'Full Customer List'!$E:$E,'Client Retention $'!$AF$31,'Full Customer List'!$H:$H,'Client Retention $'!$AF35)/1000</f>
        <v>0</v>
      </c>
      <c r="O35" s="197">
        <f>-SUMIFS('Full Customer List'!$G:$G,'Full Customer List'!$J:$J,O$1,'Full Customer List'!$E:$E,'Client Retention $'!$AF$31,'Full Customer List'!$H:$H,'Client Retention $'!$AF35)/1000</f>
        <v>0</v>
      </c>
      <c r="P35" s="197">
        <f>-SUMIFS('Full Customer List'!$G:$G,'Full Customer List'!$J:$J,P$1,'Full Customer List'!$E:$E,'Client Retention $'!$AF$31,'Full Customer List'!$H:$H,'Client Retention $'!$AF35)/1000</f>
        <v>-3.2996666666666665</v>
      </c>
      <c r="Q35" s="197">
        <f>-SUMIFS('Full Customer List'!$G:$G,'Full Customer List'!$J:$J,Q$1,'Full Customer List'!$E:$E,'Client Retention $'!$AF$31,'Full Customer List'!$H:$H,'Client Retention $'!$AF35)/1000</f>
        <v>0</v>
      </c>
      <c r="R35" s="197">
        <f>-SUMIFS('Full Customer List'!$G:$G,'Full Customer List'!$J:$J,R$1,'Full Customer List'!$E:$E,'Client Retention $'!$AF$31,'Full Customer List'!$H:$H,'Client Retention $'!$AF35)/1000</f>
        <v>0</v>
      </c>
      <c r="S35" s="197">
        <f>-SUMIFS('Full Customer List'!$G:$G,'Full Customer List'!$J:$J,S$1,'Full Customer List'!$E:$E,'Client Retention $'!$AF$31,'Full Customer List'!$H:$H,'Client Retention $'!$AF35)/1000</f>
        <v>0</v>
      </c>
      <c r="T35" s="197">
        <f>-SUMIFS('Full Customer List'!$G:$G,'Full Customer List'!$J:$J,T$1,'Full Customer List'!$E:$E,'Client Retention $'!$AF$31,'Full Customer List'!$H:$H,'Client Retention $'!$AF35)/1000</f>
        <v>0</v>
      </c>
      <c r="U35" s="197">
        <f>-SUMIFS('Full Customer List'!$G:$G,'Full Customer List'!$J:$J,U$1,'Full Customer List'!$E:$E,'Client Retention $'!$AF$31,'Full Customer List'!$H:$H,'Client Retention $'!$AF35)/1000</f>
        <v>0</v>
      </c>
      <c r="V35" s="197">
        <f>-SUMIFS('Full Customer List'!$G:$G,'Full Customer List'!$J:$J,V$1,'Full Customer List'!$E:$E,'Client Retention $'!$AF$31,'Full Customer List'!$H:$H,'Client Retention $'!$AF35)/1000</f>
        <v>0</v>
      </c>
      <c r="W35" s="197">
        <f>-SUMIFS('Full Customer List'!$G:$G,'Full Customer List'!$J:$J,W$1,'Full Customer List'!$E:$E,'Client Retention $'!$AF$31,'Full Customer List'!$H:$H,'Client Retention $'!$AF35)/1000</f>
        <v>-0.42499999999999999</v>
      </c>
      <c r="X35" s="197">
        <f>-SUMIFS('Full Customer List'!$G:$G,'Full Customer List'!$J:$J,X$1,'Full Customer List'!$E:$E,'Client Retention $'!$AF$31,'Full Customer List'!$H:$H,'Client Retention $'!$AF35)/1000</f>
        <v>-0.92333333333333334</v>
      </c>
      <c r="Y35" s="197">
        <f>-SUMIFS('Full Customer List'!$G:$G,'Full Customer List'!$J:$J,Y$1,'Full Customer List'!$E:$E,'Client Retention $'!$AF$31,'Full Customer List'!$H:$H,'Client Retention $'!$AF35)/1000</f>
        <v>-3.57</v>
      </c>
      <c r="Z35" s="197">
        <f>-SUMIFS('Full Customer List'!$G:$G,'Full Customer List'!$J:$J,Z$1,'Full Customer List'!$E:$E,'Client Retention $'!$AF$31,'Full Customer List'!$H:$H,'Client Retention $'!$AF35)/1000</f>
        <v>-2.3340000000000001</v>
      </c>
      <c r="AA35" s="197">
        <f>-SUMIFS('Full Customer List'!$G:$G,'Full Customer List'!$J:$J,AA$1,'Full Customer List'!$E:$E,'Client Retention $'!$AF$31,'Full Customer List'!$H:$H,'Client Retention $'!$AF35)/1000</f>
        <v>-1.3903333333333334</v>
      </c>
      <c r="AB35" s="197">
        <f>-SUMIFS('Full Customer List'!$G:$G,'Full Customer List'!$J:$J,AB$1,'Full Customer List'!$E:$E,'Client Retention $'!$AF$31,'Full Customer List'!$H:$H,'Client Retention $'!$AF35)/1000</f>
        <v>-2.9066666666666667</v>
      </c>
      <c r="AC35" s="197">
        <f>-SUMIFS('Full Customer List'!$G:$G,'Full Customer List'!$J:$J,AC$1,'Full Customer List'!$E:$E,'Client Retention $'!$AF$31,'Full Customer List'!$H:$H,'Client Retention $'!$AF35)/1000</f>
        <v>0</v>
      </c>
      <c r="AD35" s="197">
        <f>-SUMIFS('Full Customer List'!$G:$G,'Full Customer List'!$J:$J,AD$1,'Full Customer List'!$E:$E,'Client Retention $'!$AF$31,'Full Customer List'!$H:$H,'Client Retention $'!$AF35)/1000</f>
        <v>0</v>
      </c>
      <c r="AF35" s="175" t="s">
        <v>509</v>
      </c>
    </row>
    <row r="36" spans="2:34">
      <c r="B36" s="269" t="s">
        <v>1552</v>
      </c>
      <c r="E36" s="199">
        <f>SUM(J36:U36)*12</f>
        <v>-3.5999999999999996</v>
      </c>
      <c r="F36" s="199">
        <f>SUM(V36:AD36)*12</f>
        <v>-60.923999999999999</v>
      </c>
      <c r="H36" s="199">
        <f>SUM(S36:AD36)*12</f>
        <v>-64.524000000000001</v>
      </c>
      <c r="J36" s="197">
        <f>-SUMIFS('Full Customer List'!$G:$G,'Full Customer List'!$J:$J,J$1,'Full Customer List'!$E:$E,'Client Retention $'!$AF$31,'Full Customer List'!$H:$H,'Client Retention $'!$AF36)/1000</f>
        <v>0</v>
      </c>
      <c r="K36" s="197">
        <f>-SUMIFS('Full Customer List'!$G:$G,'Full Customer List'!$J:$J,K$1,'Full Customer List'!$E:$E,'Client Retention $'!$AF$31,'Full Customer List'!$H:$H,'Client Retention $'!$AF36)/1000</f>
        <v>0</v>
      </c>
      <c r="L36" s="197">
        <f>-SUMIFS('Full Customer List'!$G:$G,'Full Customer List'!$J:$J,L$1,'Full Customer List'!$E:$E,'Client Retention $'!$AF$31,'Full Customer List'!$H:$H,'Client Retention $'!$AF36)/1000</f>
        <v>0</v>
      </c>
      <c r="M36" s="197">
        <f>-SUMIFS('Full Customer List'!$G:$G,'Full Customer List'!$J:$J,M$1,'Full Customer List'!$E:$E,'Client Retention $'!$AF$31,'Full Customer List'!$H:$H,'Client Retention $'!$AF36)/1000</f>
        <v>0</v>
      </c>
      <c r="N36" s="197">
        <f>-SUMIFS('Full Customer List'!$G:$G,'Full Customer List'!$J:$J,N$1,'Full Customer List'!$E:$E,'Client Retention $'!$AF$31,'Full Customer List'!$H:$H,'Client Retention $'!$AF36)/1000</f>
        <v>0</v>
      </c>
      <c r="O36" s="197">
        <f>-SUMIFS('Full Customer List'!$G:$G,'Full Customer List'!$J:$J,O$1,'Full Customer List'!$E:$E,'Client Retention $'!$AF$31,'Full Customer List'!$H:$H,'Client Retention $'!$AF36)/1000</f>
        <v>0</v>
      </c>
      <c r="P36" s="197">
        <f>-SUMIFS('Full Customer List'!$G:$G,'Full Customer List'!$J:$J,P$1,'Full Customer List'!$E:$E,'Client Retention $'!$AF$31,'Full Customer List'!$H:$H,'Client Retention $'!$AF36)/1000</f>
        <v>0</v>
      </c>
      <c r="Q36" s="197">
        <f>-SUMIFS('Full Customer List'!$G:$G,'Full Customer List'!$J:$J,Q$1,'Full Customer List'!$E:$E,'Client Retention $'!$AF$31,'Full Customer List'!$H:$H,'Client Retention $'!$AF36)/1000</f>
        <v>0</v>
      </c>
      <c r="R36" s="197">
        <f>-SUMIFS('Full Customer List'!$G:$G,'Full Customer List'!$J:$J,R$1,'Full Customer List'!$E:$E,'Client Retention $'!$AF$31,'Full Customer List'!$H:$H,'Client Retention $'!$AF36)/1000</f>
        <v>0</v>
      </c>
      <c r="S36" s="197">
        <f>-SUMIFS('Full Customer List'!$G:$G,'Full Customer List'!$J:$J,S$1,'Full Customer List'!$E:$E,'Client Retention $'!$AF$31,'Full Customer List'!$H:$H,'Client Retention $'!$AF36)/1000</f>
        <v>0</v>
      </c>
      <c r="T36" s="197">
        <f>-SUMIFS('Full Customer List'!$G:$G,'Full Customer List'!$J:$J,T$1,'Full Customer List'!$E:$E,'Client Retention $'!$AF$31,'Full Customer List'!$H:$H,'Client Retention $'!$AF36)/1000</f>
        <v>0</v>
      </c>
      <c r="U36" s="197">
        <f>-SUMIFS('Full Customer List'!$G:$G,'Full Customer List'!$J:$J,U$1,'Full Customer List'!$E:$E,'Client Retention $'!$AF$31,'Full Customer List'!$H:$H,'Client Retention $'!$AF36)/1000</f>
        <v>-0.3</v>
      </c>
      <c r="V36" s="197">
        <f>-SUMIFS('Full Customer List'!$G:$G,'Full Customer List'!$J:$J,V$1,'Full Customer List'!$E:$E,'Client Retention $'!$AF$31,'Full Customer List'!$H:$H,'Client Retention $'!$AF36)/1000</f>
        <v>-2.8533333333333335</v>
      </c>
      <c r="W36" s="197">
        <f>-SUMIFS('Full Customer List'!$G:$G,'Full Customer List'!$J:$J,W$1,'Full Customer List'!$E:$E,'Client Retention $'!$AF$31,'Full Customer List'!$H:$H,'Client Retention $'!$AF36)/1000</f>
        <v>0</v>
      </c>
      <c r="X36" s="197">
        <f>-SUMIFS('Full Customer List'!$G:$G,'Full Customer List'!$J:$J,X$1,'Full Customer List'!$E:$E,'Client Retention $'!$AF$31,'Full Customer List'!$H:$H,'Client Retention $'!$AF36)/1000</f>
        <v>0</v>
      </c>
      <c r="Y36" s="197">
        <f>-SUMIFS('Full Customer List'!$G:$G,'Full Customer List'!$J:$J,Y$1,'Full Customer List'!$E:$E,'Client Retention $'!$AF$31,'Full Customer List'!$H:$H,'Client Retention $'!$AF36)/1000</f>
        <v>-0.54</v>
      </c>
      <c r="Z36" s="197">
        <f>-SUMIFS('Full Customer List'!$G:$G,'Full Customer List'!$J:$J,Z$1,'Full Customer List'!$E:$E,'Client Retention $'!$AF$31,'Full Customer List'!$H:$H,'Client Retention $'!$AF36)/1000</f>
        <v>-1.6836666666666664</v>
      </c>
      <c r="AA36" s="197">
        <f>-SUMIFS('Full Customer List'!$G:$G,'Full Customer List'!$J:$J,AA$1,'Full Customer List'!$E:$E,'Client Retention $'!$AF$31,'Full Customer List'!$H:$H,'Client Retention $'!$AF36)/1000</f>
        <v>0</v>
      </c>
      <c r="AB36" s="197">
        <f>-SUMIFS('Full Customer List'!$G:$G,'Full Customer List'!$J:$J,AB$1,'Full Customer List'!$E:$E,'Client Retention $'!$AF$31,'Full Customer List'!$H:$H,'Client Retention $'!$AF36)/1000</f>
        <v>0</v>
      </c>
      <c r="AC36" s="197">
        <f>-SUMIFS('Full Customer List'!$G:$G,'Full Customer List'!$J:$J,AC$1,'Full Customer List'!$E:$E,'Client Retention $'!$AF$31,'Full Customer List'!$H:$H,'Client Retention $'!$AF36)/1000</f>
        <v>0</v>
      </c>
      <c r="AD36" s="197">
        <f>-SUMIFS('Full Customer List'!$G:$G,'Full Customer List'!$J:$J,AD$1,'Full Customer List'!$E:$E,'Client Retention $'!$AF$31,'Full Customer List'!$H:$H,'Client Retention $'!$AF36)/1000</f>
        <v>0</v>
      </c>
      <c r="AF36" s="175" t="s">
        <v>510</v>
      </c>
    </row>
    <row r="37" spans="2:34">
      <c r="B37" s="269" t="s">
        <v>1553</v>
      </c>
      <c r="E37" s="199">
        <f>SUM(J37:U37)*12</f>
        <v>0</v>
      </c>
      <c r="F37" s="199">
        <f>SUM(V37:AD37)*12</f>
        <v>-132.11600000000001</v>
      </c>
      <c r="H37" s="199">
        <f>SUM(S37:AD37)*12</f>
        <v>-132.11600000000001</v>
      </c>
      <c r="J37" s="197">
        <f>-SUMIFS('Full Customer List'!$G:$G,'Full Customer List'!$J:$J,J$1,'Full Customer List'!$E:$E,'Client Retention $'!$AF$31,'Full Customer List'!$H:$H,'Client Retention $'!$AF37)/1000</f>
        <v>0</v>
      </c>
      <c r="K37" s="197">
        <f>-SUMIFS('Full Customer List'!$G:$G,'Full Customer List'!$J:$J,K$1,'Full Customer List'!$E:$E,'Client Retention $'!$AF$31,'Full Customer List'!$H:$H,'Client Retention $'!$AF37)/1000</f>
        <v>0</v>
      </c>
      <c r="L37" s="197">
        <f>-SUMIFS('Full Customer List'!$G:$G,'Full Customer List'!$J:$J,L$1,'Full Customer List'!$E:$E,'Client Retention $'!$AF$31,'Full Customer List'!$H:$H,'Client Retention $'!$AF37)/1000</f>
        <v>0</v>
      </c>
      <c r="M37" s="197">
        <f>-SUMIFS('Full Customer List'!$G:$G,'Full Customer List'!$J:$J,M$1,'Full Customer List'!$E:$E,'Client Retention $'!$AF$31,'Full Customer List'!$H:$H,'Client Retention $'!$AF37)/1000</f>
        <v>0</v>
      </c>
      <c r="N37" s="197">
        <f>-SUMIFS('Full Customer List'!$G:$G,'Full Customer List'!$J:$J,N$1,'Full Customer List'!$E:$E,'Client Retention $'!$AF$31,'Full Customer List'!$H:$H,'Client Retention $'!$AF37)/1000</f>
        <v>0</v>
      </c>
      <c r="O37" s="197">
        <f>-SUMIFS('Full Customer List'!$G:$G,'Full Customer List'!$J:$J,O$1,'Full Customer List'!$E:$E,'Client Retention $'!$AF$31,'Full Customer List'!$H:$H,'Client Retention $'!$AF37)/1000</f>
        <v>0</v>
      </c>
      <c r="P37" s="197">
        <f>-SUMIFS('Full Customer List'!$G:$G,'Full Customer List'!$J:$J,P$1,'Full Customer List'!$E:$E,'Client Retention $'!$AF$31,'Full Customer List'!$H:$H,'Client Retention $'!$AF37)/1000</f>
        <v>0</v>
      </c>
      <c r="Q37" s="197">
        <f>-SUMIFS('Full Customer List'!$G:$G,'Full Customer List'!$J:$J,Q$1,'Full Customer List'!$E:$E,'Client Retention $'!$AF$31,'Full Customer List'!$H:$H,'Client Retention $'!$AF37)/1000</f>
        <v>0</v>
      </c>
      <c r="R37" s="197">
        <f>-SUMIFS('Full Customer List'!$G:$G,'Full Customer List'!$J:$J,R$1,'Full Customer List'!$E:$E,'Client Retention $'!$AF$31,'Full Customer List'!$H:$H,'Client Retention $'!$AF37)/1000</f>
        <v>0</v>
      </c>
      <c r="S37" s="197">
        <f>-SUMIFS('Full Customer List'!$G:$G,'Full Customer List'!$J:$J,S$1,'Full Customer List'!$E:$E,'Client Retention $'!$AF$31,'Full Customer List'!$H:$H,'Client Retention $'!$AF37)/1000</f>
        <v>0</v>
      </c>
      <c r="T37" s="197">
        <f>-SUMIFS('Full Customer List'!$G:$G,'Full Customer List'!$J:$J,T$1,'Full Customer List'!$E:$E,'Client Retention $'!$AF$31,'Full Customer List'!$H:$H,'Client Retention $'!$AF37)/1000</f>
        <v>0</v>
      </c>
      <c r="U37" s="197">
        <f>-SUMIFS('Full Customer List'!$G:$G,'Full Customer List'!$J:$J,U$1,'Full Customer List'!$E:$E,'Client Retention $'!$AF$31,'Full Customer List'!$H:$H,'Client Retention $'!$AF37)/1000</f>
        <v>0</v>
      </c>
      <c r="V37" s="197">
        <f>-SUMIFS('Full Customer List'!$G:$G,'Full Customer List'!$J:$J,V$1,'Full Customer List'!$E:$E,'Client Retention $'!$AF$31,'Full Customer List'!$H:$H,'Client Retention $'!$AF37)/1000</f>
        <v>0</v>
      </c>
      <c r="W37" s="197">
        <f>-SUMIFS('Full Customer List'!$G:$G,'Full Customer List'!$J:$J,W$1,'Full Customer List'!$E:$E,'Client Retention $'!$AF$31,'Full Customer List'!$H:$H,'Client Retention $'!$AF37)/1000</f>
        <v>0</v>
      </c>
      <c r="X37" s="197">
        <f>-SUMIFS('Full Customer List'!$G:$G,'Full Customer List'!$J:$J,X$1,'Full Customer List'!$E:$E,'Client Retention $'!$AF$31,'Full Customer List'!$H:$H,'Client Retention $'!$AF37)/1000</f>
        <v>-2.1166666666666667</v>
      </c>
      <c r="Y37" s="197">
        <f>-SUMIFS('Full Customer List'!$G:$G,'Full Customer List'!$J:$J,Y$1,'Full Customer List'!$E:$E,'Client Retention $'!$AF$31,'Full Customer List'!$H:$H,'Client Retention $'!$AF37)/1000</f>
        <v>-2.7353333333333336</v>
      </c>
      <c r="Z37" s="197">
        <f>-SUMIFS('Full Customer List'!$G:$G,'Full Customer List'!$J:$J,Z$1,'Full Customer List'!$E:$E,'Client Retention $'!$AF$31,'Full Customer List'!$H:$H,'Client Retention $'!$AF37)/1000</f>
        <v>-2.319</v>
      </c>
      <c r="AA37" s="197">
        <f>-SUMIFS('Full Customer List'!$G:$G,'Full Customer List'!$J:$J,AA$1,'Full Customer List'!$E:$E,'Client Retention $'!$AF$31,'Full Customer List'!$H:$H,'Client Retention $'!$AF37)/1000</f>
        <v>0</v>
      </c>
      <c r="AB37" s="197">
        <f>-SUMIFS('Full Customer List'!$G:$G,'Full Customer List'!$J:$J,AB$1,'Full Customer List'!$E:$E,'Client Retention $'!$AF$31,'Full Customer List'!$H:$H,'Client Retention $'!$AF37)/1000</f>
        <v>-1.097</v>
      </c>
      <c r="AC37" s="197">
        <f>-SUMIFS('Full Customer List'!$G:$G,'Full Customer List'!$J:$J,AC$1,'Full Customer List'!$E:$E,'Client Retention $'!$AF$31,'Full Customer List'!$H:$H,'Client Retention $'!$AF37)/1000</f>
        <v>-2.7416666666666667</v>
      </c>
      <c r="AD37" s="197">
        <f>-SUMIFS('Full Customer List'!$G:$G,'Full Customer List'!$J:$J,AD$1,'Full Customer List'!$E:$E,'Client Retention $'!$AF$31,'Full Customer List'!$H:$H,'Client Retention $'!$AF37)/1000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SUM(J38:U38)*12</f>
        <v>-43.195999999999998</v>
      </c>
      <c r="F38" s="260">
        <f>SUM(V38:AD38)*12</f>
        <v>-331.63200000000006</v>
      </c>
      <c r="G38" s="261"/>
      <c r="H38" s="260">
        <f>SUM(S38:AD38)*12</f>
        <v>-335.23199999999997</v>
      </c>
      <c r="I38" s="261"/>
      <c r="J38" s="262">
        <f>-SUMIFS('Full Customer List'!$G:$G,'Full Customer List'!$J:$J,J$1,'Full Customer List'!$E:$E,'Client Retention $'!$AF$31)/1000</f>
        <v>0</v>
      </c>
      <c r="K38" s="262">
        <f>-SUMIFS('Full Customer List'!$G:$G,'Full Customer List'!$J:$J,K$1,'Full Customer List'!$E:$E,'Client Retention $'!$AF$31)/1000</f>
        <v>0</v>
      </c>
      <c r="L38" s="262">
        <f>-SUMIFS('Full Customer List'!$G:$G,'Full Customer List'!$J:$J,L$1,'Full Customer List'!$E:$E,'Client Retention $'!$AF$31)/1000</f>
        <v>0</v>
      </c>
      <c r="M38" s="262">
        <f>-SUMIFS('Full Customer List'!$G:$G,'Full Customer List'!$J:$J,M$1,'Full Customer List'!$E:$E,'Client Retention $'!$AF$31)/1000</f>
        <v>0</v>
      </c>
      <c r="N38" s="262">
        <f>-SUMIFS('Full Customer List'!$G:$G,'Full Customer List'!$J:$J,N$1,'Full Customer List'!$E:$E,'Client Retention $'!$AF$31)/1000</f>
        <v>0</v>
      </c>
      <c r="O38" s="262">
        <f>-SUMIFS('Full Customer List'!$G:$G,'Full Customer List'!$J:$J,O$1,'Full Customer List'!$E:$E,'Client Retention $'!$AF$31)/1000</f>
        <v>0</v>
      </c>
      <c r="P38" s="262">
        <f>-SUMIFS('Full Customer List'!$G:$G,'Full Customer List'!$J:$J,P$1,'Full Customer List'!$E:$E,'Client Retention $'!$AF$31)/1000</f>
        <v>-3.2996666666666665</v>
      </c>
      <c r="Q38" s="262">
        <f>-SUMIFS('Full Customer List'!$G:$G,'Full Customer List'!$J:$J,Q$1,'Full Customer List'!$E:$E,'Client Retention $'!$AF$31)/1000</f>
        <v>0</v>
      </c>
      <c r="R38" s="262">
        <f>-SUMIFS('Full Customer List'!$G:$G,'Full Customer List'!$J:$J,R$1,'Full Customer List'!$E:$E,'Client Retention $'!$AF$31)/1000</f>
        <v>0</v>
      </c>
      <c r="S38" s="262">
        <f>-SUMIFS('Full Customer List'!$G:$G,'Full Customer List'!$J:$J,S$1,'Full Customer List'!$E:$E,'Client Retention $'!$AF$31)/1000</f>
        <v>0</v>
      </c>
      <c r="T38" s="262">
        <f>-SUMIFS('Full Customer List'!$G:$G,'Full Customer List'!$J:$J,T$1,'Full Customer List'!$E:$E,'Client Retention $'!$AF$31)/1000</f>
        <v>0</v>
      </c>
      <c r="U38" s="262">
        <f>-SUMIFS('Full Customer List'!$G:$G,'Full Customer List'!$J:$J,U$1,'Full Customer List'!$E:$E,'Client Retention $'!$AF$31)/1000</f>
        <v>-0.3</v>
      </c>
      <c r="V38" s="262">
        <f>-SUMIFS('Full Customer List'!$G:$G,'Full Customer List'!$J:$J,V$1,'Full Customer List'!$E:$E,'Client Retention $'!$AF$31)/1000</f>
        <v>-2.8533333333333335</v>
      </c>
      <c r="W38" s="262">
        <f>-SUMIFS('Full Customer List'!$G:$G,'Full Customer List'!$J:$J,W$1,'Full Customer List'!$E:$E,'Client Retention $'!$AF$31)/1000</f>
        <v>-0.42499999999999999</v>
      </c>
      <c r="X38" s="262">
        <f>-SUMIFS('Full Customer List'!$G:$G,'Full Customer List'!$J:$J,X$1,'Full Customer List'!$E:$E,'Client Retention $'!$AF$31)/1000</f>
        <v>-3.04</v>
      </c>
      <c r="Y38" s="262">
        <f>-SUMIFS('Full Customer List'!$G:$G,'Full Customer List'!$J:$J,Y$1,'Full Customer List'!$E:$E,'Client Retention $'!$AF$31)/1000</f>
        <v>-6.8453333333333326</v>
      </c>
      <c r="Z38" s="262">
        <f>-SUMIFS('Full Customer List'!$G:$G,'Full Customer List'!$J:$J,Z$1,'Full Customer List'!$E:$E,'Client Retention $'!$AF$31)/1000</f>
        <v>-6.3366666666666669</v>
      </c>
      <c r="AA38" s="262">
        <f>-SUMIFS('Full Customer List'!$G:$G,'Full Customer List'!$J:$J,AA$1,'Full Customer List'!$E:$E,'Client Retention $'!$AF$31)/1000</f>
        <v>-1.3903333333333334</v>
      </c>
      <c r="AB38" s="262">
        <f>-SUMIFS('Full Customer List'!$G:$G,'Full Customer List'!$J:$J,AB$1,'Full Customer List'!$E:$E,'Client Retention $'!$AF$31)/1000</f>
        <v>-4.0036666666666667</v>
      </c>
      <c r="AC38" s="262">
        <f>-SUMIFS('Full Customer List'!$G:$G,'Full Customer List'!$J:$J,AC$1,'Full Customer List'!$E:$E,'Client Retention $'!$AF$31)/1000</f>
        <v>-2.7416666666666667</v>
      </c>
      <c r="AD38" s="262">
        <f>-SUMIFS('Full Customer List'!$G:$G,'Full Customer List'!$J:$J,AD$1,'Full Customer List'!$E:$E,'Client Retention $'!$AF$31)/1000</f>
        <v>0</v>
      </c>
    </row>
    <row r="39" spans="2:34" ht="12" customHeight="1">
      <c r="B39" s="263" t="s">
        <v>1574</v>
      </c>
      <c r="C39" s="264"/>
      <c r="D39" s="264"/>
      <c r="E39" s="264">
        <f>+F33</f>
        <v>1979.9461199999996</v>
      </c>
      <c r="F39" s="265">
        <f>+$AD39*12</f>
        <v>2554.1947199999995</v>
      </c>
      <c r="H39" s="268">
        <f>+$AD39*12</f>
        <v>2554.1947199999995</v>
      </c>
      <c r="J39" s="266">
        <f t="shared" ref="J39:AC39" si="21">+K33</f>
        <v>94.66701666666664</v>
      </c>
      <c r="K39" s="264">
        <f t="shared" si="21"/>
        <v>98.39334999999997</v>
      </c>
      <c r="L39" s="264">
        <f t="shared" si="21"/>
        <v>111.85968333333329</v>
      </c>
      <c r="M39" s="264">
        <f t="shared" si="21"/>
        <v>115.95768333333329</v>
      </c>
      <c r="N39" s="264">
        <f t="shared" si="21"/>
        <v>123.73068333333329</v>
      </c>
      <c r="O39" s="264">
        <f t="shared" si="21"/>
        <v>125.35564999999995</v>
      </c>
      <c r="P39" s="264">
        <f t="shared" si="21"/>
        <v>127.11561666666663</v>
      </c>
      <c r="Q39" s="264">
        <f t="shared" si="21"/>
        <v>132.15056999999996</v>
      </c>
      <c r="R39" s="264">
        <f t="shared" si="21"/>
        <v>136.95102666666662</v>
      </c>
      <c r="S39" s="266">
        <f t="shared" si="21"/>
        <v>146.97035999999994</v>
      </c>
      <c r="T39" s="264">
        <f t="shared" si="21"/>
        <v>155.15369333333328</v>
      </c>
      <c r="U39" s="264">
        <f t="shared" si="21"/>
        <v>164.99550999999994</v>
      </c>
      <c r="V39" s="264">
        <f t="shared" si="21"/>
        <v>171.54884333333328</v>
      </c>
      <c r="W39" s="264">
        <f t="shared" si="21"/>
        <v>176.65950999999993</v>
      </c>
      <c r="X39" s="264">
        <f t="shared" si="21"/>
        <v>180.59630999999993</v>
      </c>
      <c r="Y39" s="264">
        <f t="shared" si="21"/>
        <v>184.61430999999993</v>
      </c>
      <c r="Z39" s="264">
        <f t="shared" si="21"/>
        <v>193.33497666666659</v>
      </c>
      <c r="AA39" s="264">
        <f t="shared" si="21"/>
        <v>196.81089333333327</v>
      </c>
      <c r="AB39" s="264">
        <f t="shared" si="21"/>
        <v>204.81822666666659</v>
      </c>
      <c r="AC39" s="264">
        <f t="shared" si="21"/>
        <v>206.95455999999993</v>
      </c>
      <c r="AD39" s="265">
        <f>SUMIFS('Full Customer List'!$G:$G,'Full Customer List'!$C:$C,"Active",'Full Customer List'!$E:$E,'Client Retention $'!$AF31)/1000</f>
        <v>212.84955999999994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1571</v>
      </c>
      <c r="C41" s="239"/>
      <c r="D41" s="239"/>
      <c r="E41" s="240">
        <f>(E34+E33)/E33-1</f>
        <v>1.001485565821278</v>
      </c>
      <c r="F41" s="251">
        <f>(F34+F33)/F33-1</f>
        <v>0.4575279048502594</v>
      </c>
      <c r="G41" s="252"/>
      <c r="H41" s="253">
        <f>(H34+H33)/H33-1</f>
        <v>0.75818733061463228</v>
      </c>
      <c r="J41" s="250">
        <f t="shared" ref="J41:AD41" si="22">(J34+J33)/J33-1</f>
        <v>0.12384393885900025</v>
      </c>
      <c r="K41" s="240">
        <f t="shared" si="22"/>
        <v>3.9362530525855366E-2</v>
      </c>
      <c r="L41" s="240">
        <f t="shared" si="22"/>
        <v>0.13686223035736989</v>
      </c>
      <c r="M41" s="240">
        <f t="shared" si="22"/>
        <v>3.6635183274998928E-2</v>
      </c>
      <c r="N41" s="240">
        <f t="shared" si="22"/>
        <v>6.7033074278102234E-2</v>
      </c>
      <c r="O41" s="240">
        <f t="shared" si="22"/>
        <v>1.3133093771809046E-2</v>
      </c>
      <c r="P41" s="240">
        <f t="shared" si="22"/>
        <v>4.036222805540346E-2</v>
      </c>
      <c r="Q41" s="240">
        <f t="shared" si="22"/>
        <v>3.9609242871679662E-2</v>
      </c>
      <c r="R41" s="240">
        <f t="shared" si="22"/>
        <v>3.6325659939769217E-2</v>
      </c>
      <c r="S41" s="250">
        <f t="shared" si="22"/>
        <v>7.3159972416416919E-2</v>
      </c>
      <c r="T41" s="240">
        <f t="shared" si="22"/>
        <v>5.5680161178984333E-2</v>
      </c>
      <c r="U41" s="240">
        <f t="shared" si="22"/>
        <v>6.5366260053364877E-2</v>
      </c>
      <c r="V41" s="240">
        <f t="shared" si="22"/>
        <v>5.7011652418097025E-2</v>
      </c>
      <c r="W41" s="240">
        <f t="shared" si="22"/>
        <v>3.2268749582359035E-2</v>
      </c>
      <c r="X41" s="240">
        <f t="shared" si="22"/>
        <v>3.9492920590575631E-2</v>
      </c>
      <c r="Y41" s="240">
        <f t="shared" si="22"/>
        <v>6.0152576391695689E-2</v>
      </c>
      <c r="Z41" s="240">
        <f t="shared" si="22"/>
        <v>8.1561030308719529E-2</v>
      </c>
      <c r="AA41" s="240">
        <f t="shared" si="22"/>
        <v>2.5170044675310033E-2</v>
      </c>
      <c r="AB41" s="240">
        <f t="shared" si="22"/>
        <v>6.1028126017685924E-2</v>
      </c>
      <c r="AC41" s="240">
        <f t="shared" si="22"/>
        <v>2.3816239791679905E-2</v>
      </c>
      <c r="AD41" s="251">
        <f t="shared" si="22"/>
        <v>2.8484513701945158E-2</v>
      </c>
    </row>
    <row r="42" spans="2:34">
      <c r="B42" s="241" t="s">
        <v>1572</v>
      </c>
      <c r="C42" s="242"/>
      <c r="D42" s="242"/>
      <c r="E42" s="243">
        <f>(E38+E33)/E33-1</f>
        <v>-4.273361206142845E-2</v>
      </c>
      <c r="F42" s="244">
        <f>(F38+F33)/F33-1</f>
        <v>-0.16749546699785955</v>
      </c>
      <c r="G42" s="252"/>
      <c r="H42" s="246">
        <f>(H38+H33)/H33-1</f>
        <v>-0.20398532730970398</v>
      </c>
      <c r="J42" s="245">
        <f t="shared" ref="J42:AD42" si="23">(J38+J33)/J33-1</f>
        <v>0</v>
      </c>
      <c r="K42" s="243">
        <f t="shared" si="23"/>
        <v>0</v>
      </c>
      <c r="L42" s="243">
        <f t="shared" si="23"/>
        <v>0</v>
      </c>
      <c r="M42" s="243">
        <f t="shared" si="23"/>
        <v>0</v>
      </c>
      <c r="N42" s="243">
        <f t="shared" si="23"/>
        <v>0</v>
      </c>
      <c r="O42" s="243">
        <f t="shared" si="23"/>
        <v>0</v>
      </c>
      <c r="P42" s="243">
        <f t="shared" si="23"/>
        <v>-2.6322440724982576E-2</v>
      </c>
      <c r="Q42" s="243">
        <f t="shared" si="23"/>
        <v>0</v>
      </c>
      <c r="R42" s="243">
        <f t="shared" si="23"/>
        <v>0</v>
      </c>
      <c r="S42" s="245">
        <f t="shared" si="23"/>
        <v>0</v>
      </c>
      <c r="T42" s="243">
        <f t="shared" si="23"/>
        <v>0</v>
      </c>
      <c r="U42" s="243">
        <f t="shared" si="23"/>
        <v>-1.9335666045376954E-3</v>
      </c>
      <c r="V42" s="243">
        <f t="shared" si="23"/>
        <v>-1.7293399883023031E-2</v>
      </c>
      <c r="W42" s="243">
        <f t="shared" si="23"/>
        <v>-2.4774285372137772E-3</v>
      </c>
      <c r="X42" s="243">
        <f t="shared" si="23"/>
        <v>-1.7208244266045947E-2</v>
      </c>
      <c r="Y42" s="243">
        <f t="shared" si="23"/>
        <v>-3.7904059796865952E-2</v>
      </c>
      <c r="Z42" s="243">
        <f t="shared" si="23"/>
        <v>-3.4323810904293817E-2</v>
      </c>
      <c r="AA42" s="243">
        <f t="shared" si="23"/>
        <v>-7.1913181841402052E-3</v>
      </c>
      <c r="AB42" s="243">
        <f t="shared" si="23"/>
        <v>-2.0342708672562049E-2</v>
      </c>
      <c r="AC42" s="243">
        <f t="shared" si="23"/>
        <v>-1.3385852964778455E-2</v>
      </c>
      <c r="AD42" s="244">
        <f t="shared" si="23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:P44" si="24">EOMONTH(J44,0)+1</f>
        <v>45689</v>
      </c>
      <c r="L44" s="194">
        <f t="shared" si="24"/>
        <v>45717</v>
      </c>
      <c r="M44" s="194">
        <f t="shared" si="24"/>
        <v>45748</v>
      </c>
      <c r="N44" s="194">
        <f t="shared" si="24"/>
        <v>45778</v>
      </c>
      <c r="O44" s="194">
        <f t="shared" si="24"/>
        <v>45809</v>
      </c>
      <c r="P44" s="194">
        <f t="shared" si="24"/>
        <v>45839</v>
      </c>
      <c r="Q44" s="194">
        <v>45870</v>
      </c>
      <c r="R44" s="194">
        <f t="shared" ref="R44:AD44" si="25">EOMONTH(Q44,0)+1</f>
        <v>45901</v>
      </c>
      <c r="S44" s="194">
        <f t="shared" si="25"/>
        <v>45931</v>
      </c>
      <c r="T44" s="194">
        <f t="shared" si="25"/>
        <v>45962</v>
      </c>
      <c r="U44" s="194">
        <f t="shared" si="25"/>
        <v>45992</v>
      </c>
      <c r="V44" s="194">
        <f t="shared" si="25"/>
        <v>46023</v>
      </c>
      <c r="W44" s="194">
        <f t="shared" si="25"/>
        <v>46054</v>
      </c>
      <c r="X44" s="194">
        <f t="shared" si="25"/>
        <v>46082</v>
      </c>
      <c r="Y44" s="194">
        <f t="shared" si="25"/>
        <v>46113</v>
      </c>
      <c r="Z44" s="194">
        <f t="shared" si="25"/>
        <v>46143</v>
      </c>
      <c r="AA44" s="194">
        <f t="shared" si="25"/>
        <v>46174</v>
      </c>
      <c r="AB44" s="194">
        <f t="shared" si="25"/>
        <v>46204</v>
      </c>
      <c r="AC44" s="194">
        <f t="shared" si="25"/>
        <v>46235</v>
      </c>
      <c r="AD44" s="194">
        <f t="shared" si="25"/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1575</v>
      </c>
      <c r="C46" s="184"/>
      <c r="D46" s="184"/>
      <c r="E46" s="184">
        <f>+E52-E47-E51</f>
        <v>58.203999999999951</v>
      </c>
      <c r="F46" s="184">
        <f>+F52-F47-F51</f>
        <v>142.03999999999996</v>
      </c>
      <c r="H46" s="184">
        <f>+H52-H47-H51</f>
        <v>114.97999999999996</v>
      </c>
      <c r="J46" s="184">
        <f t="shared" ref="J46:AD46" si="26">+J52-J47-J51</f>
        <v>4.8503333333333307</v>
      </c>
      <c r="K46" s="184">
        <f t="shared" si="26"/>
        <v>6.0856666666666639</v>
      </c>
      <c r="L46" s="184">
        <f t="shared" si="26"/>
        <v>6.0856666666666639</v>
      </c>
      <c r="M46" s="184">
        <f t="shared" si="26"/>
        <v>6.0856666666666639</v>
      </c>
      <c r="N46" s="184">
        <f t="shared" si="26"/>
        <v>6.7339999999999973</v>
      </c>
      <c r="O46" s="184">
        <f t="shared" si="26"/>
        <v>7.6469999999999976</v>
      </c>
      <c r="P46" s="184">
        <f t="shared" si="26"/>
        <v>8.3656666666666641</v>
      </c>
      <c r="Q46" s="184">
        <f t="shared" si="26"/>
        <v>8.7716666666666647</v>
      </c>
      <c r="R46" s="184">
        <f t="shared" si="26"/>
        <v>9.5816666666666652</v>
      </c>
      <c r="S46" s="184">
        <f t="shared" si="26"/>
        <v>9.5816666666666652</v>
      </c>
      <c r="T46" s="184">
        <f t="shared" si="26"/>
        <v>10.001666666666665</v>
      </c>
      <c r="U46" s="184">
        <f t="shared" si="26"/>
        <v>10.401666666666666</v>
      </c>
      <c r="V46" s="184">
        <f t="shared" si="26"/>
        <v>11.836666666666666</v>
      </c>
      <c r="W46" s="184">
        <f t="shared" si="26"/>
        <v>12.456666666666665</v>
      </c>
      <c r="X46" s="184">
        <f t="shared" si="26"/>
        <v>14.119833333333332</v>
      </c>
      <c r="Y46" s="184">
        <f t="shared" si="26"/>
        <v>13.873166666666666</v>
      </c>
      <c r="Z46" s="184">
        <f t="shared" si="26"/>
        <v>14.043166666666666</v>
      </c>
      <c r="AA46" s="184">
        <f t="shared" si="26"/>
        <v>11.886333333333333</v>
      </c>
      <c r="AB46" s="184">
        <f t="shared" si="26"/>
        <v>11.486333333333333</v>
      </c>
      <c r="AC46" s="184">
        <f t="shared" si="26"/>
        <v>11.904333333333332</v>
      </c>
      <c r="AD46" s="184">
        <f t="shared" si="26"/>
        <v>11.904333333333332</v>
      </c>
    </row>
    <row r="47" spans="2:34">
      <c r="B47" s="193" t="s">
        <v>1322</v>
      </c>
      <c r="E47" s="199">
        <f>SUM(J47:U47)*12</f>
        <v>83.836000000000013</v>
      </c>
      <c r="F47" s="199">
        <f>SUM(V47:AD47)*12</f>
        <v>44.074000000000005</v>
      </c>
      <c r="H47" s="199">
        <f>SUM(S47:AD47)*12</f>
        <v>71.134000000000015</v>
      </c>
      <c r="J47" s="197">
        <f>SUMIFS('Full Customer List'!$G:$G,'Full Customer List'!$I:$I,'Client Retention $'!J$5,'Full Customer List'!$E:$E,$AF44)/1000</f>
        <v>1.2353333333333332</v>
      </c>
      <c r="K47" s="197">
        <f>SUMIFS('Full Customer List'!$G:$G,'Full Customer List'!$I:$I,'Client Retention $'!K$5,'Full Customer List'!$E:$E,$AF44)/1000</f>
        <v>0</v>
      </c>
      <c r="L47" s="197">
        <f>SUMIFS('Full Customer List'!$G:$G,'Full Customer List'!$I:$I,'Client Retention $'!L$5,'Full Customer List'!$E:$E,$AF44)/1000</f>
        <v>0</v>
      </c>
      <c r="M47" s="197">
        <f>SUMIFS('Full Customer List'!$G:$G,'Full Customer List'!$I:$I,'Client Retention $'!M$5,'Full Customer List'!$E:$E,$AF44)/1000</f>
        <v>0.64833333333333332</v>
      </c>
      <c r="N47" s="197">
        <f>SUMIFS('Full Customer List'!$G:$G,'Full Customer List'!$I:$I,'Client Retention $'!N$5,'Full Customer List'!$E:$E,$AF44)/1000</f>
        <v>0.91300000000000003</v>
      </c>
      <c r="O47" s="197">
        <f>SUMIFS('Full Customer List'!$G:$G,'Full Customer List'!$I:$I,'Client Retention $'!O$5,'Full Customer List'!$E:$E,$AF44)/1000</f>
        <v>0.71866666666666679</v>
      </c>
      <c r="P47" s="197">
        <f>SUMIFS('Full Customer List'!$G:$G,'Full Customer List'!$I:$I,'Client Retention $'!P$5,'Full Customer List'!$E:$E,$AF44)/1000</f>
        <v>0.40600000000000003</v>
      </c>
      <c r="Q47" s="197">
        <f>SUMIFS('Full Customer List'!$G:$G,'Full Customer List'!$I:$I,'Client Retention $'!Q$5,'Full Customer List'!$E:$E,$AF44)/1000</f>
        <v>0.81</v>
      </c>
      <c r="R47" s="197">
        <f>SUMIFS('Full Customer List'!$G:$G,'Full Customer List'!$I:$I,'Client Retention $'!R$5,'Full Customer List'!$E:$E,$AF44)/1000</f>
        <v>0</v>
      </c>
      <c r="S47" s="197">
        <f>SUMIFS('Full Customer List'!$G:$G,'Full Customer List'!$I:$I,'Client Retention $'!S$5,'Full Customer List'!$E:$E,$AF44)/1000</f>
        <v>0.42</v>
      </c>
      <c r="T47" s="197">
        <f>SUMIFS('Full Customer List'!$G:$G,'Full Customer List'!$I:$I,'Client Retention $'!T$5,'Full Customer List'!$E:$E,$AF44)/1000</f>
        <v>0.4</v>
      </c>
      <c r="U47" s="197">
        <f>SUMIFS('Full Customer List'!$G:$G,'Full Customer List'!$I:$I,'Client Retention $'!U$5,'Full Customer List'!$E:$E,$AF44)/1000</f>
        <v>1.4350000000000001</v>
      </c>
      <c r="V47" s="197">
        <f>SUMIFS('Full Customer List'!$G:$G,'Full Customer List'!$I:$I,'Client Retention $'!V$5,'Full Customer List'!$E:$E,$AF44)/1000</f>
        <v>0.62</v>
      </c>
      <c r="W47" s="197">
        <f>SUMIFS('Full Customer List'!$G:$G,'Full Customer List'!$I:$I,'Client Retention $'!W$5,'Full Customer List'!$E:$E,$AF44)/1000</f>
        <v>1.6631666666666667</v>
      </c>
      <c r="X47" s="197">
        <f>SUMIFS('Full Customer List'!$G:$G,'Full Customer List'!$I:$I,'Client Retention $'!X$5,'Full Customer List'!$E:$E,$AF44)/1000</f>
        <v>0.40166666666666667</v>
      </c>
      <c r="Y47" s="197">
        <f>SUMIFS('Full Customer List'!$G:$G,'Full Customer List'!$I:$I,'Client Retention $'!Y$5,'Full Customer List'!$E:$E,$AF44)/1000</f>
        <v>0.56999999999999995</v>
      </c>
      <c r="Z47" s="197">
        <f>SUMIFS('Full Customer List'!$G:$G,'Full Customer List'!$I:$I,'Client Retention $'!Z$5,'Full Customer List'!$E:$E,$AF44)/1000</f>
        <v>0</v>
      </c>
      <c r="AA47" s="197">
        <f>SUMIFS('Full Customer List'!$G:$G,'Full Customer List'!$I:$I,'Client Retention $'!AA$5,'Full Customer List'!$E:$E,$AF44)/1000</f>
        <v>0</v>
      </c>
      <c r="AB47" s="197">
        <f>SUMIFS('Full Customer List'!$G:$G,'Full Customer List'!$I:$I,'Client Retention $'!AB$5,'Full Customer List'!$E:$E,$AF44)/1000</f>
        <v>0.41799999999999998</v>
      </c>
      <c r="AC47" s="197">
        <f>SUMIFS('Full Customer List'!$G:$G,'Full Customer List'!$I:$I,'Client Retention $'!AC$5,'Full Customer List'!$E:$E,$AF44)/1000</f>
        <v>0</v>
      </c>
      <c r="AD47" s="197">
        <f>SUMIFS('Full Customer List'!$G:$G,'Full Customer List'!$I:$I,'Client Retention $'!AD$5,'Full Customer List'!$E:$E,$AF44)/1000</f>
        <v>0</v>
      </c>
    </row>
    <row r="48" spans="2:34">
      <c r="B48" s="269" t="s">
        <v>1551</v>
      </c>
      <c r="E48" s="199">
        <f>SUM(J48:U48)*12</f>
        <v>0</v>
      </c>
      <c r="F48" s="199">
        <f>SUM(V48:AD48)*12</f>
        <v>-35.481999999999999</v>
      </c>
      <c r="H48" s="199">
        <f>SUM(S48:AD48)*12</f>
        <v>-35.481999999999999</v>
      </c>
      <c r="J48" s="197">
        <f>-SUMIFS('Full Customer List'!$G:$G,'Full Customer List'!$J:$J,J$1,'Full Customer List'!$E:$E,$AF44,'Full Customer List'!$H:$H,'Client Retention $'!$AF48)/1000</f>
        <v>0</v>
      </c>
      <c r="K48" s="197">
        <f>-SUMIFS('Full Customer List'!$G:$G,'Full Customer List'!$J:$J,K$1,'Full Customer List'!$E:$E,$AF44,'Full Customer List'!$H:$H,'Client Retention $'!$AF48)/1000</f>
        <v>0</v>
      </c>
      <c r="L48" s="197">
        <f>-SUMIFS('Full Customer List'!$G:$G,'Full Customer List'!$J:$J,L$1,'Full Customer List'!$E:$E,$AF44,'Full Customer List'!$H:$H,'Client Retention $'!$AF48)/1000</f>
        <v>0</v>
      </c>
      <c r="M48" s="197">
        <f>-SUMIFS('Full Customer List'!$G:$G,'Full Customer List'!$J:$J,M$1,'Full Customer List'!$E:$E,$AF44,'Full Customer List'!$H:$H,'Client Retention $'!$AF48)/1000</f>
        <v>0</v>
      </c>
      <c r="N48" s="197">
        <f>-SUMIFS('Full Customer List'!$G:$G,'Full Customer List'!$J:$J,N$1,'Full Customer List'!$E:$E,$AF44,'Full Customer List'!$H:$H,'Client Retention $'!$AF48)/1000</f>
        <v>0</v>
      </c>
      <c r="O48" s="197">
        <f>-SUMIFS('Full Customer List'!$G:$G,'Full Customer List'!$J:$J,O$1,'Full Customer List'!$E:$E,$AF44,'Full Customer List'!$H:$H,'Client Retention $'!$AF48)/1000</f>
        <v>0</v>
      </c>
      <c r="P48" s="197">
        <f>-SUMIFS('Full Customer List'!$G:$G,'Full Customer List'!$J:$J,P$1,'Full Customer List'!$E:$E,$AF44,'Full Customer List'!$H:$H,'Client Retention $'!$AF48)/1000</f>
        <v>0</v>
      </c>
      <c r="Q48" s="197">
        <f>-SUMIFS('Full Customer List'!$G:$G,'Full Customer List'!$J:$J,Q$1,'Full Customer List'!$E:$E,$AF44,'Full Customer List'!$H:$H,'Client Retention $'!$AF48)/1000</f>
        <v>0</v>
      </c>
      <c r="R48" s="197">
        <f>-SUMIFS('Full Customer List'!$G:$G,'Full Customer List'!$J:$J,R$1,'Full Customer List'!$E:$E,$AF44,'Full Customer List'!$H:$H,'Client Retention $'!$AF48)/1000</f>
        <v>0</v>
      </c>
      <c r="S48" s="197">
        <f>-SUMIFS('Full Customer List'!$G:$G,'Full Customer List'!$J:$J,S$1,'Full Customer List'!$E:$E,$AF44,'Full Customer List'!$H:$H,'Client Retention $'!$AF48)/1000</f>
        <v>0</v>
      </c>
      <c r="T48" s="197">
        <f>-SUMIFS('Full Customer List'!$G:$G,'Full Customer List'!$J:$J,T$1,'Full Customer List'!$E:$E,$AF44,'Full Customer List'!$H:$H,'Client Retention $'!$AF48)/1000</f>
        <v>0</v>
      </c>
      <c r="U48" s="197">
        <f>-SUMIFS('Full Customer List'!$G:$G,'Full Customer List'!$J:$J,U$1,'Full Customer List'!$E:$E,$AF44,'Full Customer List'!$H:$H,'Client Retention $'!$AF48)/1000</f>
        <v>0</v>
      </c>
      <c r="V48" s="197">
        <f>-SUMIFS('Full Customer List'!$G:$G,'Full Customer List'!$J:$J,V$1,'Full Customer List'!$E:$E,$AF44,'Full Customer List'!$H:$H,'Client Retention $'!$AF48)/1000</f>
        <v>0</v>
      </c>
      <c r="W48" s="197">
        <f>-SUMIFS('Full Customer List'!$G:$G,'Full Customer List'!$J:$J,W$1,'Full Customer List'!$E:$E,$AF44,'Full Customer List'!$H:$H,'Client Retention $'!$AF48)/1000</f>
        <v>0</v>
      </c>
      <c r="X48" s="197">
        <f>-SUMIFS('Full Customer List'!$G:$G,'Full Customer List'!$J:$J,X$1,'Full Customer List'!$E:$E,$AF44,'Full Customer List'!$H:$H,'Client Retention $'!$AF48)/1000</f>
        <v>0</v>
      </c>
      <c r="Y48" s="197">
        <f>-SUMIFS('Full Customer List'!$G:$G,'Full Customer List'!$J:$J,Y$1,'Full Customer List'!$E:$E,$AF44,'Full Customer List'!$H:$H,'Client Retention $'!$AF48)/1000</f>
        <v>-0.4</v>
      </c>
      <c r="Z48" s="197">
        <f>-SUMIFS('Full Customer List'!$G:$G,'Full Customer List'!$J:$J,Z$1,'Full Customer List'!$E:$E,$AF44,'Full Customer List'!$H:$H,'Client Retention $'!$AF48)/1000</f>
        <v>-2.1568333333333336</v>
      </c>
      <c r="AA48" s="197">
        <f>-SUMIFS('Full Customer List'!$G:$G,'Full Customer List'!$J:$J,AA$1,'Full Customer List'!$E:$E,$AF44,'Full Customer List'!$H:$H,'Client Retention $'!$AF48)/1000</f>
        <v>-0.4</v>
      </c>
      <c r="AB48" s="197">
        <f>-SUMIFS('Full Customer List'!$G:$G,'Full Customer List'!$J:$J,AB$1,'Full Customer List'!$E:$E,$AF44,'Full Customer List'!$H:$H,'Client Retention $'!$AF48)/1000</f>
        <v>0</v>
      </c>
      <c r="AC48" s="197">
        <f>-SUMIFS('Full Customer List'!$G:$G,'Full Customer List'!$J:$J,AC$1,'Full Customer List'!$E:$E,$AF44,'Full Customer List'!$H:$H,'Client Retention $'!$AF48)/1000</f>
        <v>0</v>
      </c>
      <c r="AD48" s="197">
        <f>-SUMIFS('Full Customer List'!$G:$G,'Full Customer List'!$J:$J,AD$1,'Full Customer List'!$E:$E,$AF44,'Full Customer List'!$H:$H,'Client Retention $'!$AF48)/1000</f>
        <v>0</v>
      </c>
      <c r="AF48" s="175" t="s">
        <v>509</v>
      </c>
    </row>
    <row r="49" spans="2:34">
      <c r="B49" s="269" t="s">
        <v>1552</v>
      </c>
      <c r="E49" s="199">
        <f>SUM(J49:U49)*12</f>
        <v>0</v>
      </c>
      <c r="F49" s="199">
        <f>SUM(V49:AD49)*12</f>
        <v>0</v>
      </c>
      <c r="H49" s="199">
        <f>SUM(S49:AD49)*12</f>
        <v>0</v>
      </c>
      <c r="J49" s="197">
        <f>-SUMIFS('Full Customer List'!$G:$G,'Full Customer List'!$J:$J,J$1,'Full Customer List'!$E:$E,$AF44,'Full Customer List'!$H:$H,'Client Retention $'!$AF49)/1000</f>
        <v>0</v>
      </c>
      <c r="K49" s="197">
        <f>-SUMIFS('Full Customer List'!$G:$G,'Full Customer List'!$J:$J,K$1,'Full Customer List'!$E:$E,$AF44,'Full Customer List'!$H:$H,'Client Retention $'!$AF49)/1000</f>
        <v>0</v>
      </c>
      <c r="L49" s="197">
        <f>-SUMIFS('Full Customer List'!$G:$G,'Full Customer List'!$J:$J,L$1,'Full Customer List'!$E:$E,$AF44,'Full Customer List'!$H:$H,'Client Retention $'!$AF49)/1000</f>
        <v>0</v>
      </c>
      <c r="M49" s="197">
        <f>-SUMIFS('Full Customer List'!$G:$G,'Full Customer List'!$J:$J,M$1,'Full Customer List'!$E:$E,$AF44,'Full Customer List'!$H:$H,'Client Retention $'!$AF49)/1000</f>
        <v>0</v>
      </c>
      <c r="N49" s="197">
        <f>-SUMIFS('Full Customer List'!$G:$G,'Full Customer List'!$J:$J,N$1,'Full Customer List'!$E:$E,$AF44,'Full Customer List'!$H:$H,'Client Retention $'!$AF49)/1000</f>
        <v>0</v>
      </c>
      <c r="O49" s="197">
        <f>-SUMIFS('Full Customer List'!$G:$G,'Full Customer List'!$J:$J,O$1,'Full Customer List'!$E:$E,$AF44,'Full Customer List'!$H:$H,'Client Retention $'!$AF49)/1000</f>
        <v>0</v>
      </c>
      <c r="P49" s="197">
        <f>-SUMIFS('Full Customer List'!$G:$G,'Full Customer List'!$J:$J,P$1,'Full Customer List'!$E:$E,$AF44,'Full Customer List'!$H:$H,'Client Retention $'!$AF49)/1000</f>
        <v>0</v>
      </c>
      <c r="Q49" s="197">
        <f>-SUMIFS('Full Customer List'!$G:$G,'Full Customer List'!$J:$J,Q$1,'Full Customer List'!$E:$E,$AF44,'Full Customer List'!$H:$H,'Client Retention $'!$AF49)/1000</f>
        <v>0</v>
      </c>
      <c r="R49" s="197">
        <f>-SUMIFS('Full Customer List'!$G:$G,'Full Customer List'!$J:$J,R$1,'Full Customer List'!$E:$E,$AF44,'Full Customer List'!$H:$H,'Client Retention $'!$AF49)/1000</f>
        <v>0</v>
      </c>
      <c r="S49" s="197">
        <f>-SUMIFS('Full Customer List'!$G:$G,'Full Customer List'!$J:$J,S$1,'Full Customer List'!$E:$E,$AF44,'Full Customer List'!$H:$H,'Client Retention $'!$AF49)/1000</f>
        <v>0</v>
      </c>
      <c r="T49" s="197">
        <f>-SUMIFS('Full Customer List'!$G:$G,'Full Customer List'!$J:$J,T$1,'Full Customer List'!$E:$E,$AF44,'Full Customer List'!$H:$H,'Client Retention $'!$AF49)/1000</f>
        <v>0</v>
      </c>
      <c r="U49" s="197">
        <f>-SUMIFS('Full Customer List'!$G:$G,'Full Customer List'!$J:$J,U$1,'Full Customer List'!$E:$E,$AF44,'Full Customer List'!$H:$H,'Client Retention $'!$AF49)/1000</f>
        <v>0</v>
      </c>
      <c r="V49" s="197">
        <f>-SUMIFS('Full Customer List'!$G:$G,'Full Customer List'!$J:$J,V$1,'Full Customer List'!$E:$E,$AF44,'Full Customer List'!$H:$H,'Client Retention $'!$AF49)/1000</f>
        <v>0</v>
      </c>
      <c r="W49" s="197">
        <f>-SUMIFS('Full Customer List'!$G:$G,'Full Customer List'!$J:$J,W$1,'Full Customer List'!$E:$E,$AF44,'Full Customer List'!$H:$H,'Client Retention $'!$AF49)/1000</f>
        <v>0</v>
      </c>
      <c r="X49" s="197">
        <f>-SUMIFS('Full Customer List'!$G:$G,'Full Customer List'!$J:$J,X$1,'Full Customer List'!$E:$E,$AF44,'Full Customer List'!$H:$H,'Client Retention $'!$AF49)/1000</f>
        <v>0</v>
      </c>
      <c r="Y49" s="197">
        <f>-SUMIFS('Full Customer List'!$G:$G,'Full Customer List'!$J:$J,Y$1,'Full Customer List'!$E:$E,$AF44,'Full Customer List'!$H:$H,'Client Retention $'!$AF49)/1000</f>
        <v>0</v>
      </c>
      <c r="Z49" s="197">
        <f>-SUMIFS('Full Customer List'!$G:$G,'Full Customer List'!$J:$J,Z$1,'Full Customer List'!$E:$E,$AF44,'Full Customer List'!$H:$H,'Client Retention $'!$AF49)/1000</f>
        <v>0</v>
      </c>
      <c r="AA49" s="197">
        <f>-SUMIFS('Full Customer List'!$G:$G,'Full Customer List'!$J:$J,AA$1,'Full Customer List'!$E:$E,$AF44,'Full Customer List'!$H:$H,'Client Retention $'!$AF49)/1000</f>
        <v>0</v>
      </c>
      <c r="AB49" s="197">
        <f>-SUMIFS('Full Customer List'!$G:$G,'Full Customer List'!$J:$J,AB$1,'Full Customer List'!$E:$E,$AF44,'Full Customer List'!$H:$H,'Client Retention $'!$AF49)/1000</f>
        <v>0</v>
      </c>
      <c r="AC49" s="197">
        <f>-SUMIFS('Full Customer List'!$G:$G,'Full Customer List'!$J:$J,AC$1,'Full Customer List'!$E:$E,$AF44,'Full Customer List'!$H:$H,'Client Retention $'!$AF49)/1000</f>
        <v>0</v>
      </c>
      <c r="AD49" s="197">
        <f>-SUMIFS('Full Customer List'!$G:$G,'Full Customer List'!$J:$J,AD$1,'Full Customer List'!$E:$E,$AF44,'Full Customer List'!$H:$H,'Client Retention $'!$AF49)/1000</f>
        <v>0</v>
      </c>
      <c r="AF49" s="175" t="s">
        <v>510</v>
      </c>
    </row>
    <row r="50" spans="2:34">
      <c r="B50" s="269" t="s">
        <v>1553</v>
      </c>
      <c r="E50" s="199">
        <f>SUM(J50:U50)*12</f>
        <v>0</v>
      </c>
      <c r="F50" s="199">
        <f>SUM(V50:AD50)*12</f>
        <v>-7.7799999999999994</v>
      </c>
      <c r="H50" s="199">
        <f>SUM(S50:AD50)*12</f>
        <v>-7.7799999999999994</v>
      </c>
      <c r="J50" s="197">
        <f>-SUMIFS('Full Customer List'!$G:$G,'Full Customer List'!$J:$J,J$1,'Full Customer List'!$E:$E,$AF44,'Full Customer List'!$H:$H,'Client Retention $'!$AF50)/1000</f>
        <v>0</v>
      </c>
      <c r="K50" s="197">
        <f>-SUMIFS('Full Customer List'!$G:$G,'Full Customer List'!$J:$J,K$1,'Full Customer List'!$E:$E,$AF44,'Full Customer List'!$H:$H,'Client Retention $'!$AF50)/1000</f>
        <v>0</v>
      </c>
      <c r="L50" s="197">
        <f>-SUMIFS('Full Customer List'!$G:$G,'Full Customer List'!$J:$J,L$1,'Full Customer List'!$E:$E,$AF44,'Full Customer List'!$H:$H,'Client Retention $'!$AF50)/1000</f>
        <v>0</v>
      </c>
      <c r="M50" s="197">
        <f>-SUMIFS('Full Customer List'!$G:$G,'Full Customer List'!$J:$J,M$1,'Full Customer List'!$E:$E,$AF44,'Full Customer List'!$H:$H,'Client Retention $'!$AF50)/1000</f>
        <v>0</v>
      </c>
      <c r="N50" s="197">
        <f>-SUMIFS('Full Customer List'!$G:$G,'Full Customer List'!$J:$J,N$1,'Full Customer List'!$E:$E,$AF44,'Full Customer List'!$H:$H,'Client Retention $'!$AF50)/1000</f>
        <v>0</v>
      </c>
      <c r="O50" s="197">
        <f>-SUMIFS('Full Customer List'!$G:$G,'Full Customer List'!$J:$J,O$1,'Full Customer List'!$E:$E,$AF44,'Full Customer List'!$H:$H,'Client Retention $'!$AF50)/1000</f>
        <v>0</v>
      </c>
      <c r="P50" s="197">
        <f>-SUMIFS('Full Customer List'!$G:$G,'Full Customer List'!$J:$J,P$1,'Full Customer List'!$E:$E,$AF44,'Full Customer List'!$H:$H,'Client Retention $'!$AF50)/1000</f>
        <v>0</v>
      </c>
      <c r="Q50" s="197">
        <f>-SUMIFS('Full Customer List'!$G:$G,'Full Customer List'!$J:$J,Q$1,'Full Customer List'!$E:$E,$AF44,'Full Customer List'!$H:$H,'Client Retention $'!$AF50)/1000</f>
        <v>0</v>
      </c>
      <c r="R50" s="197">
        <f>-SUMIFS('Full Customer List'!$G:$G,'Full Customer List'!$J:$J,R$1,'Full Customer List'!$E:$E,$AF44,'Full Customer List'!$H:$H,'Client Retention $'!$AF50)/1000</f>
        <v>0</v>
      </c>
      <c r="S50" s="197">
        <f>-SUMIFS('Full Customer List'!$G:$G,'Full Customer List'!$J:$J,S$1,'Full Customer List'!$E:$E,$AF44,'Full Customer List'!$H:$H,'Client Retention $'!$AF50)/1000</f>
        <v>0</v>
      </c>
      <c r="T50" s="197">
        <f>-SUMIFS('Full Customer List'!$G:$G,'Full Customer List'!$J:$J,T$1,'Full Customer List'!$E:$E,$AF44,'Full Customer List'!$H:$H,'Client Retention $'!$AF50)/1000</f>
        <v>0</v>
      </c>
      <c r="U50" s="197">
        <f>-SUMIFS('Full Customer List'!$G:$G,'Full Customer List'!$J:$J,U$1,'Full Customer List'!$E:$E,$AF44,'Full Customer List'!$H:$H,'Client Retention $'!$AF50)/1000</f>
        <v>0</v>
      </c>
      <c r="V50" s="197">
        <f>-SUMIFS('Full Customer List'!$G:$G,'Full Customer List'!$J:$J,V$1,'Full Customer List'!$E:$E,$AF44,'Full Customer List'!$H:$H,'Client Retention $'!$AF50)/1000</f>
        <v>0</v>
      </c>
      <c r="W50" s="197">
        <f>-SUMIFS('Full Customer List'!$G:$G,'Full Customer List'!$J:$J,W$1,'Full Customer List'!$E:$E,$AF44,'Full Customer List'!$H:$H,'Client Retention $'!$AF50)/1000</f>
        <v>0</v>
      </c>
      <c r="X50" s="197">
        <f>-SUMIFS('Full Customer List'!$G:$G,'Full Customer List'!$J:$J,X$1,'Full Customer List'!$E:$E,$AF44,'Full Customer List'!$H:$H,'Client Retention $'!$AF50)/1000</f>
        <v>-0.64833333333333332</v>
      </c>
      <c r="Y50" s="197">
        <f>-SUMIFS('Full Customer List'!$G:$G,'Full Customer List'!$J:$J,Y$1,'Full Customer List'!$E:$E,$AF44,'Full Customer List'!$H:$H,'Client Retention $'!$AF50)/1000</f>
        <v>0</v>
      </c>
      <c r="Z50" s="197">
        <f>-SUMIFS('Full Customer List'!$G:$G,'Full Customer List'!$J:$J,Z$1,'Full Customer List'!$E:$E,$AF44,'Full Customer List'!$H:$H,'Client Retention $'!$AF50)/1000</f>
        <v>0</v>
      </c>
      <c r="AA50" s="197">
        <f>-SUMIFS('Full Customer List'!$G:$G,'Full Customer List'!$J:$J,AA$1,'Full Customer List'!$E:$E,$AF44,'Full Customer List'!$H:$H,'Client Retention $'!$AF50)/1000</f>
        <v>0</v>
      </c>
      <c r="AB50" s="197">
        <f>-SUMIFS('Full Customer List'!$G:$G,'Full Customer List'!$J:$J,AB$1,'Full Customer List'!$E:$E,$AF44,'Full Customer List'!$H:$H,'Client Retention $'!$AF50)/1000</f>
        <v>0</v>
      </c>
      <c r="AC50" s="197">
        <f>-SUMIFS('Full Customer List'!$G:$G,'Full Customer List'!$J:$J,AC$1,'Full Customer List'!$E:$E,$AF44,'Full Customer List'!$H:$H,'Client Retention $'!$AF50)/1000</f>
        <v>0</v>
      </c>
      <c r="AD50" s="197">
        <f>-SUMIFS('Full Customer List'!$G:$G,'Full Customer List'!$J:$J,AD$1,'Full Customer List'!$E:$E,$AF44,'Full Customer List'!$H:$H,'Client Retention $'!$AF50)/1000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SUM(J51:U51)*12</f>
        <v>0</v>
      </c>
      <c r="F51" s="260">
        <f>SUM(V51:AD51)*12</f>
        <v>-43.262</v>
      </c>
      <c r="G51" s="261"/>
      <c r="H51" s="260">
        <f>SUM(S51:AD51)*12</f>
        <v>-43.262</v>
      </c>
      <c r="I51" s="261"/>
      <c r="J51" s="262">
        <f>-SUMIFS('Full Customer List'!$G:$G,'Full Customer List'!$J:$J,J$1,'Full Customer List'!$E:$E,$AF44)/1000</f>
        <v>0</v>
      </c>
      <c r="K51" s="262">
        <f>-SUMIFS('Full Customer List'!$G:$G,'Full Customer List'!$J:$J,K$1,'Full Customer List'!$E:$E,$AF44)/1000</f>
        <v>0</v>
      </c>
      <c r="L51" s="262">
        <f>-SUMIFS('Full Customer List'!$G:$G,'Full Customer List'!$J:$J,L$1,'Full Customer List'!$E:$E,$AF44)/1000</f>
        <v>0</v>
      </c>
      <c r="M51" s="262">
        <f>-SUMIFS('Full Customer List'!$G:$G,'Full Customer List'!$J:$J,M$1,'Full Customer List'!$E:$E,$AF44)/1000</f>
        <v>0</v>
      </c>
      <c r="N51" s="262">
        <f>-SUMIFS('Full Customer List'!$G:$G,'Full Customer List'!$J:$J,N$1,'Full Customer List'!$E:$E,$AF44)/1000</f>
        <v>0</v>
      </c>
      <c r="O51" s="262">
        <f>-SUMIFS('Full Customer List'!$G:$G,'Full Customer List'!$J:$J,O$1,'Full Customer List'!$E:$E,$AF44)/1000</f>
        <v>0</v>
      </c>
      <c r="P51" s="262">
        <f>-SUMIFS('Full Customer List'!$G:$G,'Full Customer List'!$J:$J,P$1,'Full Customer List'!$E:$E,$AF44)/1000</f>
        <v>0</v>
      </c>
      <c r="Q51" s="262">
        <f>-SUMIFS('Full Customer List'!$G:$G,'Full Customer List'!$J:$J,Q$1,'Full Customer List'!$E:$E,$AF44)/1000</f>
        <v>0</v>
      </c>
      <c r="R51" s="262">
        <f>-SUMIFS('Full Customer List'!$G:$G,'Full Customer List'!$J:$J,R$1,'Full Customer List'!$E:$E,$AF44)/1000</f>
        <v>0</v>
      </c>
      <c r="S51" s="262">
        <f>-SUMIFS('Full Customer List'!$G:$G,'Full Customer List'!$J:$J,S$1,'Full Customer List'!$E:$E,$AF44)/1000</f>
        <v>0</v>
      </c>
      <c r="T51" s="262">
        <f>-SUMIFS('Full Customer List'!$G:$G,'Full Customer List'!$J:$J,T$1,'Full Customer List'!$E:$E,$AF44)/1000</f>
        <v>0</v>
      </c>
      <c r="U51" s="262">
        <f>-SUMIFS('Full Customer List'!$G:$G,'Full Customer List'!$J:$J,U$1,'Full Customer List'!$E:$E,$AF44)/1000</f>
        <v>0</v>
      </c>
      <c r="V51" s="262">
        <f>-SUMIFS('Full Customer List'!$G:$G,'Full Customer List'!$J:$J,V$1,'Full Customer List'!$E:$E,$AF44)/1000</f>
        <v>0</v>
      </c>
      <c r="W51" s="262">
        <f>-SUMIFS('Full Customer List'!$G:$G,'Full Customer List'!$J:$J,W$1,'Full Customer List'!$E:$E,$AF44)/1000</f>
        <v>0</v>
      </c>
      <c r="X51" s="262">
        <f>-SUMIFS('Full Customer List'!$G:$G,'Full Customer List'!$J:$J,X$1,'Full Customer List'!$E:$E,$AF44)/1000</f>
        <v>-0.64833333333333332</v>
      </c>
      <c r="Y51" s="262">
        <f>-SUMIFS('Full Customer List'!$G:$G,'Full Customer List'!$J:$J,Y$1,'Full Customer List'!$E:$E,$AF44)/1000</f>
        <v>-0.4</v>
      </c>
      <c r="Z51" s="262">
        <f>-SUMIFS('Full Customer List'!$G:$G,'Full Customer List'!$J:$J,Z$1,'Full Customer List'!$E:$E,$AF44)/1000</f>
        <v>-2.1568333333333336</v>
      </c>
      <c r="AA51" s="262">
        <f>-SUMIFS('Full Customer List'!$G:$G,'Full Customer List'!$J:$J,AA$1,'Full Customer List'!$E:$E,$AF44)/1000</f>
        <v>-0.4</v>
      </c>
      <c r="AB51" s="262">
        <f>-SUMIFS('Full Customer List'!$G:$G,'Full Customer List'!$J:$J,AB$1,'Full Customer List'!$E:$E,$AF44)/1000</f>
        <v>0</v>
      </c>
      <c r="AC51" s="262">
        <f>-SUMIFS('Full Customer List'!$G:$G,'Full Customer List'!$J:$J,AC$1,'Full Customer List'!$E:$E,$AF44)/1000</f>
        <v>0</v>
      </c>
      <c r="AD51" s="262">
        <f>-SUMIFS('Full Customer List'!$G:$G,'Full Customer List'!$J:$J,AD$1,'Full Customer List'!$E:$E,$AF44)/1000</f>
        <v>0</v>
      </c>
    </row>
    <row r="52" spans="2:34" ht="12" customHeight="1">
      <c r="B52" s="263" t="s">
        <v>1574</v>
      </c>
      <c r="C52" s="264"/>
      <c r="D52" s="264"/>
      <c r="E52" s="264">
        <f>+F46</f>
        <v>142.03999999999996</v>
      </c>
      <c r="F52" s="265">
        <f>+$AD52*12</f>
        <v>142.85199999999998</v>
      </c>
      <c r="H52" s="268">
        <f>+$AD52*12</f>
        <v>142.85199999999998</v>
      </c>
      <c r="J52" s="266">
        <f t="shared" ref="J52:AC52" si="27">+K46</f>
        <v>6.0856666666666639</v>
      </c>
      <c r="K52" s="264">
        <f t="shared" si="27"/>
        <v>6.0856666666666639</v>
      </c>
      <c r="L52" s="264">
        <f t="shared" si="27"/>
        <v>6.0856666666666639</v>
      </c>
      <c r="M52" s="264">
        <f t="shared" si="27"/>
        <v>6.7339999999999973</v>
      </c>
      <c r="N52" s="264">
        <f t="shared" si="27"/>
        <v>7.6469999999999976</v>
      </c>
      <c r="O52" s="264">
        <f t="shared" si="27"/>
        <v>8.3656666666666641</v>
      </c>
      <c r="P52" s="264">
        <f t="shared" si="27"/>
        <v>8.7716666666666647</v>
      </c>
      <c r="Q52" s="264">
        <f t="shared" si="27"/>
        <v>9.5816666666666652</v>
      </c>
      <c r="R52" s="264">
        <f t="shared" si="27"/>
        <v>9.5816666666666652</v>
      </c>
      <c r="S52" s="266">
        <f t="shared" si="27"/>
        <v>10.001666666666665</v>
      </c>
      <c r="T52" s="264">
        <f t="shared" si="27"/>
        <v>10.401666666666666</v>
      </c>
      <c r="U52" s="264">
        <f t="shared" si="27"/>
        <v>11.836666666666666</v>
      </c>
      <c r="V52" s="264">
        <f t="shared" si="27"/>
        <v>12.456666666666665</v>
      </c>
      <c r="W52" s="264">
        <f t="shared" si="27"/>
        <v>14.119833333333332</v>
      </c>
      <c r="X52" s="264">
        <f t="shared" si="27"/>
        <v>13.873166666666666</v>
      </c>
      <c r="Y52" s="264">
        <f t="shared" si="27"/>
        <v>14.043166666666666</v>
      </c>
      <c r="Z52" s="264">
        <f t="shared" si="27"/>
        <v>11.886333333333333</v>
      </c>
      <c r="AA52" s="264">
        <f t="shared" si="27"/>
        <v>11.486333333333333</v>
      </c>
      <c r="AB52" s="264">
        <f t="shared" si="27"/>
        <v>11.904333333333332</v>
      </c>
      <c r="AC52" s="264">
        <f t="shared" si="27"/>
        <v>11.904333333333332</v>
      </c>
      <c r="AD52" s="265">
        <f>SUMIFS('Full Customer List'!$G:$G,'Full Customer List'!$C:$C,"Active",'Full Customer List'!$E:$E,'Client Retention $'!$AF44)/1000</f>
        <v>11.904333333333332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1571</v>
      </c>
      <c r="C54" s="239"/>
      <c r="D54" s="239"/>
      <c r="E54" s="240">
        <f>(E47+E46)/E46-1</f>
        <v>1.4403821043227283</v>
      </c>
      <c r="F54" s="251">
        <f>(F47+F46)/F46-1</f>
        <v>0.31029287524640958</v>
      </c>
      <c r="G54" s="252"/>
      <c r="H54" s="253">
        <f>(H47+H46)/H46-1</f>
        <v>0.61866411549834788</v>
      </c>
      <c r="J54" s="250">
        <f t="shared" ref="J54:AD54" si="28">(J47+J46)/J46-1</f>
        <v>0.25469039928527248</v>
      </c>
      <c r="K54" s="240">
        <f t="shared" si="28"/>
        <v>0</v>
      </c>
      <c r="L54" s="240">
        <f t="shared" si="28"/>
        <v>0</v>
      </c>
      <c r="M54" s="240">
        <f t="shared" si="28"/>
        <v>0.10653447992550813</v>
      </c>
      <c r="N54" s="240">
        <f t="shared" si="28"/>
        <v>0.13558063558063571</v>
      </c>
      <c r="O54" s="240">
        <f t="shared" si="28"/>
        <v>9.3980210104180228E-2</v>
      </c>
      <c r="P54" s="240">
        <f t="shared" si="28"/>
        <v>4.8531697015579578E-2</v>
      </c>
      <c r="Q54" s="240">
        <f t="shared" si="28"/>
        <v>9.2342770283108555E-2</v>
      </c>
      <c r="R54" s="240">
        <f t="shared" si="28"/>
        <v>0</v>
      </c>
      <c r="S54" s="250">
        <f t="shared" si="28"/>
        <v>4.3833710210471333E-2</v>
      </c>
      <c r="T54" s="240">
        <f t="shared" si="28"/>
        <v>3.9993334444259343E-2</v>
      </c>
      <c r="U54" s="240">
        <f t="shared" si="28"/>
        <v>0.13795866047107852</v>
      </c>
      <c r="V54" s="240">
        <f t="shared" si="28"/>
        <v>5.2379611377076918E-2</v>
      </c>
      <c r="W54" s="240">
        <f t="shared" si="28"/>
        <v>0.13351618945678356</v>
      </c>
      <c r="X54" s="240">
        <f t="shared" si="28"/>
        <v>2.844698355740749E-2</v>
      </c>
      <c r="Y54" s="240">
        <f t="shared" si="28"/>
        <v>4.1086509929239901E-2</v>
      </c>
      <c r="Z54" s="240">
        <f t="shared" si="28"/>
        <v>0</v>
      </c>
      <c r="AA54" s="240">
        <f t="shared" si="28"/>
        <v>0</v>
      </c>
      <c r="AB54" s="240">
        <f t="shared" si="28"/>
        <v>3.6391073449606681E-2</v>
      </c>
      <c r="AC54" s="240">
        <f t="shared" si="28"/>
        <v>0</v>
      </c>
      <c r="AD54" s="251">
        <f t="shared" si="28"/>
        <v>0</v>
      </c>
    </row>
    <row r="55" spans="2:34" ht="12" customHeight="1">
      <c r="B55" s="241" t="s">
        <v>1572</v>
      </c>
      <c r="C55" s="242"/>
      <c r="D55" s="242"/>
      <c r="E55" s="243">
        <f>(E51+E46)/E46-1</f>
        <v>0</v>
      </c>
      <c r="F55" s="244">
        <f>(F51+F46)/F46-1</f>
        <v>-0.30457617572514795</v>
      </c>
      <c r="G55" s="252"/>
      <c r="H55" s="246">
        <f>(H51+H46)/H46-1</f>
        <v>-0.37625674030266143</v>
      </c>
      <c r="J55" s="245">
        <f t="shared" ref="J55:AD55" si="29">(J51+J46)/J46-1</f>
        <v>0</v>
      </c>
      <c r="K55" s="243">
        <f t="shared" si="29"/>
        <v>0</v>
      </c>
      <c r="L55" s="243">
        <f t="shared" si="29"/>
        <v>0</v>
      </c>
      <c r="M55" s="243">
        <f t="shared" si="29"/>
        <v>0</v>
      </c>
      <c r="N55" s="243">
        <f t="shared" si="29"/>
        <v>0</v>
      </c>
      <c r="O55" s="243">
        <f t="shared" si="29"/>
        <v>0</v>
      </c>
      <c r="P55" s="243">
        <f t="shared" si="29"/>
        <v>0</v>
      </c>
      <c r="Q55" s="243">
        <f t="shared" si="29"/>
        <v>0</v>
      </c>
      <c r="R55" s="243">
        <f t="shared" si="29"/>
        <v>0</v>
      </c>
      <c r="S55" s="245">
        <f t="shared" si="29"/>
        <v>0</v>
      </c>
      <c r="T55" s="243">
        <f t="shared" si="29"/>
        <v>0</v>
      </c>
      <c r="U55" s="243">
        <f t="shared" si="29"/>
        <v>0</v>
      </c>
      <c r="V55" s="243">
        <f t="shared" si="29"/>
        <v>0</v>
      </c>
      <c r="W55" s="243">
        <f t="shared" si="29"/>
        <v>0</v>
      </c>
      <c r="X55" s="243">
        <f t="shared" si="29"/>
        <v>-4.591650043083606E-2</v>
      </c>
      <c r="Y55" s="243">
        <f t="shared" si="29"/>
        <v>-2.8832638546835043E-2</v>
      </c>
      <c r="Z55" s="243">
        <f t="shared" si="29"/>
        <v>-0.15358596707770089</v>
      </c>
      <c r="AA55" s="243">
        <f t="shared" si="29"/>
        <v>-3.3652093440646125E-2</v>
      </c>
      <c r="AB55" s="243">
        <f t="shared" si="29"/>
        <v>0</v>
      </c>
      <c r="AC55" s="243">
        <f t="shared" si="29"/>
        <v>0</v>
      </c>
      <c r="AD55" s="244">
        <f t="shared" si="29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:P57" si="30">EOMONTH(J57,0)+1</f>
        <v>45689</v>
      </c>
      <c r="L57" s="194">
        <f t="shared" si="30"/>
        <v>45717</v>
      </c>
      <c r="M57" s="194">
        <f t="shared" si="30"/>
        <v>45748</v>
      </c>
      <c r="N57" s="194">
        <f t="shared" si="30"/>
        <v>45778</v>
      </c>
      <c r="O57" s="194">
        <f t="shared" si="30"/>
        <v>45809</v>
      </c>
      <c r="P57" s="194">
        <f t="shared" si="30"/>
        <v>45839</v>
      </c>
      <c r="Q57" s="194">
        <v>45870</v>
      </c>
      <c r="R57" s="194">
        <f t="shared" ref="R57:AD57" si="31">EOMONTH(Q57,0)+1</f>
        <v>45901</v>
      </c>
      <c r="S57" s="194">
        <f t="shared" si="31"/>
        <v>45931</v>
      </c>
      <c r="T57" s="194">
        <f t="shared" si="31"/>
        <v>45962</v>
      </c>
      <c r="U57" s="194">
        <f t="shared" si="31"/>
        <v>45992</v>
      </c>
      <c r="V57" s="194">
        <f t="shared" si="31"/>
        <v>46023</v>
      </c>
      <c r="W57" s="194">
        <f t="shared" si="31"/>
        <v>46054</v>
      </c>
      <c r="X57" s="194">
        <f t="shared" si="31"/>
        <v>46082</v>
      </c>
      <c r="Y57" s="194">
        <f t="shared" si="31"/>
        <v>46113</v>
      </c>
      <c r="Z57" s="194">
        <f t="shared" si="31"/>
        <v>46143</v>
      </c>
      <c r="AA57" s="194">
        <f t="shared" si="31"/>
        <v>46174</v>
      </c>
      <c r="AB57" s="194">
        <f t="shared" si="31"/>
        <v>46204</v>
      </c>
      <c r="AC57" s="194">
        <f t="shared" si="31"/>
        <v>46235</v>
      </c>
      <c r="AD57" s="194">
        <f t="shared" si="31"/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1575</v>
      </c>
      <c r="C59" s="184"/>
      <c r="D59" s="184"/>
      <c r="E59" s="184">
        <f>+E65-E60-E64</f>
        <v>177.17000000000002</v>
      </c>
      <c r="F59" s="184">
        <f>+F65-F60-F64</f>
        <v>134.226</v>
      </c>
      <c r="H59" s="184">
        <f>+H65-H60-H64</f>
        <v>141.43</v>
      </c>
      <c r="J59" s="184">
        <f t="shared" ref="J59:AD59" si="32">+J65-J60-J64</f>
        <v>14.764166666666668</v>
      </c>
      <c r="K59" s="184">
        <f t="shared" si="32"/>
        <v>13.159166666666668</v>
      </c>
      <c r="L59" s="184">
        <f t="shared" si="32"/>
        <v>12.759166666666667</v>
      </c>
      <c r="M59" s="184">
        <f t="shared" si="32"/>
        <v>12.759166666666667</v>
      </c>
      <c r="N59" s="184">
        <f t="shared" si="32"/>
        <v>12.759166666666667</v>
      </c>
      <c r="O59" s="184">
        <f t="shared" si="32"/>
        <v>12.459166666666667</v>
      </c>
      <c r="P59" s="184">
        <f t="shared" si="32"/>
        <v>12.495833333333334</v>
      </c>
      <c r="Q59" s="184">
        <f t="shared" si="32"/>
        <v>11.785833333333333</v>
      </c>
      <c r="R59" s="184">
        <f t="shared" si="32"/>
        <v>12.185833333333333</v>
      </c>
      <c r="S59" s="184">
        <f t="shared" si="32"/>
        <v>11.785833333333333</v>
      </c>
      <c r="T59" s="184">
        <f t="shared" si="32"/>
        <v>11.785833333333333</v>
      </c>
      <c r="U59" s="184">
        <f t="shared" si="32"/>
        <v>11.785833333333333</v>
      </c>
      <c r="V59" s="184">
        <f t="shared" si="32"/>
        <v>11.185499999999999</v>
      </c>
      <c r="W59" s="184">
        <f t="shared" si="32"/>
        <v>10.8355</v>
      </c>
      <c r="X59" s="184">
        <f t="shared" si="32"/>
        <v>10.5305</v>
      </c>
      <c r="Y59" s="184">
        <f t="shared" si="32"/>
        <v>10.164999999999999</v>
      </c>
      <c r="Z59" s="184">
        <f t="shared" si="32"/>
        <v>10.164999999999999</v>
      </c>
      <c r="AA59" s="184">
        <f t="shared" si="32"/>
        <v>9.8249999999999993</v>
      </c>
      <c r="AB59" s="184">
        <f t="shared" si="32"/>
        <v>9.8249999999999993</v>
      </c>
      <c r="AC59" s="184">
        <f t="shared" si="32"/>
        <v>1.35</v>
      </c>
      <c r="AD59" s="184">
        <f t="shared" si="32"/>
        <v>1.35</v>
      </c>
      <c r="AF59" s="222"/>
    </row>
    <row r="60" spans="2:34">
      <c r="B60" s="193" t="s">
        <v>1322</v>
      </c>
      <c r="E60" s="199">
        <f>SUM(J60:U60)*12</f>
        <v>8.879999999999999</v>
      </c>
      <c r="F60" s="199">
        <f>SUM(V60:AD60)*12</f>
        <v>0</v>
      </c>
      <c r="H60" s="199">
        <f>SUM(S60:AD60)*12</f>
        <v>0</v>
      </c>
      <c r="J60" s="197">
        <f>SUMIFS('Full Customer List'!$G:$G,'Full Customer List'!$I:$I,'Client Retention $'!J$5,'Full Customer List'!$E:$E,$AF57)/1000</f>
        <v>0</v>
      </c>
      <c r="K60" s="197">
        <f>SUMIFS('Full Customer List'!$G:$G,'Full Customer List'!$I:$I,'Client Retention $'!K$5,'Full Customer List'!$E:$E,$AF57)/1000</f>
        <v>0</v>
      </c>
      <c r="L60" s="197">
        <f>SUMIFS('Full Customer List'!$G:$G,'Full Customer List'!$I:$I,'Client Retention $'!L$5,'Full Customer List'!$E:$E,$AF57)/1000</f>
        <v>0</v>
      </c>
      <c r="M60" s="197">
        <f>SUMIFS('Full Customer List'!$G:$G,'Full Customer List'!$I:$I,'Client Retention $'!M$5,'Full Customer List'!$E:$E,$AF57)/1000</f>
        <v>0</v>
      </c>
      <c r="N60" s="197">
        <f>SUMIFS('Full Customer List'!$G:$G,'Full Customer List'!$I:$I,'Client Retention $'!N$5,'Full Customer List'!$E:$E,$AF57)/1000</f>
        <v>0</v>
      </c>
      <c r="O60" s="197">
        <f>SUMIFS('Full Customer List'!$G:$G,'Full Customer List'!$I:$I,'Client Retention $'!O$5,'Full Customer List'!$E:$E,$AF57)/1000</f>
        <v>0.34</v>
      </c>
      <c r="P60" s="197">
        <f>SUMIFS('Full Customer List'!$G:$G,'Full Customer List'!$I:$I,'Client Retention $'!P$5,'Full Customer List'!$E:$E,$AF57)/1000</f>
        <v>0</v>
      </c>
      <c r="Q60" s="197">
        <f>SUMIFS('Full Customer List'!$G:$G,'Full Customer List'!$I:$I,'Client Retention $'!Q$5,'Full Customer List'!$E:$E,$AF57)/1000</f>
        <v>0.4</v>
      </c>
      <c r="R60" s="197">
        <f>SUMIFS('Full Customer List'!$G:$G,'Full Customer List'!$I:$I,'Client Retention $'!R$5,'Full Customer List'!$E:$E,$AF57)/1000</f>
        <v>0</v>
      </c>
      <c r="S60" s="197">
        <f>SUMIFS('Full Customer List'!$G:$G,'Full Customer List'!$I:$I,'Client Retention $'!S$5,'Full Customer List'!$E:$E,$AF57)/1000</f>
        <v>0</v>
      </c>
      <c r="T60" s="197">
        <f>SUMIFS('Full Customer List'!$G:$G,'Full Customer List'!$I:$I,'Client Retention $'!T$5,'Full Customer List'!$E:$E,$AF57)/1000</f>
        <v>0</v>
      </c>
      <c r="U60" s="197">
        <f>SUMIFS('Full Customer List'!$G:$G,'Full Customer List'!$I:$I,'Client Retention $'!U$5,'Full Customer List'!$E:$E,$AF57)/1000</f>
        <v>0</v>
      </c>
      <c r="V60" s="197">
        <f>SUMIFS('Full Customer List'!$G:$G,'Full Customer List'!$I:$I,'Client Retention $'!V$5,'Full Customer List'!$E:$E,$AF57)/1000</f>
        <v>0</v>
      </c>
      <c r="W60" s="197">
        <f>SUMIFS('Full Customer List'!$G:$G,'Full Customer List'!$I:$I,'Client Retention $'!W$5,'Full Customer List'!$E:$E,$AF57)/1000</f>
        <v>0</v>
      </c>
      <c r="X60" s="197">
        <f>SUMIFS('Full Customer List'!$G:$G,'Full Customer List'!$I:$I,'Client Retention $'!X$5,'Full Customer List'!$E:$E,$AF57)/1000</f>
        <v>0</v>
      </c>
      <c r="Y60" s="197">
        <f>SUMIFS('Full Customer List'!$G:$G,'Full Customer List'!$I:$I,'Client Retention $'!Y$5,'Full Customer List'!$E:$E,$AF57)/1000</f>
        <v>0</v>
      </c>
      <c r="Z60" s="197">
        <f>SUMIFS('Full Customer List'!$G:$G,'Full Customer List'!$I:$I,'Client Retention $'!Z$5,'Full Customer List'!$E:$E,$AF57)/1000</f>
        <v>0</v>
      </c>
      <c r="AA60" s="197">
        <f>SUMIFS('Full Customer List'!$G:$G,'Full Customer List'!$I:$I,'Client Retention $'!AA$5,'Full Customer List'!$E:$E,$AF57)/1000</f>
        <v>0</v>
      </c>
      <c r="AB60" s="197">
        <f>SUMIFS('Full Customer List'!$G:$G,'Full Customer List'!$I:$I,'Client Retention $'!AB$5,'Full Customer List'!$E:$E,$AF57)/1000</f>
        <v>0</v>
      </c>
      <c r="AC60" s="197">
        <f>SUMIFS('Full Customer List'!$G:$G,'Full Customer List'!$I:$I,'Client Retention $'!AC$5,'Full Customer List'!$E:$E,$AF57)/1000</f>
        <v>0</v>
      </c>
      <c r="AD60" s="197">
        <f>SUMIFS('Full Customer List'!$G:$G,'Full Customer List'!$I:$I,'Client Retention $'!AD$5,'Full Customer List'!$E:$E,$AF57)/1000</f>
        <v>0</v>
      </c>
      <c r="AF60" s="222"/>
    </row>
    <row r="61" spans="2:34">
      <c r="B61" s="269" t="s">
        <v>1551</v>
      </c>
      <c r="E61" s="199">
        <f>SUM(J61:U61)*12</f>
        <v>-33.463999999999999</v>
      </c>
      <c r="F61" s="199">
        <f>SUM(V61:AD61)*12</f>
        <v>-16.326000000000001</v>
      </c>
      <c r="H61" s="199">
        <f>SUM(S61:AD61)*12</f>
        <v>-23.53</v>
      </c>
      <c r="J61" s="197">
        <f>-SUMIFS('Full Customer List'!$G:$G,'Full Customer List'!$J:$J,J$1,'Full Customer List'!$E:$E,$AF57,'Full Customer List'!$H:$H,'Client Retention $'!$AF61)/1000</f>
        <v>-0.875</v>
      </c>
      <c r="K61" s="197">
        <f>-SUMIFS('Full Customer List'!$G:$G,'Full Customer List'!$J:$J,K$1,'Full Customer List'!$E:$E,$AF57,'Full Customer List'!$H:$H,'Client Retention $'!$AF61)/1000</f>
        <v>0</v>
      </c>
      <c r="L61" s="197">
        <f>-SUMIFS('Full Customer List'!$G:$G,'Full Customer List'!$J:$J,L$1,'Full Customer List'!$E:$E,$AF57,'Full Customer List'!$H:$H,'Client Retention $'!$AF61)/1000</f>
        <v>0</v>
      </c>
      <c r="M61" s="197">
        <f>-SUMIFS('Full Customer List'!$G:$G,'Full Customer List'!$J:$J,M$1,'Full Customer List'!$E:$E,$AF57,'Full Customer List'!$H:$H,'Client Retention $'!$AF61)/1000</f>
        <v>0</v>
      </c>
      <c r="N61" s="197">
        <f>-SUMIFS('Full Customer List'!$G:$G,'Full Customer List'!$J:$J,N$1,'Full Customer List'!$E:$E,$AF57,'Full Customer List'!$H:$H,'Client Retention $'!$AF61)/1000</f>
        <v>-0.3</v>
      </c>
      <c r="O61" s="197">
        <f>-SUMIFS('Full Customer List'!$G:$G,'Full Customer List'!$J:$J,O$1,'Full Customer List'!$E:$E,$AF57,'Full Customer List'!$H:$H,'Client Retention $'!$AF61)/1000</f>
        <v>-0.30333333333333329</v>
      </c>
      <c r="P61" s="197">
        <f>-SUMIFS('Full Customer List'!$G:$G,'Full Customer List'!$J:$J,P$1,'Full Customer List'!$E:$E,$AF57,'Full Customer List'!$H:$H,'Client Retention $'!$AF61)/1000</f>
        <v>-0.71</v>
      </c>
      <c r="Q61" s="197">
        <f>-SUMIFS('Full Customer List'!$G:$G,'Full Customer List'!$J:$J,Q$1,'Full Customer List'!$E:$E,$AF57,'Full Customer List'!$H:$H,'Client Retention $'!$AF61)/1000</f>
        <v>0</v>
      </c>
      <c r="R61" s="197">
        <f>-SUMIFS('Full Customer List'!$G:$G,'Full Customer List'!$J:$J,R$1,'Full Customer List'!$E:$E,$AF57,'Full Customer List'!$H:$H,'Client Retention $'!$AF61)/1000</f>
        <v>0</v>
      </c>
      <c r="S61" s="197">
        <f>-SUMIFS('Full Customer List'!$G:$G,'Full Customer List'!$J:$J,S$1,'Full Customer List'!$E:$E,$AF57,'Full Customer List'!$H:$H,'Client Retention $'!$AF61)/1000</f>
        <v>0</v>
      </c>
      <c r="T61" s="197">
        <f>-SUMIFS('Full Customer List'!$G:$G,'Full Customer List'!$J:$J,T$1,'Full Customer List'!$E:$E,$AF57,'Full Customer List'!$H:$H,'Client Retention $'!$AF61)/1000</f>
        <v>0</v>
      </c>
      <c r="U61" s="197">
        <f>-SUMIFS('Full Customer List'!$G:$G,'Full Customer List'!$J:$J,U$1,'Full Customer List'!$E:$E,$AF57,'Full Customer List'!$H:$H,'Client Retention $'!$AF61)/1000</f>
        <v>-0.60033333333333339</v>
      </c>
      <c r="V61" s="197">
        <f>-SUMIFS('Full Customer List'!$G:$G,'Full Customer List'!$J:$J,V$1,'Full Customer List'!$E:$E,$AF57,'Full Customer List'!$H:$H,'Client Retention $'!$AF61)/1000</f>
        <v>-0.35</v>
      </c>
      <c r="W61" s="197">
        <f>-SUMIFS('Full Customer List'!$G:$G,'Full Customer List'!$J:$J,W$1,'Full Customer List'!$E:$E,$AF57,'Full Customer List'!$H:$H,'Client Retention $'!$AF61)/1000</f>
        <v>-0.30499999999999999</v>
      </c>
      <c r="X61" s="197">
        <f>-SUMIFS('Full Customer List'!$G:$G,'Full Customer List'!$J:$J,X$1,'Full Customer List'!$E:$E,$AF57,'Full Customer List'!$H:$H,'Client Retention $'!$AF61)/1000</f>
        <v>-0.36549999999999999</v>
      </c>
      <c r="Y61" s="197">
        <f>-SUMIFS('Full Customer List'!$G:$G,'Full Customer List'!$J:$J,Y$1,'Full Customer List'!$E:$E,$AF57,'Full Customer List'!$H:$H,'Client Retention $'!$AF61)/1000</f>
        <v>0</v>
      </c>
      <c r="Z61" s="197">
        <f>-SUMIFS('Full Customer List'!$G:$G,'Full Customer List'!$J:$J,Z$1,'Full Customer List'!$E:$E,$AF57,'Full Customer List'!$H:$H,'Client Retention $'!$AF61)/1000</f>
        <v>-0.34</v>
      </c>
      <c r="AA61" s="197">
        <f>-SUMIFS('Full Customer List'!$G:$G,'Full Customer List'!$J:$J,AA$1,'Full Customer List'!$E:$E,$AF57,'Full Customer List'!$H:$H,'Client Retention $'!$AF61)/1000</f>
        <v>0</v>
      </c>
      <c r="AB61" s="197">
        <f>-SUMIFS('Full Customer List'!$G:$G,'Full Customer List'!$J:$J,AB$1,'Full Customer List'!$E:$E,$AF57,'Full Customer List'!$H:$H,'Client Retention $'!$AF61)/1000</f>
        <v>0</v>
      </c>
      <c r="AC61" s="197">
        <f>-SUMIFS('Full Customer List'!$G:$G,'Full Customer List'!$J:$J,AC$1,'Full Customer List'!$E:$E,$AF57,'Full Customer List'!$H:$H,'Client Retention $'!$AF61)/1000</f>
        <v>0</v>
      </c>
      <c r="AD61" s="197">
        <f>-SUMIFS('Full Customer List'!$G:$G,'Full Customer List'!$J:$J,AD$1,'Full Customer List'!$E:$E,$AF57,'Full Customer List'!$H:$H,'Client Retention $'!$AF61)/1000</f>
        <v>0</v>
      </c>
      <c r="AF61" s="175" t="s">
        <v>509</v>
      </c>
    </row>
    <row r="62" spans="2:34">
      <c r="B62" s="269" t="s">
        <v>1552</v>
      </c>
      <c r="E62" s="199">
        <f>SUM(J62:U62)*12</f>
        <v>-18.36</v>
      </c>
      <c r="F62" s="199">
        <f>SUM(V62:AD62)*12</f>
        <v>-96.24</v>
      </c>
      <c r="H62" s="199">
        <f>SUM(S62:AD62)*12</f>
        <v>-96.24</v>
      </c>
      <c r="J62" s="197">
        <f>-SUMIFS('Full Customer List'!$G:$G,'Full Customer List'!$J:$J,J$1,'Full Customer List'!$E:$E,$AF57,'Full Customer List'!$H:$H,'Client Retention $'!$AF62)/1000</f>
        <v>-0.73</v>
      </c>
      <c r="K62" s="197">
        <f>-SUMIFS('Full Customer List'!$G:$G,'Full Customer List'!$J:$J,K$1,'Full Customer List'!$E:$E,$AF57,'Full Customer List'!$H:$H,'Client Retention $'!$AF62)/1000</f>
        <v>-0.4</v>
      </c>
      <c r="L62" s="197">
        <f>-SUMIFS('Full Customer List'!$G:$G,'Full Customer List'!$J:$J,L$1,'Full Customer List'!$E:$E,$AF57,'Full Customer List'!$H:$H,'Client Retention $'!$AF62)/1000</f>
        <v>0</v>
      </c>
      <c r="M62" s="197">
        <f>-SUMIFS('Full Customer List'!$G:$G,'Full Customer List'!$J:$J,M$1,'Full Customer List'!$E:$E,$AF57,'Full Customer List'!$H:$H,'Client Retention $'!$AF62)/1000</f>
        <v>0</v>
      </c>
      <c r="N62" s="197">
        <f>-SUMIFS('Full Customer List'!$G:$G,'Full Customer List'!$J:$J,N$1,'Full Customer List'!$E:$E,$AF57,'Full Customer List'!$H:$H,'Client Retention $'!$AF62)/1000</f>
        <v>0</v>
      </c>
      <c r="O62" s="197">
        <f>-SUMIFS('Full Customer List'!$G:$G,'Full Customer List'!$J:$J,O$1,'Full Customer List'!$E:$E,$AF57,'Full Customer List'!$H:$H,'Client Retention $'!$AF62)/1000</f>
        <v>0</v>
      </c>
      <c r="P62" s="197">
        <f>-SUMIFS('Full Customer List'!$G:$G,'Full Customer List'!$J:$J,P$1,'Full Customer List'!$E:$E,$AF57,'Full Customer List'!$H:$H,'Client Retention $'!$AF62)/1000</f>
        <v>0</v>
      </c>
      <c r="Q62" s="197">
        <f>-SUMIFS('Full Customer List'!$G:$G,'Full Customer List'!$J:$J,Q$1,'Full Customer List'!$E:$E,$AF57,'Full Customer List'!$H:$H,'Client Retention $'!$AF62)/1000</f>
        <v>0</v>
      </c>
      <c r="R62" s="197">
        <f>-SUMIFS('Full Customer List'!$G:$G,'Full Customer List'!$J:$J,R$1,'Full Customer List'!$E:$E,$AF57,'Full Customer List'!$H:$H,'Client Retention $'!$AF62)/1000</f>
        <v>-0.4</v>
      </c>
      <c r="S62" s="197">
        <f>-SUMIFS('Full Customer List'!$G:$G,'Full Customer List'!$J:$J,S$1,'Full Customer List'!$E:$E,$AF57,'Full Customer List'!$H:$H,'Client Retention $'!$AF62)/1000</f>
        <v>0</v>
      </c>
      <c r="T62" s="197">
        <f>-SUMIFS('Full Customer List'!$G:$G,'Full Customer List'!$J:$J,T$1,'Full Customer List'!$E:$E,$AF57,'Full Customer List'!$H:$H,'Client Retention $'!$AF62)/1000</f>
        <v>0</v>
      </c>
      <c r="U62" s="197">
        <f>-SUMIFS('Full Customer List'!$G:$G,'Full Customer List'!$J:$J,U$1,'Full Customer List'!$E:$E,$AF57,'Full Customer List'!$H:$H,'Client Retention $'!$AF62)/1000</f>
        <v>0</v>
      </c>
      <c r="V62" s="197">
        <f>-SUMIFS('Full Customer List'!$G:$G,'Full Customer List'!$J:$J,V$1,'Full Customer List'!$E:$E,$AF57,'Full Customer List'!$H:$H,'Client Retention $'!$AF62)/1000</f>
        <v>0</v>
      </c>
      <c r="W62" s="197">
        <f>-SUMIFS('Full Customer List'!$G:$G,'Full Customer List'!$J:$J,W$1,'Full Customer List'!$E:$E,$AF57,'Full Customer List'!$H:$H,'Client Retention $'!$AF62)/1000</f>
        <v>0</v>
      </c>
      <c r="X62" s="197">
        <f>-SUMIFS('Full Customer List'!$G:$G,'Full Customer List'!$J:$J,X$1,'Full Customer List'!$E:$E,$AF57,'Full Customer List'!$H:$H,'Client Retention $'!$AF62)/1000</f>
        <v>0</v>
      </c>
      <c r="Y62" s="197">
        <f>-SUMIFS('Full Customer List'!$G:$G,'Full Customer List'!$J:$J,Y$1,'Full Customer List'!$E:$E,$AF57,'Full Customer List'!$H:$H,'Client Retention $'!$AF62)/1000</f>
        <v>0</v>
      </c>
      <c r="Z62" s="197">
        <f>-SUMIFS('Full Customer List'!$G:$G,'Full Customer List'!$J:$J,Z$1,'Full Customer List'!$E:$E,$AF57,'Full Customer List'!$H:$H,'Client Retention $'!$AF62)/1000</f>
        <v>0</v>
      </c>
      <c r="AA62" s="197">
        <f>-SUMIFS('Full Customer List'!$G:$G,'Full Customer List'!$J:$J,AA$1,'Full Customer List'!$E:$E,$AF57,'Full Customer List'!$H:$H,'Client Retention $'!$AF62)/1000</f>
        <v>0</v>
      </c>
      <c r="AB62" s="197">
        <f>-SUMIFS('Full Customer List'!$G:$G,'Full Customer List'!$J:$J,AB$1,'Full Customer List'!$E:$E,$AF57,'Full Customer List'!$H:$H,'Client Retention $'!$AF62)/1000</f>
        <v>-8.02</v>
      </c>
      <c r="AC62" s="197">
        <f>-SUMIFS('Full Customer List'!$G:$G,'Full Customer List'!$J:$J,AC$1,'Full Customer List'!$E:$E,$AF57,'Full Customer List'!$H:$H,'Client Retention $'!$AF62)/1000</f>
        <v>0</v>
      </c>
      <c r="AD62" s="197">
        <f>-SUMIFS('Full Customer List'!$G:$G,'Full Customer List'!$J:$J,AD$1,'Full Customer List'!$E:$E,$AF57,'Full Customer List'!$H:$H,'Client Retention $'!$AF62)/1000</f>
        <v>0</v>
      </c>
      <c r="AF62" s="175" t="s">
        <v>510</v>
      </c>
    </row>
    <row r="63" spans="2:34">
      <c r="B63" s="269" t="s">
        <v>1553</v>
      </c>
      <c r="E63" s="199">
        <f>SUM(J63:U63)*12</f>
        <v>0</v>
      </c>
      <c r="F63" s="199">
        <f>SUM(V63:AD63)*12</f>
        <v>-5.46</v>
      </c>
      <c r="H63" s="199">
        <f>SUM(S63:AD63)*12</f>
        <v>-5.46</v>
      </c>
      <c r="J63" s="197">
        <f>-SUMIFS('Full Customer List'!$G:$G,'Full Customer List'!$J:$J,J$1,'Full Customer List'!$E:$E,$AF57,'Full Customer List'!$H:$H,'Client Retention $'!$AF63)/1000</f>
        <v>0</v>
      </c>
      <c r="K63" s="197">
        <f>-SUMIFS('Full Customer List'!$G:$G,'Full Customer List'!$J:$J,K$1,'Full Customer List'!$E:$E,$AF57,'Full Customer List'!$H:$H,'Client Retention $'!$AF63)/1000</f>
        <v>0</v>
      </c>
      <c r="L63" s="197">
        <f>-SUMIFS('Full Customer List'!$G:$G,'Full Customer List'!$J:$J,L$1,'Full Customer List'!$E:$E,$AF57,'Full Customer List'!$H:$H,'Client Retention $'!$AF63)/1000</f>
        <v>0</v>
      </c>
      <c r="M63" s="197">
        <f>-SUMIFS('Full Customer List'!$G:$G,'Full Customer List'!$J:$J,M$1,'Full Customer List'!$E:$E,$AF57,'Full Customer List'!$H:$H,'Client Retention $'!$AF63)/1000</f>
        <v>0</v>
      </c>
      <c r="N63" s="197">
        <f>-SUMIFS('Full Customer List'!$G:$G,'Full Customer List'!$J:$J,N$1,'Full Customer List'!$E:$E,$AF57,'Full Customer List'!$H:$H,'Client Retention $'!$AF63)/1000</f>
        <v>0</v>
      </c>
      <c r="O63" s="197">
        <f>-SUMIFS('Full Customer List'!$G:$G,'Full Customer List'!$J:$J,O$1,'Full Customer List'!$E:$E,$AF57,'Full Customer List'!$H:$H,'Client Retention $'!$AF63)/1000</f>
        <v>0</v>
      </c>
      <c r="P63" s="197">
        <f>-SUMIFS('Full Customer List'!$G:$G,'Full Customer List'!$J:$J,P$1,'Full Customer List'!$E:$E,$AF57,'Full Customer List'!$H:$H,'Client Retention $'!$AF63)/1000</f>
        <v>0</v>
      </c>
      <c r="Q63" s="197">
        <f>-SUMIFS('Full Customer List'!$G:$G,'Full Customer List'!$J:$J,Q$1,'Full Customer List'!$E:$E,$AF57,'Full Customer List'!$H:$H,'Client Retention $'!$AF63)/1000</f>
        <v>0</v>
      </c>
      <c r="R63" s="197">
        <f>-SUMIFS('Full Customer List'!$G:$G,'Full Customer List'!$J:$J,R$1,'Full Customer List'!$E:$E,$AF57,'Full Customer List'!$H:$H,'Client Retention $'!$AF63)/1000</f>
        <v>0</v>
      </c>
      <c r="S63" s="197">
        <f>-SUMIFS('Full Customer List'!$G:$G,'Full Customer List'!$J:$J,S$1,'Full Customer List'!$E:$E,$AF57,'Full Customer List'!$H:$H,'Client Retention $'!$AF63)/1000</f>
        <v>0</v>
      </c>
      <c r="T63" s="197">
        <f>-SUMIFS('Full Customer List'!$G:$G,'Full Customer List'!$J:$J,T$1,'Full Customer List'!$E:$E,$AF57,'Full Customer List'!$H:$H,'Client Retention $'!$AF63)/1000</f>
        <v>0</v>
      </c>
      <c r="U63" s="197">
        <f>-SUMIFS('Full Customer List'!$G:$G,'Full Customer List'!$J:$J,U$1,'Full Customer List'!$E:$E,$AF57,'Full Customer List'!$H:$H,'Client Retention $'!$AF63)/1000</f>
        <v>0</v>
      </c>
      <c r="V63" s="197">
        <f>-SUMIFS('Full Customer List'!$G:$G,'Full Customer List'!$J:$J,V$1,'Full Customer List'!$E:$E,$AF57,'Full Customer List'!$H:$H,'Client Retention $'!$AF63)/1000</f>
        <v>0</v>
      </c>
      <c r="W63" s="197">
        <f>-SUMIFS('Full Customer List'!$G:$G,'Full Customer List'!$J:$J,W$1,'Full Customer List'!$E:$E,$AF57,'Full Customer List'!$H:$H,'Client Retention $'!$AF63)/1000</f>
        <v>0</v>
      </c>
      <c r="X63" s="197">
        <f>-SUMIFS('Full Customer List'!$G:$G,'Full Customer List'!$J:$J,X$1,'Full Customer List'!$E:$E,$AF57,'Full Customer List'!$H:$H,'Client Retention $'!$AF63)/1000</f>
        <v>0</v>
      </c>
      <c r="Y63" s="197">
        <f>-SUMIFS('Full Customer List'!$G:$G,'Full Customer List'!$J:$J,Y$1,'Full Customer List'!$E:$E,$AF57,'Full Customer List'!$H:$H,'Client Retention $'!$AF63)/1000</f>
        <v>0</v>
      </c>
      <c r="Z63" s="197">
        <f>-SUMIFS('Full Customer List'!$G:$G,'Full Customer List'!$J:$J,Z$1,'Full Customer List'!$E:$E,$AF57,'Full Customer List'!$H:$H,'Client Retention $'!$AF63)/1000</f>
        <v>0</v>
      </c>
      <c r="AA63" s="197">
        <f>-SUMIFS('Full Customer List'!$G:$G,'Full Customer List'!$J:$J,AA$1,'Full Customer List'!$E:$E,$AF57,'Full Customer List'!$H:$H,'Client Retention $'!$AF63)/1000</f>
        <v>0</v>
      </c>
      <c r="AB63" s="197">
        <f>-SUMIFS('Full Customer List'!$G:$G,'Full Customer List'!$J:$J,AB$1,'Full Customer List'!$E:$E,$AF57,'Full Customer List'!$H:$H,'Client Retention $'!$AF63)/1000</f>
        <v>-0.45500000000000002</v>
      </c>
      <c r="AC63" s="197">
        <f>-SUMIFS('Full Customer List'!$G:$G,'Full Customer List'!$J:$J,AC$1,'Full Customer List'!$E:$E,$AF57,'Full Customer List'!$H:$H,'Client Retention $'!$AF63)/1000</f>
        <v>0</v>
      </c>
      <c r="AD63" s="197">
        <f>-SUMIFS('Full Customer List'!$G:$G,'Full Customer List'!$J:$J,AD$1,'Full Customer List'!$E:$E,$AF57,'Full Customer List'!$H:$H,'Client Retention $'!$AF63)/1000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SUM(J64:U64)*12</f>
        <v>-51.823999999999998</v>
      </c>
      <c r="F64" s="260">
        <f>SUM(V64:AD64)*12</f>
        <v>-118.026</v>
      </c>
      <c r="G64" s="261"/>
      <c r="H64" s="260">
        <f>SUM(S64:AD64)*12</f>
        <v>-125.22999999999999</v>
      </c>
      <c r="I64" s="261"/>
      <c r="J64" s="262">
        <f>-SUMIFS('Full Customer List'!$G:$G,'Full Customer List'!$J:$J,J$1,'Full Customer List'!$E:$E,$AF57)/1000</f>
        <v>-1.605</v>
      </c>
      <c r="K64" s="262">
        <f>-SUMIFS('Full Customer List'!$G:$G,'Full Customer List'!$J:$J,K$1,'Full Customer List'!$E:$E,$AF57)/1000</f>
        <v>-0.4</v>
      </c>
      <c r="L64" s="262">
        <f>-SUMIFS('Full Customer List'!$G:$G,'Full Customer List'!$J:$J,L$1,'Full Customer List'!$E:$E,$AF57)/1000</f>
        <v>0</v>
      </c>
      <c r="M64" s="262">
        <f>-SUMIFS('Full Customer List'!$G:$G,'Full Customer List'!$J:$J,M$1,'Full Customer List'!$E:$E,$AF57)/1000</f>
        <v>0</v>
      </c>
      <c r="N64" s="262">
        <f>-SUMIFS('Full Customer List'!$G:$G,'Full Customer List'!$J:$J,N$1,'Full Customer List'!$E:$E,$AF57)/1000</f>
        <v>-0.3</v>
      </c>
      <c r="O64" s="262">
        <f>-SUMIFS('Full Customer List'!$G:$G,'Full Customer List'!$J:$J,O$1,'Full Customer List'!$E:$E,$AF57)/1000</f>
        <v>-0.30333333333333329</v>
      </c>
      <c r="P64" s="262">
        <f>-SUMIFS('Full Customer List'!$G:$G,'Full Customer List'!$J:$J,P$1,'Full Customer List'!$E:$E,$AF57)/1000</f>
        <v>-0.71</v>
      </c>
      <c r="Q64" s="262">
        <f>-SUMIFS('Full Customer List'!$G:$G,'Full Customer List'!$J:$J,Q$1,'Full Customer List'!$E:$E,$AF57)/1000</f>
        <v>0</v>
      </c>
      <c r="R64" s="262">
        <f>-SUMIFS('Full Customer List'!$G:$G,'Full Customer List'!$J:$J,R$1,'Full Customer List'!$E:$E,$AF57)/1000</f>
        <v>-0.4</v>
      </c>
      <c r="S64" s="262">
        <f>-SUMIFS('Full Customer List'!$G:$G,'Full Customer List'!$J:$J,S$1,'Full Customer List'!$E:$E,$AF57)/1000</f>
        <v>0</v>
      </c>
      <c r="T64" s="262">
        <f>-SUMIFS('Full Customer List'!$G:$G,'Full Customer List'!$J:$J,T$1,'Full Customer List'!$E:$E,$AF57)/1000</f>
        <v>0</v>
      </c>
      <c r="U64" s="262">
        <f>-SUMIFS('Full Customer List'!$G:$G,'Full Customer List'!$J:$J,U$1,'Full Customer List'!$E:$E,$AF57)/1000</f>
        <v>-0.60033333333333339</v>
      </c>
      <c r="V64" s="262">
        <f>-SUMIFS('Full Customer List'!$G:$G,'Full Customer List'!$J:$J,V$1,'Full Customer List'!$E:$E,$AF57)/1000</f>
        <v>-0.35</v>
      </c>
      <c r="W64" s="262">
        <f>-SUMIFS('Full Customer List'!$G:$G,'Full Customer List'!$J:$J,W$1,'Full Customer List'!$E:$E,$AF57)/1000</f>
        <v>-0.30499999999999999</v>
      </c>
      <c r="X64" s="262">
        <f>-SUMIFS('Full Customer List'!$G:$G,'Full Customer List'!$J:$J,X$1,'Full Customer List'!$E:$E,$AF57)/1000</f>
        <v>-0.36549999999999999</v>
      </c>
      <c r="Y64" s="262">
        <f>-SUMIFS('Full Customer List'!$G:$G,'Full Customer List'!$J:$J,Y$1,'Full Customer List'!$E:$E,$AF57)/1000</f>
        <v>0</v>
      </c>
      <c r="Z64" s="262">
        <f>-SUMIFS('Full Customer List'!$G:$G,'Full Customer List'!$J:$J,Z$1,'Full Customer List'!$E:$E,$AF57)/1000</f>
        <v>-0.34</v>
      </c>
      <c r="AA64" s="262">
        <f>-SUMIFS('Full Customer List'!$G:$G,'Full Customer List'!$J:$J,AA$1,'Full Customer List'!$E:$E,$AF57)/1000</f>
        <v>0</v>
      </c>
      <c r="AB64" s="262">
        <f>-SUMIFS('Full Customer List'!$G:$G,'Full Customer List'!$J:$J,AB$1,'Full Customer List'!$E:$E,$AF57)/1000</f>
        <v>-8.4749999999999996</v>
      </c>
      <c r="AC64" s="262">
        <f>-SUMIFS('Full Customer List'!$G:$G,'Full Customer List'!$J:$J,AC$1,'Full Customer List'!$E:$E,$AF57)/1000</f>
        <v>0</v>
      </c>
      <c r="AD64" s="262">
        <f>-SUMIFS('Full Customer List'!$G:$G,'Full Customer List'!$J:$J,AD$1,'Full Customer List'!$E:$E,$AF57)/1000</f>
        <v>0</v>
      </c>
    </row>
    <row r="65" spans="2:34" ht="12" customHeight="1">
      <c r="B65" s="263" t="s">
        <v>1574</v>
      </c>
      <c r="C65" s="264"/>
      <c r="D65" s="264"/>
      <c r="E65" s="264">
        <f>+F59</f>
        <v>134.226</v>
      </c>
      <c r="F65" s="265">
        <f>+$AD65*12</f>
        <v>16.200000000000003</v>
      </c>
      <c r="H65" s="268">
        <f>+$AD65*12</f>
        <v>16.200000000000003</v>
      </c>
      <c r="J65" s="266">
        <f t="shared" ref="J65:AC65" si="33">+K59</f>
        <v>13.159166666666668</v>
      </c>
      <c r="K65" s="264">
        <f t="shared" si="33"/>
        <v>12.759166666666667</v>
      </c>
      <c r="L65" s="264">
        <f t="shared" si="33"/>
        <v>12.759166666666667</v>
      </c>
      <c r="M65" s="264">
        <f t="shared" si="33"/>
        <v>12.759166666666667</v>
      </c>
      <c r="N65" s="264">
        <f t="shared" si="33"/>
        <v>12.459166666666667</v>
      </c>
      <c r="O65" s="264">
        <f t="shared" si="33"/>
        <v>12.495833333333334</v>
      </c>
      <c r="P65" s="264">
        <f t="shared" si="33"/>
        <v>11.785833333333333</v>
      </c>
      <c r="Q65" s="264">
        <f t="shared" si="33"/>
        <v>12.185833333333333</v>
      </c>
      <c r="R65" s="264">
        <f t="shared" si="33"/>
        <v>11.785833333333333</v>
      </c>
      <c r="S65" s="266">
        <f t="shared" si="33"/>
        <v>11.785833333333333</v>
      </c>
      <c r="T65" s="264">
        <f t="shared" si="33"/>
        <v>11.785833333333333</v>
      </c>
      <c r="U65" s="264">
        <f t="shared" si="33"/>
        <v>11.185499999999999</v>
      </c>
      <c r="V65" s="264">
        <f t="shared" si="33"/>
        <v>10.8355</v>
      </c>
      <c r="W65" s="264">
        <f t="shared" si="33"/>
        <v>10.5305</v>
      </c>
      <c r="X65" s="264">
        <f t="shared" si="33"/>
        <v>10.164999999999999</v>
      </c>
      <c r="Y65" s="264">
        <f t="shared" si="33"/>
        <v>10.164999999999999</v>
      </c>
      <c r="Z65" s="264">
        <f t="shared" si="33"/>
        <v>9.8249999999999993</v>
      </c>
      <c r="AA65" s="264">
        <f t="shared" si="33"/>
        <v>9.8249999999999993</v>
      </c>
      <c r="AB65" s="264">
        <f t="shared" si="33"/>
        <v>1.35</v>
      </c>
      <c r="AC65" s="264">
        <f t="shared" si="33"/>
        <v>1.35</v>
      </c>
      <c r="AD65" s="265">
        <f>SUMIFS('Full Customer List'!$G:$G,'Full Customer List'!$C:$C,"Active",'Full Customer List'!$E:$E,'Client Retention $'!$AF57)/1000</f>
        <v>1.35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1571</v>
      </c>
      <c r="C67" s="239"/>
      <c r="D67" s="239"/>
      <c r="E67" s="240">
        <f>(E60+E59)/E59-1</f>
        <v>5.012135237342652E-2</v>
      </c>
      <c r="F67" s="251">
        <f>(F60+F59)/F59-1</f>
        <v>0</v>
      </c>
      <c r="G67" s="252"/>
      <c r="H67" s="253">
        <f>(H60+H59)/H59-1</f>
        <v>0</v>
      </c>
      <c r="J67" s="250">
        <f t="shared" ref="J67:AD67" si="34">(J60+J59)/J59-1</f>
        <v>0</v>
      </c>
      <c r="K67" s="240">
        <f t="shared" si="34"/>
        <v>0</v>
      </c>
      <c r="L67" s="240">
        <f t="shared" si="34"/>
        <v>0</v>
      </c>
      <c r="M67" s="240">
        <f t="shared" si="34"/>
        <v>0</v>
      </c>
      <c r="N67" s="240">
        <f t="shared" si="34"/>
        <v>0</v>
      </c>
      <c r="O67" s="240">
        <f t="shared" si="34"/>
        <v>2.7289144538826804E-2</v>
      </c>
      <c r="P67" s="240">
        <f t="shared" si="34"/>
        <v>0</v>
      </c>
      <c r="Q67" s="240">
        <f t="shared" si="34"/>
        <v>3.393905112069584E-2</v>
      </c>
      <c r="R67" s="240">
        <f t="shared" si="34"/>
        <v>0</v>
      </c>
      <c r="S67" s="250">
        <f t="shared" si="34"/>
        <v>0</v>
      </c>
      <c r="T67" s="240">
        <f t="shared" si="34"/>
        <v>0</v>
      </c>
      <c r="U67" s="240">
        <f t="shared" si="34"/>
        <v>0</v>
      </c>
      <c r="V67" s="240">
        <f t="shared" si="34"/>
        <v>0</v>
      </c>
      <c r="W67" s="240">
        <f t="shared" si="34"/>
        <v>0</v>
      </c>
      <c r="X67" s="240">
        <f t="shared" si="34"/>
        <v>0</v>
      </c>
      <c r="Y67" s="240">
        <f t="shared" si="34"/>
        <v>0</v>
      </c>
      <c r="Z67" s="240">
        <f t="shared" si="34"/>
        <v>0</v>
      </c>
      <c r="AA67" s="240">
        <f t="shared" si="34"/>
        <v>0</v>
      </c>
      <c r="AB67" s="240">
        <f t="shared" si="34"/>
        <v>0</v>
      </c>
      <c r="AC67" s="240">
        <f t="shared" si="34"/>
        <v>0</v>
      </c>
      <c r="AD67" s="251">
        <f t="shared" si="34"/>
        <v>0</v>
      </c>
      <c r="AF67" s="222"/>
    </row>
    <row r="68" spans="2:34" ht="12" customHeight="1">
      <c r="B68" s="241" t="s">
        <v>1572</v>
      </c>
      <c r="C68" s="242"/>
      <c r="D68" s="242"/>
      <c r="E68" s="243">
        <f>(E64+E59)/E59-1</f>
        <v>-0.2925100186261782</v>
      </c>
      <c r="F68" s="244">
        <f>(F64+F59)/F59-1</f>
        <v>-0.87930803272093327</v>
      </c>
      <c r="G68" s="252"/>
      <c r="H68" s="246">
        <f>(H64+H59)/H59-1</f>
        <v>-0.88545570246765171</v>
      </c>
      <c r="J68" s="245">
        <f t="shared" ref="J68:AD68" si="35">(J64+J59)/J59-1</f>
        <v>-0.10870914940452669</v>
      </c>
      <c r="K68" s="243">
        <f t="shared" si="35"/>
        <v>-3.0397061617376986E-2</v>
      </c>
      <c r="L68" s="243">
        <f t="shared" si="35"/>
        <v>0</v>
      </c>
      <c r="M68" s="243">
        <f t="shared" si="35"/>
        <v>0</v>
      </c>
      <c r="N68" s="243">
        <f t="shared" si="35"/>
        <v>-2.351250734765864E-2</v>
      </c>
      <c r="O68" s="243">
        <f t="shared" si="35"/>
        <v>-2.4346197578757223E-2</v>
      </c>
      <c r="P68" s="243">
        <f t="shared" si="35"/>
        <v>-5.6818939646548938E-2</v>
      </c>
      <c r="Q68" s="243">
        <f t="shared" si="35"/>
        <v>0</v>
      </c>
      <c r="R68" s="243">
        <f t="shared" si="35"/>
        <v>-3.2825001709635537E-2</v>
      </c>
      <c r="S68" s="245">
        <f t="shared" si="35"/>
        <v>0</v>
      </c>
      <c r="T68" s="243">
        <f t="shared" si="35"/>
        <v>0</v>
      </c>
      <c r="U68" s="243">
        <f t="shared" si="35"/>
        <v>-5.0936859223644215E-2</v>
      </c>
      <c r="V68" s="243">
        <f t="shared" si="35"/>
        <v>-3.1290510035313579E-2</v>
      </c>
      <c r="W68" s="243">
        <f t="shared" si="35"/>
        <v>-2.8148216510544E-2</v>
      </c>
      <c r="X68" s="243">
        <f t="shared" si="35"/>
        <v>-3.4708703290442178E-2</v>
      </c>
      <c r="Y68" s="243">
        <f t="shared" si="35"/>
        <v>0</v>
      </c>
      <c r="Z68" s="243">
        <f t="shared" si="35"/>
        <v>-3.3448106246925735E-2</v>
      </c>
      <c r="AA68" s="243">
        <f t="shared" si="35"/>
        <v>0</v>
      </c>
      <c r="AB68" s="243">
        <f t="shared" si="35"/>
        <v>-0.86259541984732824</v>
      </c>
      <c r="AC68" s="243">
        <f t="shared" si="35"/>
        <v>0</v>
      </c>
      <c r="AD68" s="244">
        <f t="shared" si="35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:P70" si="36">EOMONTH(J70,0)+1</f>
        <v>45689</v>
      </c>
      <c r="L70" s="194">
        <f t="shared" si="36"/>
        <v>45717</v>
      </c>
      <c r="M70" s="194">
        <f t="shared" si="36"/>
        <v>45748</v>
      </c>
      <c r="N70" s="194">
        <f t="shared" si="36"/>
        <v>45778</v>
      </c>
      <c r="O70" s="194">
        <f t="shared" si="36"/>
        <v>45809</v>
      </c>
      <c r="P70" s="194">
        <f t="shared" si="36"/>
        <v>45839</v>
      </c>
      <c r="Q70" s="194">
        <v>45870</v>
      </c>
      <c r="R70" s="194">
        <f t="shared" ref="R70:AD70" si="37">EOMONTH(Q70,0)+1</f>
        <v>45901</v>
      </c>
      <c r="S70" s="194">
        <f t="shared" si="37"/>
        <v>45931</v>
      </c>
      <c r="T70" s="194">
        <f t="shared" si="37"/>
        <v>45962</v>
      </c>
      <c r="U70" s="194">
        <f t="shared" si="37"/>
        <v>45992</v>
      </c>
      <c r="V70" s="194">
        <f t="shared" si="37"/>
        <v>46023</v>
      </c>
      <c r="W70" s="194">
        <f t="shared" si="37"/>
        <v>46054</v>
      </c>
      <c r="X70" s="194">
        <f t="shared" si="37"/>
        <v>46082</v>
      </c>
      <c r="Y70" s="194">
        <f t="shared" si="37"/>
        <v>46113</v>
      </c>
      <c r="Z70" s="194">
        <f t="shared" si="37"/>
        <v>46143</v>
      </c>
      <c r="AA70" s="194">
        <f t="shared" si="37"/>
        <v>46174</v>
      </c>
      <c r="AB70" s="194">
        <f t="shared" si="37"/>
        <v>46204</v>
      </c>
      <c r="AC70" s="194">
        <f t="shared" si="37"/>
        <v>46235</v>
      </c>
      <c r="AD70" s="194">
        <f t="shared" si="37"/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1575</v>
      </c>
      <c r="C72" s="184"/>
      <c r="D72" s="184"/>
      <c r="E72" s="184">
        <f>+E78-E73-E77</f>
        <v>185.42585999999997</v>
      </c>
      <c r="F72" s="184">
        <f>+F78-F73-F77</f>
        <v>8.2199999999999989</v>
      </c>
      <c r="H72" s="184">
        <f>+H78-H73-H77</f>
        <v>141.63135999999997</v>
      </c>
      <c r="J72" s="184">
        <f t="shared" ref="J72:AD72" si="38">+J78-J73-J77</f>
        <v>15.452155000000005</v>
      </c>
      <c r="K72" s="184">
        <f t="shared" si="38"/>
        <v>13.926530000000005</v>
      </c>
      <c r="L72" s="184">
        <f t="shared" si="38"/>
        <v>13.843196666666671</v>
      </c>
      <c r="M72" s="184">
        <f t="shared" si="38"/>
        <v>14.087946666666671</v>
      </c>
      <c r="N72" s="184">
        <f t="shared" si="38"/>
        <v>12.182113333333337</v>
      </c>
      <c r="O72" s="184">
        <f t="shared" si="38"/>
        <v>12.678780000000003</v>
      </c>
      <c r="P72" s="184">
        <f t="shared" si="38"/>
        <v>11.430946666666669</v>
      </c>
      <c r="Q72" s="184">
        <f t="shared" si="38"/>
        <v>11.540946666666668</v>
      </c>
      <c r="R72" s="184">
        <f t="shared" si="38"/>
        <v>11.452613333333336</v>
      </c>
      <c r="S72" s="184">
        <f t="shared" si="38"/>
        <v>11.802613333333335</v>
      </c>
      <c r="T72" s="184">
        <f t="shared" si="38"/>
        <v>11.535113333333335</v>
      </c>
      <c r="U72" s="184">
        <f t="shared" si="38"/>
        <v>5.4959466666666668</v>
      </c>
      <c r="V72" s="184">
        <f t="shared" si="38"/>
        <v>0.68499999999999994</v>
      </c>
      <c r="W72" s="184">
        <f t="shared" si="38"/>
        <v>0.19999999999999996</v>
      </c>
      <c r="X72" s="184">
        <f t="shared" si="38"/>
        <v>0.19999999999999996</v>
      </c>
      <c r="Y72" s="184">
        <f t="shared" si="38"/>
        <v>0.19999999999999996</v>
      </c>
      <c r="Z72" s="184">
        <f t="shared" si="38"/>
        <v>1.7</v>
      </c>
      <c r="AA72" s="184">
        <f t="shared" si="38"/>
        <v>1.5</v>
      </c>
      <c r="AB72" s="184">
        <f t="shared" si="38"/>
        <v>1.5</v>
      </c>
      <c r="AC72" s="184">
        <f t="shared" si="38"/>
        <v>0</v>
      </c>
      <c r="AD72" s="184">
        <f t="shared" si="38"/>
        <v>0</v>
      </c>
    </row>
    <row r="73" spans="2:34">
      <c r="B73" s="193" t="s">
        <v>1322</v>
      </c>
      <c r="E73" s="199">
        <f>SUM(J73:U73)*12</f>
        <v>106.34800000000001</v>
      </c>
      <c r="F73" s="199">
        <f>SUM(V73:AD73)*12</f>
        <v>18</v>
      </c>
      <c r="H73" s="199">
        <f>SUM(S73:AD73)*12</f>
        <v>29.549999999999997</v>
      </c>
      <c r="J73" s="197">
        <f>SUMIFS('Full Customer List'!$G:$G,'Full Customer List'!$I:$I,'Client Retention $'!J$5,'Full Customer List'!$E:$E,$AF70)/1000</f>
        <v>0</v>
      </c>
      <c r="K73" s="197">
        <f>SUMIFS('Full Customer List'!$G:$G,'Full Customer List'!$I:$I,'Client Retention $'!K$5,'Full Customer List'!$E:$E,$AF70)/1000</f>
        <v>0.82666666666666677</v>
      </c>
      <c r="L73" s="197">
        <f>SUMIFS('Full Customer List'!$G:$G,'Full Customer List'!$I:$I,'Client Retention $'!L$5,'Full Customer List'!$E:$E,$AF70)/1000</f>
        <v>1.0149999999999999</v>
      </c>
      <c r="M73" s="197">
        <f>SUMIFS('Full Customer List'!$G:$G,'Full Customer List'!$I:$I,'Client Retention $'!M$5,'Full Customer List'!$E:$E,$AF70)/1000</f>
        <v>0.42749999999999999</v>
      </c>
      <c r="N73" s="197">
        <f>SUMIFS('Full Customer List'!$G:$G,'Full Customer List'!$I:$I,'Client Retention $'!N$5,'Full Customer List'!$E:$E,$AF70)/1000</f>
        <v>0.96666666666666679</v>
      </c>
      <c r="O73" s="197">
        <f>SUMIFS('Full Customer List'!$G:$G,'Full Customer List'!$I:$I,'Client Retention $'!O$5,'Full Customer List'!$E:$E,$AF70)/1000</f>
        <v>1.5740000000000001</v>
      </c>
      <c r="P73" s="197">
        <f>SUMIFS('Full Customer List'!$G:$G,'Full Customer List'!$I:$I,'Client Retention $'!P$5,'Full Customer List'!$E:$E,$AF70)/1000</f>
        <v>0.11</v>
      </c>
      <c r="Q73" s="197">
        <f>SUMIFS('Full Customer List'!$G:$G,'Full Customer List'!$I:$I,'Client Retention $'!Q$5,'Full Customer List'!$E:$E,$AF70)/1000</f>
        <v>0.49</v>
      </c>
      <c r="R73" s="197">
        <f>SUMIFS('Full Customer List'!$G:$G,'Full Customer List'!$I:$I,'Client Retention $'!R$5,'Full Customer List'!$E:$E,$AF70)/1000</f>
        <v>2.4900000000000002</v>
      </c>
      <c r="S73" s="197">
        <f>SUMIFS('Full Customer List'!$G:$G,'Full Customer List'!$I:$I,'Client Retention $'!S$5,'Full Customer List'!$E:$E,$AF70)/1000</f>
        <v>0.36249999999999999</v>
      </c>
      <c r="T73" s="197">
        <f>SUMIFS('Full Customer List'!$G:$G,'Full Customer List'!$I:$I,'Client Retention $'!T$5,'Full Customer List'!$E:$E,$AF70)/1000</f>
        <v>0.4</v>
      </c>
      <c r="U73" s="197">
        <f>SUMIFS('Full Customer List'!$G:$G,'Full Customer List'!$I:$I,'Client Retention $'!U$5,'Full Customer List'!$E:$E,$AF70)/1000</f>
        <v>0.2</v>
      </c>
      <c r="V73" s="197">
        <f>SUMIFS('Full Customer List'!$G:$G,'Full Customer List'!$I:$I,'Client Retention $'!V$5,'Full Customer List'!$E:$E,$AF70)/1000</f>
        <v>0</v>
      </c>
      <c r="W73" s="197">
        <f>SUMIFS('Full Customer List'!$G:$G,'Full Customer List'!$I:$I,'Client Retention $'!W$5,'Full Customer List'!$E:$E,$AF70)/1000</f>
        <v>0</v>
      </c>
      <c r="X73" s="197">
        <f>SUMIFS('Full Customer List'!$G:$G,'Full Customer List'!$I:$I,'Client Retention $'!X$5,'Full Customer List'!$E:$E,$AF70)/1000</f>
        <v>0</v>
      </c>
      <c r="Y73" s="197">
        <f>SUMIFS('Full Customer List'!$G:$G,'Full Customer List'!$I:$I,'Client Retention $'!Y$5,'Full Customer List'!$E:$E,$AF70)/1000</f>
        <v>1.5</v>
      </c>
      <c r="Z73" s="197">
        <f>SUMIFS('Full Customer List'!$G:$G,'Full Customer List'!$I:$I,'Client Retention $'!Z$5,'Full Customer List'!$E:$E,$AF70)/1000</f>
        <v>0</v>
      </c>
      <c r="AA73" s="197">
        <f>SUMIFS('Full Customer List'!$G:$G,'Full Customer List'!$I:$I,'Client Retention $'!AA$5,'Full Customer List'!$E:$E,$AF70)/1000</f>
        <v>0</v>
      </c>
      <c r="AB73" s="197">
        <f>SUMIFS('Full Customer List'!$G:$G,'Full Customer List'!$I:$I,'Client Retention $'!AB$5,'Full Customer List'!$E:$E,$AF70)/1000</f>
        <v>0</v>
      </c>
      <c r="AC73" s="197">
        <f>SUMIFS('Full Customer List'!$G:$G,'Full Customer List'!$I:$I,'Client Retention $'!AC$5,'Full Customer List'!$E:$E,$AF70)/1000</f>
        <v>0</v>
      </c>
      <c r="AD73" s="197">
        <f>SUMIFS('Full Customer List'!$G:$G,'Full Customer List'!$I:$I,'Client Retention $'!AD$5,'Full Customer List'!$E:$E,$AF70)/1000</f>
        <v>0</v>
      </c>
    </row>
    <row r="74" spans="2:34">
      <c r="B74" s="269" t="s">
        <v>1551</v>
      </c>
      <c r="E74" s="199">
        <f>SUM(J74:U74)*12</f>
        <v>-174.39336000000003</v>
      </c>
      <c r="F74" s="199">
        <f>SUM(V74:AD74)*12</f>
        <v>-3.7199999999999998</v>
      </c>
      <c r="H74" s="199">
        <f>SUM(S74:AD74)*12</f>
        <v>-83.651360000000011</v>
      </c>
      <c r="J74" s="197">
        <f>-SUMIFS('Full Customer List'!$G:$G,'Full Customer List'!$J:$J,J$1,'Full Customer List'!$E:$E,$AF70,'Full Customer List'!$H:$H,'Client Retention $'!$AF74)/1000</f>
        <v>0</v>
      </c>
      <c r="K74" s="197">
        <f>-SUMIFS('Full Customer List'!$G:$G,'Full Customer List'!$J:$J,K$1,'Full Customer List'!$E:$E,$AF70,'Full Customer List'!$H:$H,'Client Retention $'!$AF74)/1000</f>
        <v>-0.82499999999999996</v>
      </c>
      <c r="L74" s="197">
        <f>-SUMIFS('Full Customer List'!$G:$G,'Full Customer List'!$J:$J,L$1,'Full Customer List'!$E:$E,$AF70,'Full Customer List'!$H:$H,'Client Retention $'!$AF74)/1000</f>
        <v>-0.39500000000000002</v>
      </c>
      <c r="M74" s="197">
        <f>-SUMIFS('Full Customer List'!$G:$G,'Full Customer List'!$J:$J,M$1,'Full Customer List'!$E:$E,$AF70,'Full Customer List'!$H:$H,'Client Retention $'!$AF74)/1000</f>
        <v>-1.9383333333333332</v>
      </c>
      <c r="N74" s="197">
        <f>-SUMIFS('Full Customer List'!$G:$G,'Full Customer List'!$J:$J,N$1,'Full Customer List'!$E:$E,$AF70,'Full Customer List'!$H:$H,'Client Retention $'!$AF74)/1000</f>
        <v>0</v>
      </c>
      <c r="O74" s="197">
        <f>-SUMIFS('Full Customer List'!$G:$G,'Full Customer List'!$J:$J,O$1,'Full Customer List'!$E:$E,$AF70,'Full Customer List'!$H:$H,'Client Retention $'!$AF74)/1000</f>
        <v>-2.4851666666666663</v>
      </c>
      <c r="P74" s="197">
        <f>-SUMIFS('Full Customer List'!$G:$G,'Full Customer List'!$J:$J,P$1,'Full Customer List'!$E:$E,$AF70,'Full Customer List'!$H:$H,'Client Retention $'!$AF74)/1000</f>
        <v>0</v>
      </c>
      <c r="Q74" s="197">
        <f>-SUMIFS('Full Customer List'!$G:$G,'Full Customer List'!$J:$J,Q$1,'Full Customer List'!$E:$E,$AF70,'Full Customer List'!$H:$H,'Client Retention $'!$AF74)/1000</f>
        <v>-0.57833333333333337</v>
      </c>
      <c r="R74" s="197">
        <f>-SUMIFS('Full Customer List'!$G:$G,'Full Customer List'!$J:$J,R$1,'Full Customer List'!$E:$E,$AF70,'Full Customer List'!$H:$H,'Client Retention $'!$AF74)/1000</f>
        <v>-1.65</v>
      </c>
      <c r="S74" s="197">
        <f>-SUMIFS('Full Customer List'!$G:$G,'Full Customer List'!$J:$J,S$1,'Full Customer List'!$E:$E,$AF70,'Full Customer List'!$H:$H,'Client Retention $'!$AF74)/1000</f>
        <v>-0.63</v>
      </c>
      <c r="T74" s="197">
        <f>-SUMIFS('Full Customer List'!$G:$G,'Full Customer List'!$J:$J,T$1,'Full Customer List'!$E:$E,$AF70,'Full Customer List'!$H:$H,'Client Retention $'!$AF74)/1000</f>
        <v>-2.1783333333333337</v>
      </c>
      <c r="U74" s="197">
        <f>-SUMIFS('Full Customer List'!$G:$G,'Full Customer List'!$J:$J,U$1,'Full Customer List'!$E:$E,$AF70,'Full Customer List'!$H:$H,'Client Retention $'!$AF74)/1000</f>
        <v>-3.8526133333333332</v>
      </c>
      <c r="V74" s="197">
        <f>-SUMIFS('Full Customer List'!$G:$G,'Full Customer List'!$J:$J,V$1,'Full Customer List'!$E:$E,$AF70,'Full Customer List'!$H:$H,'Client Retention $'!$AF74)/1000</f>
        <v>-0.11</v>
      </c>
      <c r="W74" s="197">
        <f>-SUMIFS('Full Customer List'!$G:$G,'Full Customer List'!$J:$J,W$1,'Full Customer List'!$E:$E,$AF70,'Full Customer List'!$H:$H,'Client Retention $'!$AF74)/1000</f>
        <v>0</v>
      </c>
      <c r="X74" s="197">
        <f>-SUMIFS('Full Customer List'!$G:$G,'Full Customer List'!$J:$J,X$1,'Full Customer List'!$E:$E,$AF70,'Full Customer List'!$H:$H,'Client Retention $'!$AF74)/1000</f>
        <v>0</v>
      </c>
      <c r="Y74" s="197">
        <f>-SUMIFS('Full Customer List'!$G:$G,'Full Customer List'!$J:$J,Y$1,'Full Customer List'!$E:$E,$AF70,'Full Customer List'!$H:$H,'Client Retention $'!$AF74)/1000</f>
        <v>0</v>
      </c>
      <c r="Z74" s="197">
        <f>-SUMIFS('Full Customer List'!$G:$G,'Full Customer List'!$J:$J,Z$1,'Full Customer List'!$E:$E,$AF70,'Full Customer List'!$H:$H,'Client Retention $'!$AF74)/1000</f>
        <v>-0.2</v>
      </c>
      <c r="AA74" s="197">
        <f>-SUMIFS('Full Customer List'!$G:$G,'Full Customer List'!$J:$J,AA$1,'Full Customer List'!$E:$E,$AF70,'Full Customer List'!$H:$H,'Client Retention $'!$AF74)/1000</f>
        <v>0</v>
      </c>
      <c r="AB74" s="197">
        <f>-SUMIFS('Full Customer List'!$G:$G,'Full Customer List'!$J:$J,AB$1,'Full Customer List'!$E:$E,$AF70,'Full Customer List'!$H:$H,'Client Retention $'!$AF74)/1000</f>
        <v>0</v>
      </c>
      <c r="AC74" s="197">
        <f>-SUMIFS('Full Customer List'!$G:$G,'Full Customer List'!$J:$J,AC$1,'Full Customer List'!$E:$E,$AF70,'Full Customer List'!$H:$H,'Client Retention $'!$AF74)/1000</f>
        <v>0</v>
      </c>
      <c r="AD74" s="197">
        <f>-SUMIFS('Full Customer List'!$G:$G,'Full Customer List'!$J:$J,AD$1,'Full Customer List'!$E:$E,$AF70,'Full Customer List'!$H:$H,'Client Retention $'!$AF74)/1000</f>
        <v>0</v>
      </c>
      <c r="AF74" s="175" t="s">
        <v>509</v>
      </c>
    </row>
    <row r="75" spans="2:34">
      <c r="B75" s="269" t="s">
        <v>1552</v>
      </c>
      <c r="E75" s="199">
        <f>SUM(J75:U75)*12</f>
        <v>-109.16050000000003</v>
      </c>
      <c r="F75" s="199">
        <f>SUM(V75:AD75)*12</f>
        <v>-22.5</v>
      </c>
      <c r="H75" s="199">
        <f>SUM(S75:AD75)*12</f>
        <v>-87.53</v>
      </c>
      <c r="J75" s="197">
        <f>-SUMIFS('Full Customer List'!$G:$G,'Full Customer List'!$J:$J,J$1,'Full Customer List'!$E:$E,$AF70,'Full Customer List'!$H:$H,'Client Retention $'!$AF75)/1000</f>
        <v>-1.525625</v>
      </c>
      <c r="K75" s="197">
        <f>-SUMIFS('Full Customer List'!$G:$G,'Full Customer List'!$J:$J,K$1,'Full Customer List'!$E:$E,$AF70,'Full Customer List'!$H:$H,'Client Retention $'!$AF75)/1000</f>
        <v>-8.5000000000000006E-2</v>
      </c>
      <c r="L75" s="197">
        <f>-SUMIFS('Full Customer List'!$G:$G,'Full Customer List'!$J:$J,L$1,'Full Customer List'!$E:$E,$AF70,'Full Customer List'!$H:$H,'Client Retention $'!$AF75)/1000</f>
        <v>-0.37524999999999997</v>
      </c>
      <c r="M75" s="197">
        <f>-SUMIFS('Full Customer List'!$G:$G,'Full Customer List'!$J:$J,M$1,'Full Customer List'!$E:$E,$AF70,'Full Customer List'!$H:$H,'Client Retention $'!$AF75)/1000</f>
        <v>-0.39500000000000002</v>
      </c>
      <c r="N75" s="197">
        <f>-SUMIFS('Full Customer List'!$G:$G,'Full Customer List'!$J:$J,N$1,'Full Customer List'!$E:$E,$AF70,'Full Customer List'!$H:$H,'Client Retention $'!$AF75)/1000</f>
        <v>-0.47</v>
      </c>
      <c r="O75" s="197">
        <f>-SUMIFS('Full Customer List'!$G:$G,'Full Customer List'!$J:$J,O$1,'Full Customer List'!$E:$E,$AF70,'Full Customer List'!$H:$H,'Client Retention $'!$AF75)/1000</f>
        <v>-0.33666666666666667</v>
      </c>
      <c r="P75" s="197">
        <f>-SUMIFS('Full Customer List'!$G:$G,'Full Customer List'!$J:$J,P$1,'Full Customer List'!$E:$E,$AF70,'Full Customer List'!$H:$H,'Client Retention $'!$AF75)/1000</f>
        <v>0</v>
      </c>
      <c r="Q75" s="197">
        <f>-SUMIFS('Full Customer List'!$G:$G,'Full Customer List'!$J:$J,Q$1,'Full Customer List'!$E:$E,$AF70,'Full Customer List'!$H:$H,'Client Retention $'!$AF75)/1000</f>
        <v>0</v>
      </c>
      <c r="R75" s="197">
        <f>-SUMIFS('Full Customer List'!$G:$G,'Full Customer List'!$J:$J,R$1,'Full Customer List'!$E:$E,$AF70,'Full Customer List'!$H:$H,'Client Retention $'!$AF75)/1000</f>
        <v>-0.49</v>
      </c>
      <c r="S75" s="197">
        <f>-SUMIFS('Full Customer List'!$G:$G,'Full Customer List'!$J:$J,S$1,'Full Customer List'!$E:$E,$AF70,'Full Customer List'!$H:$H,'Client Retention $'!$AF75)/1000</f>
        <v>0</v>
      </c>
      <c r="T75" s="197">
        <f>-SUMIFS('Full Customer List'!$G:$G,'Full Customer List'!$J:$J,T$1,'Full Customer List'!$E:$E,$AF70,'Full Customer List'!$H:$H,'Client Retention $'!$AF75)/1000</f>
        <v>-4.2608333333333341</v>
      </c>
      <c r="U75" s="197">
        <f>-SUMIFS('Full Customer List'!$G:$G,'Full Customer List'!$J:$J,U$1,'Full Customer List'!$E:$E,$AF70,'Full Customer List'!$H:$H,'Client Retention $'!$AF75)/1000</f>
        <v>-1.1583333333333334</v>
      </c>
      <c r="V75" s="197">
        <f>-SUMIFS('Full Customer List'!$G:$G,'Full Customer List'!$J:$J,V$1,'Full Customer List'!$E:$E,$AF70,'Full Customer List'!$H:$H,'Client Retention $'!$AF75)/1000</f>
        <v>-0.375</v>
      </c>
      <c r="W75" s="197">
        <f>-SUMIFS('Full Customer List'!$G:$G,'Full Customer List'!$J:$J,W$1,'Full Customer List'!$E:$E,$AF70,'Full Customer List'!$H:$H,'Client Retention $'!$AF75)/1000</f>
        <v>0</v>
      </c>
      <c r="X75" s="197">
        <f>-SUMIFS('Full Customer List'!$G:$G,'Full Customer List'!$J:$J,X$1,'Full Customer List'!$E:$E,$AF70,'Full Customer List'!$H:$H,'Client Retention $'!$AF75)/1000</f>
        <v>0</v>
      </c>
      <c r="Y75" s="197">
        <f>-SUMIFS('Full Customer List'!$G:$G,'Full Customer List'!$J:$J,Y$1,'Full Customer List'!$E:$E,$AF70,'Full Customer List'!$H:$H,'Client Retention $'!$AF75)/1000</f>
        <v>0</v>
      </c>
      <c r="Z75" s="197">
        <f>-SUMIFS('Full Customer List'!$G:$G,'Full Customer List'!$J:$J,Z$1,'Full Customer List'!$E:$E,$AF70,'Full Customer List'!$H:$H,'Client Retention $'!$AF75)/1000</f>
        <v>0</v>
      </c>
      <c r="AA75" s="197">
        <f>-SUMIFS('Full Customer List'!$G:$G,'Full Customer List'!$J:$J,AA$1,'Full Customer List'!$E:$E,$AF70,'Full Customer List'!$H:$H,'Client Retention $'!$AF75)/1000</f>
        <v>0</v>
      </c>
      <c r="AB75" s="197">
        <f>-SUMIFS('Full Customer List'!$G:$G,'Full Customer List'!$J:$J,AB$1,'Full Customer List'!$E:$E,$AF70,'Full Customer List'!$H:$H,'Client Retention $'!$AF75)/1000</f>
        <v>-1.5</v>
      </c>
      <c r="AC75" s="197">
        <f>-SUMIFS('Full Customer List'!$G:$G,'Full Customer List'!$J:$J,AC$1,'Full Customer List'!$E:$E,$AF70,'Full Customer List'!$H:$H,'Client Retention $'!$AF75)/1000</f>
        <v>0</v>
      </c>
      <c r="AD75" s="197">
        <f>-SUMIFS('Full Customer List'!$G:$G,'Full Customer List'!$J:$J,AD$1,'Full Customer List'!$E:$E,$AF70,'Full Customer List'!$H:$H,'Client Retention $'!$AF75)/1000</f>
        <v>0</v>
      </c>
      <c r="AF75" s="175" t="s">
        <v>510</v>
      </c>
    </row>
    <row r="76" spans="2:34">
      <c r="B76" s="269" t="s">
        <v>1553</v>
      </c>
      <c r="E76" s="199">
        <f>SUM(J76:U76)*12</f>
        <v>0</v>
      </c>
      <c r="F76" s="199">
        <f>SUM(V76:AD76)*12</f>
        <v>0</v>
      </c>
      <c r="H76" s="199">
        <f>SUM(S76:AD76)*12</f>
        <v>0</v>
      </c>
      <c r="J76" s="197">
        <f>-SUMIFS('Full Customer List'!$G:$G,'Full Customer List'!$J:$J,J$1,'Full Customer List'!$E:$E,$AF70,'Full Customer List'!$H:$H,'Client Retention $'!$AF76)/1000</f>
        <v>0</v>
      </c>
      <c r="K76" s="197">
        <f>-SUMIFS('Full Customer List'!$G:$G,'Full Customer List'!$J:$J,K$1,'Full Customer List'!$E:$E,$AF70,'Full Customer List'!$H:$H,'Client Retention $'!$AF76)/1000</f>
        <v>0</v>
      </c>
      <c r="L76" s="197">
        <f>-SUMIFS('Full Customer List'!$G:$G,'Full Customer List'!$J:$J,L$1,'Full Customer List'!$E:$E,$AF70,'Full Customer List'!$H:$H,'Client Retention $'!$AF76)/1000</f>
        <v>0</v>
      </c>
      <c r="M76" s="197">
        <f>-SUMIFS('Full Customer List'!$G:$G,'Full Customer List'!$J:$J,M$1,'Full Customer List'!$E:$E,$AF70,'Full Customer List'!$H:$H,'Client Retention $'!$AF76)/1000</f>
        <v>0</v>
      </c>
      <c r="N76" s="197">
        <f>-SUMIFS('Full Customer List'!$G:$G,'Full Customer List'!$J:$J,N$1,'Full Customer List'!$E:$E,$AF70,'Full Customer List'!$H:$H,'Client Retention $'!$AF76)/1000</f>
        <v>0</v>
      </c>
      <c r="O76" s="197">
        <f>-SUMIFS('Full Customer List'!$G:$G,'Full Customer List'!$J:$J,O$1,'Full Customer List'!$E:$E,$AF70,'Full Customer List'!$H:$H,'Client Retention $'!$AF76)/1000</f>
        <v>0</v>
      </c>
      <c r="P76" s="197">
        <f>-SUMIFS('Full Customer List'!$G:$G,'Full Customer List'!$J:$J,P$1,'Full Customer List'!$E:$E,$AF70,'Full Customer List'!$H:$H,'Client Retention $'!$AF76)/1000</f>
        <v>0</v>
      </c>
      <c r="Q76" s="197">
        <f>-SUMIFS('Full Customer List'!$G:$G,'Full Customer List'!$J:$J,Q$1,'Full Customer List'!$E:$E,$AF70,'Full Customer List'!$H:$H,'Client Retention $'!$AF76)/1000</f>
        <v>0</v>
      </c>
      <c r="R76" s="197">
        <f>-SUMIFS('Full Customer List'!$G:$G,'Full Customer List'!$J:$J,R$1,'Full Customer List'!$E:$E,$AF70,'Full Customer List'!$H:$H,'Client Retention $'!$AF76)/1000</f>
        <v>0</v>
      </c>
      <c r="S76" s="197">
        <f>-SUMIFS('Full Customer List'!$G:$G,'Full Customer List'!$J:$J,S$1,'Full Customer List'!$E:$E,$AF70,'Full Customer List'!$H:$H,'Client Retention $'!$AF76)/1000</f>
        <v>0</v>
      </c>
      <c r="T76" s="197">
        <f>-SUMIFS('Full Customer List'!$G:$G,'Full Customer List'!$J:$J,T$1,'Full Customer List'!$E:$E,$AF70,'Full Customer List'!$H:$H,'Client Retention $'!$AF76)/1000</f>
        <v>0</v>
      </c>
      <c r="U76" s="197">
        <f>-SUMIFS('Full Customer List'!$G:$G,'Full Customer List'!$J:$J,U$1,'Full Customer List'!$E:$E,$AF70,'Full Customer List'!$H:$H,'Client Retention $'!$AF76)/1000</f>
        <v>0</v>
      </c>
      <c r="V76" s="197">
        <f>-SUMIFS('Full Customer List'!$G:$G,'Full Customer List'!$J:$J,V$1,'Full Customer List'!$E:$E,$AF70,'Full Customer List'!$H:$H,'Client Retention $'!$AF76)/1000</f>
        <v>0</v>
      </c>
      <c r="W76" s="197">
        <f>-SUMIFS('Full Customer List'!$G:$G,'Full Customer List'!$J:$J,W$1,'Full Customer List'!$E:$E,$AF70,'Full Customer List'!$H:$H,'Client Retention $'!$AF76)/1000</f>
        <v>0</v>
      </c>
      <c r="X76" s="197">
        <f>-SUMIFS('Full Customer List'!$G:$G,'Full Customer List'!$J:$J,X$1,'Full Customer List'!$E:$E,$AF70,'Full Customer List'!$H:$H,'Client Retention $'!$AF76)/1000</f>
        <v>0</v>
      </c>
      <c r="Y76" s="197">
        <f>-SUMIFS('Full Customer List'!$G:$G,'Full Customer List'!$J:$J,Y$1,'Full Customer List'!$E:$E,$AF70,'Full Customer List'!$H:$H,'Client Retention $'!$AF76)/1000</f>
        <v>0</v>
      </c>
      <c r="Z76" s="197">
        <f>-SUMIFS('Full Customer List'!$G:$G,'Full Customer List'!$J:$J,Z$1,'Full Customer List'!$E:$E,$AF70,'Full Customer List'!$H:$H,'Client Retention $'!$AF76)/1000</f>
        <v>0</v>
      </c>
      <c r="AA76" s="197">
        <f>-SUMIFS('Full Customer List'!$G:$G,'Full Customer List'!$J:$J,AA$1,'Full Customer List'!$E:$E,$AF70,'Full Customer List'!$H:$H,'Client Retention $'!$AF76)/1000</f>
        <v>0</v>
      </c>
      <c r="AB76" s="197">
        <f>-SUMIFS('Full Customer List'!$G:$G,'Full Customer List'!$J:$J,AB$1,'Full Customer List'!$E:$E,$AF70,'Full Customer List'!$H:$H,'Client Retention $'!$AF76)/1000</f>
        <v>0</v>
      </c>
      <c r="AC76" s="197">
        <f>-SUMIFS('Full Customer List'!$G:$G,'Full Customer List'!$J:$J,AC$1,'Full Customer List'!$E:$E,$AF70,'Full Customer List'!$H:$H,'Client Retention $'!$AF76)/1000</f>
        <v>0</v>
      </c>
      <c r="AD76" s="197">
        <f>-SUMIFS('Full Customer List'!$G:$G,'Full Customer List'!$J:$J,AD$1,'Full Customer List'!$E:$E,$AF70,'Full Customer List'!$H:$H,'Client Retention $'!$AF76)/1000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SUM(J77:U77)*12</f>
        <v>-283.55385999999999</v>
      </c>
      <c r="F77" s="260">
        <f>SUM(V77:AD77)*12</f>
        <v>-26.22</v>
      </c>
      <c r="G77" s="261"/>
      <c r="H77" s="260">
        <f>SUM(S77:AD77)*12</f>
        <v>-171.18135999999998</v>
      </c>
      <c r="I77" s="261"/>
      <c r="J77" s="262">
        <f>-SUMIFS('Full Customer List'!$G:$G,'Full Customer List'!$J:$J,J$1,'Full Customer List'!$E:$E,$AF70)/1000</f>
        <v>-1.525625</v>
      </c>
      <c r="K77" s="262">
        <f>-SUMIFS('Full Customer List'!$G:$G,'Full Customer List'!$J:$J,K$1,'Full Customer List'!$E:$E,$AF70)/1000</f>
        <v>-0.91</v>
      </c>
      <c r="L77" s="262">
        <f>-SUMIFS('Full Customer List'!$G:$G,'Full Customer List'!$J:$J,L$1,'Full Customer List'!$E:$E,$AF70)/1000</f>
        <v>-0.77024999999999999</v>
      </c>
      <c r="M77" s="262">
        <f>-SUMIFS('Full Customer List'!$G:$G,'Full Customer List'!$J:$J,M$1,'Full Customer List'!$E:$E,$AF70)/1000</f>
        <v>-2.333333333333333</v>
      </c>
      <c r="N77" s="262">
        <f>-SUMIFS('Full Customer List'!$G:$G,'Full Customer List'!$J:$J,N$1,'Full Customer List'!$E:$E,$AF70)/1000</f>
        <v>-0.47</v>
      </c>
      <c r="O77" s="262">
        <f>-SUMIFS('Full Customer List'!$G:$G,'Full Customer List'!$J:$J,O$1,'Full Customer List'!$E:$E,$AF70)/1000</f>
        <v>-2.8218333333333336</v>
      </c>
      <c r="P77" s="262">
        <f>-SUMIFS('Full Customer List'!$G:$G,'Full Customer List'!$J:$J,P$1,'Full Customer List'!$E:$E,$AF70)/1000</f>
        <v>0</v>
      </c>
      <c r="Q77" s="262">
        <f>-SUMIFS('Full Customer List'!$G:$G,'Full Customer List'!$J:$J,Q$1,'Full Customer List'!$E:$E,$AF70)/1000</f>
        <v>-0.57833333333333337</v>
      </c>
      <c r="R77" s="262">
        <f>-SUMIFS('Full Customer List'!$G:$G,'Full Customer List'!$J:$J,R$1,'Full Customer List'!$E:$E,$AF70)/1000</f>
        <v>-2.14</v>
      </c>
      <c r="S77" s="262">
        <f>-SUMIFS('Full Customer List'!$G:$G,'Full Customer List'!$J:$J,S$1,'Full Customer List'!$E:$E,$AF70)/1000</f>
        <v>-0.63</v>
      </c>
      <c r="T77" s="262">
        <f>-SUMIFS('Full Customer List'!$G:$G,'Full Customer List'!$J:$J,T$1,'Full Customer List'!$E:$E,$AF70)/1000</f>
        <v>-6.4391666666666678</v>
      </c>
      <c r="U77" s="262">
        <f>-SUMIFS('Full Customer List'!$G:$G,'Full Customer List'!$J:$J,U$1,'Full Customer List'!$E:$E,$AF70)/1000</f>
        <v>-5.0109466666666664</v>
      </c>
      <c r="V77" s="262">
        <f>-SUMIFS('Full Customer List'!$G:$G,'Full Customer List'!$J:$J,V$1,'Full Customer List'!$E:$E,$AF70)/1000</f>
        <v>-0.48499999999999999</v>
      </c>
      <c r="W77" s="262">
        <f>-SUMIFS('Full Customer List'!$G:$G,'Full Customer List'!$J:$J,W$1,'Full Customer List'!$E:$E,$AF70)/1000</f>
        <v>0</v>
      </c>
      <c r="X77" s="262">
        <f>-SUMIFS('Full Customer List'!$G:$G,'Full Customer List'!$J:$J,X$1,'Full Customer List'!$E:$E,$AF70)/1000</f>
        <v>0</v>
      </c>
      <c r="Y77" s="262">
        <f>-SUMIFS('Full Customer List'!$G:$G,'Full Customer List'!$J:$J,Y$1,'Full Customer List'!$E:$E,$AF70)/1000</f>
        <v>0</v>
      </c>
      <c r="Z77" s="262">
        <f>-SUMIFS('Full Customer List'!$G:$G,'Full Customer List'!$J:$J,Z$1,'Full Customer List'!$E:$E,$AF70)/1000</f>
        <v>-0.2</v>
      </c>
      <c r="AA77" s="262">
        <f>-SUMIFS('Full Customer List'!$G:$G,'Full Customer List'!$J:$J,AA$1,'Full Customer List'!$E:$E,$AF70)/1000</f>
        <v>0</v>
      </c>
      <c r="AB77" s="262">
        <f>-SUMIFS('Full Customer List'!$G:$G,'Full Customer List'!$J:$J,AB$1,'Full Customer List'!$E:$E,$AF70)/1000</f>
        <v>-1.5</v>
      </c>
      <c r="AC77" s="262">
        <f>-SUMIFS('Full Customer List'!$G:$G,'Full Customer List'!$J:$J,AC$1,'Full Customer List'!$E:$E,$AF70)/1000</f>
        <v>0</v>
      </c>
      <c r="AD77" s="262">
        <f>-SUMIFS('Full Customer List'!$G:$G,'Full Customer List'!$J:$J,AD$1,'Full Customer List'!$E:$E,$AF70)/1000</f>
        <v>0</v>
      </c>
    </row>
    <row r="78" spans="2:34" ht="12" customHeight="1">
      <c r="B78" s="263" t="s">
        <v>1574</v>
      </c>
      <c r="C78" s="264"/>
      <c r="D78" s="264"/>
      <c r="E78" s="264">
        <f>+F72</f>
        <v>8.2199999999999989</v>
      </c>
      <c r="F78" s="265">
        <f>+$AD78*12</f>
        <v>0</v>
      </c>
      <c r="H78" s="268">
        <f>+$AD78*12</f>
        <v>0</v>
      </c>
      <c r="J78" s="266">
        <f t="shared" ref="J78:AC78" si="39">+K72</f>
        <v>13.926530000000005</v>
      </c>
      <c r="K78" s="264">
        <f t="shared" si="39"/>
        <v>13.843196666666671</v>
      </c>
      <c r="L78" s="264">
        <f t="shared" si="39"/>
        <v>14.087946666666671</v>
      </c>
      <c r="M78" s="264">
        <f t="shared" si="39"/>
        <v>12.182113333333337</v>
      </c>
      <c r="N78" s="264">
        <f t="shared" si="39"/>
        <v>12.678780000000003</v>
      </c>
      <c r="O78" s="264">
        <f t="shared" si="39"/>
        <v>11.430946666666669</v>
      </c>
      <c r="P78" s="264">
        <f t="shared" si="39"/>
        <v>11.540946666666668</v>
      </c>
      <c r="Q78" s="264">
        <f t="shared" si="39"/>
        <v>11.452613333333336</v>
      </c>
      <c r="R78" s="264">
        <f t="shared" si="39"/>
        <v>11.802613333333335</v>
      </c>
      <c r="S78" s="266">
        <f t="shared" si="39"/>
        <v>11.535113333333335</v>
      </c>
      <c r="T78" s="264">
        <f t="shared" si="39"/>
        <v>5.4959466666666668</v>
      </c>
      <c r="U78" s="264">
        <f t="shared" si="39"/>
        <v>0.68499999999999994</v>
      </c>
      <c r="V78" s="264">
        <f t="shared" si="39"/>
        <v>0.19999999999999996</v>
      </c>
      <c r="W78" s="264">
        <f t="shared" si="39"/>
        <v>0.19999999999999996</v>
      </c>
      <c r="X78" s="264">
        <f t="shared" si="39"/>
        <v>0.19999999999999996</v>
      </c>
      <c r="Y78" s="264">
        <f t="shared" si="39"/>
        <v>1.7</v>
      </c>
      <c r="Z78" s="264">
        <f t="shared" si="39"/>
        <v>1.5</v>
      </c>
      <c r="AA78" s="264">
        <f t="shared" si="39"/>
        <v>1.5</v>
      </c>
      <c r="AB78" s="264">
        <f t="shared" si="39"/>
        <v>0</v>
      </c>
      <c r="AC78" s="264">
        <f t="shared" si="39"/>
        <v>0</v>
      </c>
      <c r="AD78" s="265">
        <f>SUMIFS('Full Customer List'!$G:$G,'Full Customer List'!$C:$C,"Active",'Full Customer List'!$E:$E,'Client Retention $'!$AF70)/1000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1571</v>
      </c>
      <c r="C80" s="239"/>
      <c r="D80" s="239"/>
      <c r="E80" s="240">
        <f>(E73+E72)/E72-1</f>
        <v>0.57353381022474448</v>
      </c>
      <c r="F80" s="251">
        <f>(F73+F72)/F72-1</f>
        <v>2.1897810218978107</v>
      </c>
      <c r="G80" s="252"/>
      <c r="H80" s="253">
        <f>(H73+H72)/H72-1</f>
        <v>0.20864023334945037</v>
      </c>
      <c r="J80" s="250">
        <f t="shared" ref="J80:AB80" si="40">(J73+J72)/J72-1</f>
        <v>0</v>
      </c>
      <c r="K80" s="240">
        <f t="shared" si="40"/>
        <v>5.9359127267644363E-2</v>
      </c>
      <c r="L80" s="240">
        <f t="shared" si="40"/>
        <v>7.3321215066173284E-2</v>
      </c>
      <c r="M80" s="240">
        <f t="shared" si="40"/>
        <v>3.0345089324585794E-2</v>
      </c>
      <c r="N80" s="240">
        <f t="shared" si="40"/>
        <v>7.9351311239374445E-2</v>
      </c>
      <c r="O80" s="240">
        <f t="shared" si="40"/>
        <v>0.12414443660983143</v>
      </c>
      <c r="P80" s="240">
        <f t="shared" si="40"/>
        <v>9.6230000198291865E-3</v>
      </c>
      <c r="Q80" s="240">
        <f t="shared" si="40"/>
        <v>4.2457522259872427E-2</v>
      </c>
      <c r="R80" s="240">
        <f t="shared" si="40"/>
        <v>0.21741762578788415</v>
      </c>
      <c r="S80" s="250">
        <f t="shared" si="40"/>
        <v>3.0713536889005466E-2</v>
      </c>
      <c r="T80" s="240">
        <f t="shared" si="40"/>
        <v>3.4676729082852464E-2</v>
      </c>
      <c r="U80" s="240">
        <f t="shared" si="40"/>
        <v>3.6390455026249713E-2</v>
      </c>
      <c r="V80" s="240">
        <f t="shared" si="40"/>
        <v>0</v>
      </c>
      <c r="W80" s="240">
        <f t="shared" si="40"/>
        <v>0</v>
      </c>
      <c r="X80" s="240">
        <f t="shared" si="40"/>
        <v>0</v>
      </c>
      <c r="Y80" s="240">
        <f t="shared" si="40"/>
        <v>7.5000000000000018</v>
      </c>
      <c r="Z80" s="240">
        <f t="shared" si="40"/>
        <v>0</v>
      </c>
      <c r="AA80" s="240">
        <f t="shared" si="40"/>
        <v>0</v>
      </c>
      <c r="AB80" s="240">
        <f t="shared" si="40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1572</v>
      </c>
      <c r="C81" s="242"/>
      <c r="D81" s="242"/>
      <c r="E81" s="243">
        <f>(E77+E72)/E72-1</f>
        <v>-1.5292034239452903</v>
      </c>
      <c r="F81" s="244">
        <f>(F77+F72)/F72-1</f>
        <v>-3.1897810218978107</v>
      </c>
      <c r="G81" s="252"/>
      <c r="H81" s="246">
        <f>(H77+H72)/H72-1</f>
        <v>-1.2086402333494504</v>
      </c>
      <c r="J81" s="245">
        <f t="shared" ref="J81:AB81" si="41">(J77+J72)/J72-1</f>
        <v>-9.8732183310353716E-2</v>
      </c>
      <c r="K81" s="243">
        <f t="shared" si="41"/>
        <v>-6.5342910258334275E-2</v>
      </c>
      <c r="L81" s="243">
        <f t="shared" si="41"/>
        <v>-5.564105015243348E-2</v>
      </c>
      <c r="M81" s="243">
        <f t="shared" si="41"/>
        <v>-0.16562621853575055</v>
      </c>
      <c r="N81" s="243">
        <f t="shared" si="41"/>
        <v>-3.8581154775006232E-2</v>
      </c>
      <c r="O81" s="243">
        <f t="shared" si="41"/>
        <v>-0.22256347482433902</v>
      </c>
      <c r="P81" s="243">
        <f t="shared" si="41"/>
        <v>0</v>
      </c>
      <c r="Q81" s="243">
        <f t="shared" si="41"/>
        <v>-5.0111429333930979E-2</v>
      </c>
      <c r="R81" s="243">
        <f t="shared" si="41"/>
        <v>-0.18685691533577198</v>
      </c>
      <c r="S81" s="245">
        <f t="shared" si="41"/>
        <v>-5.3378008938133492E-2</v>
      </c>
      <c r="T81" s="243">
        <f t="shared" si="41"/>
        <v>-0.55822309504833645</v>
      </c>
      <c r="U81" s="243">
        <f t="shared" si="41"/>
        <v>-0.91175314656134454</v>
      </c>
      <c r="V81" s="243">
        <f t="shared" si="41"/>
        <v>-0.70802919708029199</v>
      </c>
      <c r="W81" s="243">
        <f t="shared" si="41"/>
        <v>0</v>
      </c>
      <c r="X81" s="243">
        <f t="shared" si="41"/>
        <v>0</v>
      </c>
      <c r="Y81" s="243">
        <f t="shared" si="41"/>
        <v>0</v>
      </c>
      <c r="Z81" s="243">
        <f t="shared" si="41"/>
        <v>-0.11764705882352944</v>
      </c>
      <c r="AA81" s="243">
        <f t="shared" si="41"/>
        <v>0</v>
      </c>
      <c r="AB81" s="243">
        <f t="shared" si="41"/>
        <v>-1</v>
      </c>
      <c r="AC81" s="243">
        <f>IFERROR((AC77+AC72)/AC72-1,0)</f>
        <v>0</v>
      </c>
      <c r="AD81" s="244">
        <f>IFERROR((AD77+AD72)/AD72-1,0)</f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:P83" si="42">EOMONTH(J83,0)+1</f>
        <v>45689</v>
      </c>
      <c r="L83" s="194">
        <f t="shared" si="42"/>
        <v>45717</v>
      </c>
      <c r="M83" s="194">
        <f t="shared" si="42"/>
        <v>45748</v>
      </c>
      <c r="N83" s="194">
        <f t="shared" si="42"/>
        <v>45778</v>
      </c>
      <c r="O83" s="194">
        <f t="shared" si="42"/>
        <v>45809</v>
      </c>
      <c r="P83" s="194">
        <f t="shared" si="42"/>
        <v>45839</v>
      </c>
      <c r="Q83" s="194">
        <v>45870</v>
      </c>
      <c r="R83" s="194">
        <f t="shared" ref="R83:AD83" si="43">EOMONTH(Q83,0)+1</f>
        <v>45901</v>
      </c>
      <c r="S83" s="194">
        <f t="shared" si="43"/>
        <v>45931</v>
      </c>
      <c r="T83" s="194">
        <f t="shared" si="43"/>
        <v>45962</v>
      </c>
      <c r="U83" s="194">
        <f t="shared" si="43"/>
        <v>45992</v>
      </c>
      <c r="V83" s="194">
        <f t="shared" si="43"/>
        <v>46023</v>
      </c>
      <c r="W83" s="194">
        <f t="shared" si="43"/>
        <v>46054</v>
      </c>
      <c r="X83" s="194">
        <f t="shared" si="43"/>
        <v>46082</v>
      </c>
      <c r="Y83" s="194">
        <f t="shared" si="43"/>
        <v>46113</v>
      </c>
      <c r="Z83" s="194">
        <f t="shared" si="43"/>
        <v>46143</v>
      </c>
      <c r="AA83" s="194">
        <f t="shared" si="43"/>
        <v>46174</v>
      </c>
      <c r="AB83" s="194">
        <f t="shared" si="43"/>
        <v>46204</v>
      </c>
      <c r="AC83" s="194">
        <f t="shared" si="43"/>
        <v>46235</v>
      </c>
      <c r="AD83" s="194">
        <f t="shared" si="43"/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1569</v>
      </c>
      <c r="C85" s="184"/>
      <c r="D85" s="184"/>
      <c r="E85" s="184">
        <f>+E91-E86-E90</f>
        <v>-10.828583333333334</v>
      </c>
      <c r="F85" s="184">
        <f>+F91-F86-F90</f>
        <v>-2.75</v>
      </c>
      <c r="H85" s="184">
        <f>+H91-H86-H90</f>
        <v>-7.8152500000000007</v>
      </c>
      <c r="J85" s="184">
        <f t="shared" ref="J85:AD85" si="44">+J91-J86-J90</f>
        <v>-10.828583333333334</v>
      </c>
      <c r="K85" s="184">
        <f t="shared" si="44"/>
        <v>-10.828583333333334</v>
      </c>
      <c r="L85" s="184">
        <f t="shared" si="44"/>
        <v>-10.828583333333334</v>
      </c>
      <c r="M85" s="184">
        <f t="shared" si="44"/>
        <v>-10.828583333333334</v>
      </c>
      <c r="N85" s="184">
        <f t="shared" si="44"/>
        <v>-10.828583333333334</v>
      </c>
      <c r="O85" s="184">
        <f t="shared" si="44"/>
        <v>-10.828583333333334</v>
      </c>
      <c r="P85" s="184">
        <f t="shared" si="44"/>
        <v>-10.828583333333334</v>
      </c>
      <c r="Q85" s="184">
        <f t="shared" si="44"/>
        <v>-10.828583333333334</v>
      </c>
      <c r="R85" s="184">
        <f t="shared" si="44"/>
        <v>-10.828583333333334</v>
      </c>
      <c r="S85" s="184">
        <f t="shared" si="44"/>
        <v>-7.8152500000000007</v>
      </c>
      <c r="T85" s="184">
        <f t="shared" si="44"/>
        <v>-2.35</v>
      </c>
      <c r="U85" s="184">
        <f t="shared" si="44"/>
        <v>-2.75</v>
      </c>
      <c r="V85" s="184">
        <f t="shared" si="44"/>
        <v>-2.75</v>
      </c>
      <c r="W85" s="184">
        <f t="shared" si="44"/>
        <v>-1.625</v>
      </c>
      <c r="X85" s="184">
        <f t="shared" si="44"/>
        <v>0</v>
      </c>
      <c r="Y85" s="184">
        <f t="shared" si="44"/>
        <v>0</v>
      </c>
      <c r="Z85" s="184">
        <f t="shared" si="44"/>
        <v>0</v>
      </c>
      <c r="AA85" s="184">
        <f t="shared" si="44"/>
        <v>0</v>
      </c>
      <c r="AB85" s="184">
        <f t="shared" si="44"/>
        <v>0</v>
      </c>
      <c r="AC85" s="184">
        <f t="shared" si="44"/>
        <v>0</v>
      </c>
      <c r="AD85" s="184">
        <f t="shared" si="44"/>
        <v>0</v>
      </c>
    </row>
    <row r="86" spans="2:37">
      <c r="B86" s="193" t="s">
        <v>1322</v>
      </c>
      <c r="E86" s="199">
        <f>SUM(J86:U86)</f>
        <v>8.9035833333333336</v>
      </c>
      <c r="F86" s="199">
        <f>SUM(V86:AD86)</f>
        <v>2.75</v>
      </c>
      <c r="H86" s="199">
        <f>SUM(S86:AD86)</f>
        <v>8.2152500000000011</v>
      </c>
      <c r="J86" s="197">
        <f>SUMIFS('Full Customer List'!$G:$G,'Full Customer List'!$I:$I,'Client Retention $'!J$5,'Full Customer List'!$E:$E,$AF83)/1000</f>
        <v>0</v>
      </c>
      <c r="K86" s="197">
        <f>SUMIFS('Full Customer List'!$G:$G,'Full Customer List'!$I:$I,'Client Retention $'!K$5,'Full Customer List'!$E:$E,$AF83)/1000</f>
        <v>0</v>
      </c>
      <c r="L86" s="197">
        <f>SUMIFS('Full Customer List'!$G:$G,'Full Customer List'!$I:$I,'Client Retention $'!L$5,'Full Customer List'!$E:$E,$AF83)/1000</f>
        <v>0</v>
      </c>
      <c r="M86" s="197">
        <f>SUMIFS('Full Customer List'!$G:$G,'Full Customer List'!$I:$I,'Client Retention $'!M$5,'Full Customer List'!$E:$E,$AF83)/1000</f>
        <v>0</v>
      </c>
      <c r="N86" s="197">
        <f>SUMIFS('Full Customer List'!$G:$G,'Full Customer List'!$I:$I,'Client Retention $'!N$5,'Full Customer List'!$E:$E,$AF83)/1000</f>
        <v>0</v>
      </c>
      <c r="O86" s="197">
        <f>SUMIFS('Full Customer List'!$G:$G,'Full Customer List'!$I:$I,'Client Retention $'!O$5,'Full Customer List'!$E:$E,$AF83)/1000</f>
        <v>0</v>
      </c>
      <c r="P86" s="197">
        <f>SUMIFS('Full Customer List'!$G:$G,'Full Customer List'!$I:$I,'Client Retention $'!P$5,'Full Customer List'!$E:$E,$AF83)/1000</f>
        <v>0</v>
      </c>
      <c r="Q86" s="197">
        <f>SUMIFS('Full Customer List'!$G:$G,'Full Customer List'!$I:$I,'Client Retention $'!Q$5,'Full Customer List'!$E:$E,$AF83)/1000</f>
        <v>0</v>
      </c>
      <c r="R86" s="197">
        <f>SUMIFS('Full Customer List'!$G:$G,'Full Customer List'!$I:$I,'Client Retention $'!R$5,'Full Customer List'!$E:$E,$AF83)/1000</f>
        <v>3.4383333333333335</v>
      </c>
      <c r="S86" s="197">
        <f>SUMIFS('Full Customer List'!$G:$G,'Full Customer List'!$I:$I,'Client Retention $'!S$5,'Full Customer List'!$E:$E,$AF83)/1000</f>
        <v>5.4652500000000002</v>
      </c>
      <c r="T86" s="197">
        <f>SUMIFS('Full Customer List'!$G:$G,'Full Customer List'!$I:$I,'Client Retention $'!T$5,'Full Customer List'!$E:$E,$AF83)/1000</f>
        <v>0</v>
      </c>
      <c r="U86" s="197">
        <f>SUMIFS('Full Customer List'!$G:$G,'Full Customer List'!$I:$I,'Client Retention $'!U$5,'Full Customer List'!$E:$E,$AF83)/1000</f>
        <v>0</v>
      </c>
      <c r="V86" s="197">
        <f>SUMIFS('Full Customer List'!$G:$G,'Full Customer List'!$I:$I,'Client Retention $'!V$5,'Full Customer List'!$E:$E,$AF83)/1000</f>
        <v>1.125</v>
      </c>
      <c r="W86" s="197">
        <f>SUMIFS('Full Customer List'!$G:$G,'Full Customer List'!$I:$I,'Client Retention $'!W$5,'Full Customer List'!$E:$E,$AF83)/1000</f>
        <v>1.625</v>
      </c>
      <c r="X86" s="197">
        <f>SUMIFS('Full Customer List'!$G:$G,'Full Customer List'!$I:$I,'Client Retention $'!X$5,'Full Customer List'!$E:$E,$AF83)/1000</f>
        <v>0</v>
      </c>
      <c r="Y86" s="197">
        <f>SUMIFS('Full Customer List'!$G:$G,'Full Customer List'!$I:$I,'Client Retention $'!Y$5,'Full Customer List'!$E:$E,$AF83)/1000</f>
        <v>0</v>
      </c>
      <c r="Z86" s="197">
        <f>SUMIFS('Full Customer List'!$G:$G,'Full Customer List'!$I:$I,'Client Retention $'!Z$5,'Full Customer List'!$E:$E,$AF83)/1000</f>
        <v>0</v>
      </c>
      <c r="AA86" s="197">
        <f>SUMIFS('Full Customer List'!$G:$G,'Full Customer List'!$I:$I,'Client Retention $'!AA$5,'Full Customer List'!$E:$E,$AF83)/1000</f>
        <v>0</v>
      </c>
      <c r="AB86" s="197">
        <f>SUMIFS('Full Customer List'!$G:$G,'Full Customer List'!$I:$I,'Client Retention $'!AB$5,'Full Customer List'!$E:$E,$AF83)/1000</f>
        <v>0</v>
      </c>
      <c r="AC86" s="197">
        <f>SUMIFS('Full Customer List'!$G:$G,'Full Customer List'!$I:$I,'Client Retention $'!AC$5,'Full Customer List'!$E:$E,$AF83)/1000</f>
        <v>0</v>
      </c>
      <c r="AD86" s="197">
        <f>SUMIFS('Full Customer List'!$G:$G,'Full Customer List'!$I:$I,'Client Retention $'!AD$5,'Full Customer List'!$E:$E,$AF83)/1000</f>
        <v>0</v>
      </c>
    </row>
    <row r="87" spans="2:37">
      <c r="B87" s="269" t="s">
        <v>1551</v>
      </c>
      <c r="E87" s="199">
        <f>SUM(J87:U87)</f>
        <v>0</v>
      </c>
      <c r="F87" s="199">
        <f>SUM(V87:AD87)</f>
        <v>0</v>
      </c>
      <c r="H87" s="199">
        <f>SUM(S87:AD87)</f>
        <v>0</v>
      </c>
      <c r="J87" s="197">
        <f>-SUMIFS('Full Customer List'!$G:$G,'Full Customer List'!$J:$J,J$1,'Full Customer List'!$E:$E,$AF83,'Full Customer List'!$H:$H,'Client Retention $'!$AF87)/1000</f>
        <v>0</v>
      </c>
      <c r="K87" s="197">
        <f>-SUMIFS('Full Customer List'!$G:$G,'Full Customer List'!$J:$J,K$1,'Full Customer List'!$E:$E,$AF83,'Full Customer List'!$H:$H,'Client Retention $'!$AF87)/1000</f>
        <v>0</v>
      </c>
      <c r="L87" s="197">
        <f>-SUMIFS('Full Customer List'!$G:$G,'Full Customer List'!$J:$J,L$1,'Full Customer List'!$E:$E,$AF83,'Full Customer List'!$H:$H,'Client Retention $'!$AF87)/1000</f>
        <v>0</v>
      </c>
      <c r="M87" s="197">
        <f>-SUMIFS('Full Customer List'!$G:$G,'Full Customer List'!$J:$J,M$1,'Full Customer List'!$E:$E,$AF83,'Full Customer List'!$H:$H,'Client Retention $'!$AF87)/1000</f>
        <v>0</v>
      </c>
      <c r="N87" s="197">
        <f>-SUMIFS('Full Customer List'!$G:$G,'Full Customer List'!$J:$J,N$1,'Full Customer List'!$E:$E,$AF83,'Full Customer List'!$H:$H,'Client Retention $'!$AF87)/1000</f>
        <v>0</v>
      </c>
      <c r="O87" s="197">
        <f>-SUMIFS('Full Customer List'!$G:$G,'Full Customer List'!$J:$J,O$1,'Full Customer List'!$E:$E,$AF83,'Full Customer List'!$H:$H,'Client Retention $'!$AF87)/1000</f>
        <v>0</v>
      </c>
      <c r="P87" s="197">
        <f>-SUMIFS('Full Customer List'!$G:$G,'Full Customer List'!$J:$J,P$1,'Full Customer List'!$E:$E,$AF83,'Full Customer List'!$H:$H,'Client Retention $'!$AF87)/1000</f>
        <v>0</v>
      </c>
      <c r="Q87" s="197">
        <f>-SUMIFS('Full Customer List'!$G:$G,'Full Customer List'!$J:$J,Q$1,'Full Customer List'!$E:$E,$AF83,'Full Customer List'!$H:$H,'Client Retention $'!$AF87)/1000</f>
        <v>0</v>
      </c>
      <c r="R87" s="197">
        <f>-SUMIFS('Full Customer List'!$G:$G,'Full Customer List'!$J:$J,R$1,'Full Customer List'!$E:$E,$AF83,'Full Customer List'!$H:$H,'Client Retention $'!$AF87)/1000</f>
        <v>0</v>
      </c>
      <c r="S87" s="197">
        <f>-SUMIFS('Full Customer List'!$G:$G,'Full Customer List'!$J:$J,S$1,'Full Customer List'!$E:$E,$AF83,'Full Customer List'!$H:$H,'Client Retention $'!$AF87)/1000</f>
        <v>0</v>
      </c>
      <c r="T87" s="197">
        <f>-SUMIFS('Full Customer List'!$G:$G,'Full Customer List'!$J:$J,T$1,'Full Customer List'!$E:$E,$AF83,'Full Customer List'!$H:$H,'Client Retention $'!$AF87)/1000</f>
        <v>0</v>
      </c>
      <c r="U87" s="197">
        <f>-SUMIFS('Full Customer List'!$G:$G,'Full Customer List'!$J:$J,U$1,'Full Customer List'!$E:$E,$AF83,'Full Customer List'!$H:$H,'Client Retention $'!$AF87)/1000</f>
        <v>0</v>
      </c>
      <c r="V87" s="197">
        <f>-SUMIFS('Full Customer List'!$G:$G,'Full Customer List'!$J:$J,V$1,'Full Customer List'!$E:$E,$AF83,'Full Customer List'!$H:$H,'Client Retention $'!$AF87)/1000</f>
        <v>0</v>
      </c>
      <c r="W87" s="197">
        <f>-SUMIFS('Full Customer List'!$G:$G,'Full Customer List'!$J:$J,W$1,'Full Customer List'!$E:$E,$AF83,'Full Customer List'!$H:$H,'Client Retention $'!$AF87)/1000</f>
        <v>0</v>
      </c>
      <c r="X87" s="197">
        <f>-SUMIFS('Full Customer List'!$G:$G,'Full Customer List'!$J:$J,X$1,'Full Customer List'!$E:$E,$AF83,'Full Customer List'!$H:$H,'Client Retention $'!$AF87)/1000</f>
        <v>0</v>
      </c>
      <c r="Y87" s="197">
        <f>-SUMIFS('Full Customer List'!$G:$G,'Full Customer List'!$J:$J,Y$1,'Full Customer List'!$E:$E,$AF83,'Full Customer List'!$H:$H,'Client Retention $'!$AF87)/1000</f>
        <v>0</v>
      </c>
      <c r="Z87" s="197">
        <f>-SUMIFS('Full Customer List'!$G:$G,'Full Customer List'!$J:$J,Z$1,'Full Customer List'!$E:$E,$AF83,'Full Customer List'!$H:$H,'Client Retention $'!$AF87)/1000</f>
        <v>0</v>
      </c>
      <c r="AA87" s="197">
        <f>-SUMIFS('Full Customer List'!$G:$G,'Full Customer List'!$J:$J,AA$1,'Full Customer List'!$E:$E,$AF83,'Full Customer List'!$H:$H,'Client Retention $'!$AF87)/1000</f>
        <v>0</v>
      </c>
      <c r="AB87" s="197">
        <f>-SUMIFS('Full Customer List'!$G:$G,'Full Customer List'!$J:$J,AB$1,'Full Customer List'!$E:$E,$AF83,'Full Customer List'!$H:$H,'Client Retention $'!$AF87)/1000</f>
        <v>0</v>
      </c>
      <c r="AC87" s="197">
        <f>-SUMIFS('Full Customer List'!$G:$G,'Full Customer List'!$J:$J,AC$1,'Full Customer List'!$E:$E,$AF83,'Full Customer List'!$H:$H,'Client Retention $'!$AF87)/1000</f>
        <v>0</v>
      </c>
      <c r="AD87" s="197">
        <f>-SUMIFS('Full Customer List'!$G:$G,'Full Customer List'!$J:$J,AD$1,'Full Customer List'!$E:$E,$AF83,'Full Customer List'!$H:$H,'Client Retention $'!$AF87)/1000</f>
        <v>0</v>
      </c>
      <c r="AF87" s="175" t="s">
        <v>509</v>
      </c>
    </row>
    <row r="88" spans="2:37">
      <c r="B88" s="269" t="s">
        <v>1552</v>
      </c>
      <c r="E88" s="199">
        <f>SUM(J88:U88)</f>
        <v>0</v>
      </c>
      <c r="F88" s="199">
        <f>SUM(V88:AD88)</f>
        <v>0</v>
      </c>
      <c r="H88" s="199">
        <f>SUM(S88:AD88)</f>
        <v>0</v>
      </c>
      <c r="J88" s="197">
        <f>-SUMIFS('Full Customer List'!$G:$G,'Full Customer List'!$J:$J,J$1,'Full Customer List'!$E:$E,$AF83,'Full Customer List'!$H:$H,'Client Retention $'!$AF88)/1000</f>
        <v>0</v>
      </c>
      <c r="K88" s="197">
        <f>-SUMIFS('Full Customer List'!$G:$G,'Full Customer List'!$J:$J,K$1,'Full Customer List'!$E:$E,$AF83,'Full Customer List'!$H:$H,'Client Retention $'!$AF88)/1000</f>
        <v>0</v>
      </c>
      <c r="L88" s="197">
        <f>-SUMIFS('Full Customer List'!$G:$G,'Full Customer List'!$J:$J,L$1,'Full Customer List'!$E:$E,$AF83,'Full Customer List'!$H:$H,'Client Retention $'!$AF88)/1000</f>
        <v>0</v>
      </c>
      <c r="M88" s="197">
        <f>-SUMIFS('Full Customer List'!$G:$G,'Full Customer List'!$J:$J,M$1,'Full Customer List'!$E:$E,$AF83,'Full Customer List'!$H:$H,'Client Retention $'!$AF88)/1000</f>
        <v>0</v>
      </c>
      <c r="N88" s="197">
        <f>-SUMIFS('Full Customer List'!$G:$G,'Full Customer List'!$J:$J,N$1,'Full Customer List'!$E:$E,$AF83,'Full Customer List'!$H:$H,'Client Retention $'!$AF88)/1000</f>
        <v>0</v>
      </c>
      <c r="O88" s="197">
        <f>-SUMIFS('Full Customer List'!$G:$G,'Full Customer List'!$J:$J,O$1,'Full Customer List'!$E:$E,$AF83,'Full Customer List'!$H:$H,'Client Retention $'!$AF88)/1000</f>
        <v>0</v>
      </c>
      <c r="P88" s="197">
        <f>-SUMIFS('Full Customer List'!$G:$G,'Full Customer List'!$J:$J,P$1,'Full Customer List'!$E:$E,$AF83,'Full Customer List'!$H:$H,'Client Retention $'!$AF88)/1000</f>
        <v>0</v>
      </c>
      <c r="Q88" s="197">
        <f>-SUMIFS('Full Customer List'!$G:$G,'Full Customer List'!$J:$J,Q$1,'Full Customer List'!$E:$E,$AF83,'Full Customer List'!$H:$H,'Client Retention $'!$AF88)/1000</f>
        <v>0</v>
      </c>
      <c r="R88" s="197">
        <f>-SUMIFS('Full Customer List'!$G:$G,'Full Customer List'!$J:$J,R$1,'Full Customer List'!$E:$E,$AF83,'Full Customer List'!$H:$H,'Client Retention $'!$AF88)/1000</f>
        <v>0</v>
      </c>
      <c r="S88" s="197">
        <f>-SUMIFS('Full Customer List'!$G:$G,'Full Customer List'!$J:$J,S$1,'Full Customer List'!$E:$E,$AF83,'Full Customer List'!$H:$H,'Client Retention $'!$AF88)/1000</f>
        <v>0</v>
      </c>
      <c r="T88" s="197">
        <f>-SUMIFS('Full Customer List'!$G:$G,'Full Customer List'!$J:$J,T$1,'Full Customer List'!$E:$E,$AF83,'Full Customer List'!$H:$H,'Client Retention $'!$AF88)/1000</f>
        <v>0</v>
      </c>
      <c r="U88" s="197">
        <f>-SUMIFS('Full Customer List'!$G:$G,'Full Customer List'!$J:$J,U$1,'Full Customer List'!$E:$E,$AF83,'Full Customer List'!$H:$H,'Client Retention $'!$AF88)/1000</f>
        <v>0</v>
      </c>
      <c r="V88" s="197">
        <f>-SUMIFS('Full Customer List'!$G:$G,'Full Customer List'!$J:$J,V$1,'Full Customer List'!$E:$E,$AF83,'Full Customer List'!$H:$H,'Client Retention $'!$AF88)/1000</f>
        <v>0</v>
      </c>
      <c r="W88" s="197">
        <f>-SUMIFS('Full Customer List'!$G:$G,'Full Customer List'!$J:$J,W$1,'Full Customer List'!$E:$E,$AF83,'Full Customer List'!$H:$H,'Client Retention $'!$AF88)/1000</f>
        <v>0</v>
      </c>
      <c r="X88" s="197">
        <f>-SUMIFS('Full Customer List'!$G:$G,'Full Customer List'!$J:$J,X$1,'Full Customer List'!$E:$E,$AF83,'Full Customer List'!$H:$H,'Client Retention $'!$AF88)/1000</f>
        <v>0</v>
      </c>
      <c r="Y88" s="197">
        <f>-SUMIFS('Full Customer List'!$G:$G,'Full Customer List'!$J:$J,Y$1,'Full Customer List'!$E:$E,$AF83,'Full Customer List'!$H:$H,'Client Retention $'!$AF88)/1000</f>
        <v>0</v>
      </c>
      <c r="Z88" s="197">
        <f>-SUMIFS('Full Customer List'!$G:$G,'Full Customer List'!$J:$J,Z$1,'Full Customer List'!$E:$E,$AF83,'Full Customer List'!$H:$H,'Client Retention $'!$AF88)/1000</f>
        <v>0</v>
      </c>
      <c r="AA88" s="197">
        <f>-SUMIFS('Full Customer List'!$G:$G,'Full Customer List'!$J:$J,AA$1,'Full Customer List'!$E:$E,$AF83,'Full Customer List'!$H:$H,'Client Retention $'!$AF88)/1000</f>
        <v>0</v>
      </c>
      <c r="AB88" s="197">
        <f>-SUMIFS('Full Customer List'!$G:$G,'Full Customer List'!$J:$J,AB$1,'Full Customer List'!$E:$E,$AF83,'Full Customer List'!$H:$H,'Client Retention $'!$AF88)/1000</f>
        <v>0</v>
      </c>
      <c r="AC88" s="197">
        <f>-SUMIFS('Full Customer List'!$G:$G,'Full Customer List'!$J:$J,AC$1,'Full Customer List'!$E:$E,$AF83,'Full Customer List'!$H:$H,'Client Retention $'!$AF88)/1000</f>
        <v>0</v>
      </c>
      <c r="AD88" s="197">
        <f>-SUMIFS('Full Customer List'!$G:$G,'Full Customer List'!$J:$J,AD$1,'Full Customer List'!$E:$E,$AF83,'Full Customer List'!$H:$H,'Client Retention $'!$AF88)/1000</f>
        <v>0</v>
      </c>
      <c r="AF88" s="175" t="s">
        <v>510</v>
      </c>
    </row>
    <row r="89" spans="2:37">
      <c r="B89" s="269" t="s">
        <v>1553</v>
      </c>
      <c r="E89" s="199">
        <f>SUM(J89:U89)</f>
        <v>-0.82499999999999996</v>
      </c>
      <c r="F89" s="199">
        <f>SUM(V89:AD89)</f>
        <v>0</v>
      </c>
      <c r="H89" s="199">
        <f>SUM(S89:AD89)</f>
        <v>-0.4</v>
      </c>
      <c r="J89" s="197">
        <f>-SUMIFS('Full Customer List'!$G:$G,'Full Customer List'!$J:$J,J$1,'Full Customer List'!$E:$E,$AF83,'Full Customer List'!$H:$H,'Client Retention $'!$AF89)/1000</f>
        <v>0</v>
      </c>
      <c r="K89" s="197">
        <f>-SUMIFS('Full Customer List'!$G:$G,'Full Customer List'!$J:$J,K$1,'Full Customer List'!$E:$E,$AF83,'Full Customer List'!$H:$H,'Client Retention $'!$AF89)/1000</f>
        <v>0</v>
      </c>
      <c r="L89" s="197">
        <f>-SUMIFS('Full Customer List'!$G:$G,'Full Customer List'!$J:$J,L$1,'Full Customer List'!$E:$E,$AF83,'Full Customer List'!$H:$H,'Client Retention $'!$AF89)/1000</f>
        <v>0</v>
      </c>
      <c r="M89" s="197">
        <f>-SUMIFS('Full Customer List'!$G:$G,'Full Customer List'!$J:$J,M$1,'Full Customer List'!$E:$E,$AF83,'Full Customer List'!$H:$H,'Client Retention $'!$AF89)/1000</f>
        <v>0</v>
      </c>
      <c r="N89" s="197">
        <f>-SUMIFS('Full Customer List'!$G:$G,'Full Customer List'!$J:$J,N$1,'Full Customer List'!$E:$E,$AF83,'Full Customer List'!$H:$H,'Client Retention $'!$AF89)/1000</f>
        <v>0</v>
      </c>
      <c r="O89" s="197">
        <f>-SUMIFS('Full Customer List'!$G:$G,'Full Customer List'!$J:$J,O$1,'Full Customer List'!$E:$E,$AF83,'Full Customer List'!$H:$H,'Client Retention $'!$AF89)/1000</f>
        <v>0</v>
      </c>
      <c r="P89" s="197">
        <f>-SUMIFS('Full Customer List'!$G:$G,'Full Customer List'!$J:$J,P$1,'Full Customer List'!$E:$E,$AF83,'Full Customer List'!$H:$H,'Client Retention $'!$AF89)/1000</f>
        <v>0</v>
      </c>
      <c r="Q89" s="197">
        <f>-SUMIFS('Full Customer List'!$G:$G,'Full Customer List'!$J:$J,Q$1,'Full Customer List'!$E:$E,$AF83,'Full Customer List'!$H:$H,'Client Retention $'!$AF89)/1000</f>
        <v>0</v>
      </c>
      <c r="R89" s="197">
        <f>-SUMIFS('Full Customer List'!$G:$G,'Full Customer List'!$J:$J,R$1,'Full Customer List'!$E:$E,$AF83,'Full Customer List'!$H:$H,'Client Retention $'!$AF89)/1000</f>
        <v>-0.42499999999999999</v>
      </c>
      <c r="S89" s="197">
        <f>-SUMIFS('Full Customer List'!$G:$G,'Full Customer List'!$J:$J,S$1,'Full Customer List'!$E:$E,$AF83,'Full Customer List'!$H:$H,'Client Retention $'!$AF89)/1000</f>
        <v>0</v>
      </c>
      <c r="T89" s="197">
        <f>-SUMIFS('Full Customer List'!$G:$G,'Full Customer List'!$J:$J,T$1,'Full Customer List'!$E:$E,$AF83,'Full Customer List'!$H:$H,'Client Retention $'!$AF89)/1000</f>
        <v>-0.4</v>
      </c>
      <c r="U89" s="197">
        <f>-SUMIFS('Full Customer List'!$G:$G,'Full Customer List'!$J:$J,U$1,'Full Customer List'!$E:$E,$AF83,'Full Customer List'!$H:$H,'Client Retention $'!$AF89)/1000</f>
        <v>0</v>
      </c>
      <c r="V89" s="197">
        <f>-SUMIFS('Full Customer List'!$G:$G,'Full Customer List'!$J:$J,V$1,'Full Customer List'!$E:$E,$AF83,'Full Customer List'!$H:$H,'Client Retention $'!$AF89)/1000</f>
        <v>0</v>
      </c>
      <c r="W89" s="197">
        <f>-SUMIFS('Full Customer List'!$G:$G,'Full Customer List'!$J:$J,W$1,'Full Customer List'!$E:$E,$AF83,'Full Customer List'!$H:$H,'Client Retention $'!$AF89)/1000</f>
        <v>0</v>
      </c>
      <c r="X89" s="197">
        <f>-SUMIFS('Full Customer List'!$G:$G,'Full Customer List'!$J:$J,X$1,'Full Customer List'!$E:$E,$AF83,'Full Customer List'!$H:$H,'Client Retention $'!$AF89)/1000</f>
        <v>0</v>
      </c>
      <c r="Y89" s="197">
        <f>-SUMIFS('Full Customer List'!$G:$G,'Full Customer List'!$J:$J,Y$1,'Full Customer List'!$E:$E,$AF83,'Full Customer List'!$H:$H,'Client Retention $'!$AF89)/1000</f>
        <v>0</v>
      </c>
      <c r="Z89" s="197">
        <f>-SUMIFS('Full Customer List'!$G:$G,'Full Customer List'!$J:$J,Z$1,'Full Customer List'!$E:$E,$AF83,'Full Customer List'!$H:$H,'Client Retention $'!$AF89)/1000</f>
        <v>0</v>
      </c>
      <c r="AA89" s="197">
        <f>-SUMIFS('Full Customer List'!$G:$G,'Full Customer List'!$J:$J,AA$1,'Full Customer List'!$E:$E,$AF83,'Full Customer List'!$H:$H,'Client Retention $'!$AF89)/1000</f>
        <v>0</v>
      </c>
      <c r="AB89" s="197">
        <f>-SUMIFS('Full Customer List'!$G:$G,'Full Customer List'!$J:$J,AB$1,'Full Customer List'!$E:$E,$AF83,'Full Customer List'!$H:$H,'Client Retention $'!$AF89)/1000</f>
        <v>0</v>
      </c>
      <c r="AC89" s="197">
        <f>-SUMIFS('Full Customer List'!$G:$G,'Full Customer List'!$J:$J,AC$1,'Full Customer List'!$E:$E,$AF83,'Full Customer List'!$H:$H,'Client Retention $'!$AF89)/1000</f>
        <v>0</v>
      </c>
      <c r="AD89" s="197">
        <f>-SUMIFS('Full Customer List'!$G:$G,'Full Customer List'!$J:$J,AD$1,'Full Customer List'!$E:$E,$AF83,'Full Customer List'!$H:$H,'Client Retention $'!$AF89)/1000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-0.82499999999999996</v>
      </c>
      <c r="F90" s="260">
        <f>SUM(V90:AD90)</f>
        <v>0</v>
      </c>
      <c r="G90" s="261"/>
      <c r="H90" s="260">
        <f>SUM(S90:AD90)</f>
        <v>-0.4</v>
      </c>
      <c r="I90" s="261"/>
      <c r="J90" s="262">
        <f>-SUMIFS('Full Customer List'!$G:$G,'Full Customer List'!$J:$J,J$1,'Full Customer List'!$E:$E,$AF83)/1000</f>
        <v>0</v>
      </c>
      <c r="K90" s="262">
        <f>-SUMIFS('Full Customer List'!$G:$G,'Full Customer List'!$J:$J,K$1,'Full Customer List'!$E:$E,$AF83)/1000</f>
        <v>0</v>
      </c>
      <c r="L90" s="262">
        <f>-SUMIFS('Full Customer List'!$G:$G,'Full Customer List'!$J:$J,L$1,'Full Customer List'!$E:$E,$AF83)/1000</f>
        <v>0</v>
      </c>
      <c r="M90" s="262">
        <f>-SUMIFS('Full Customer List'!$G:$G,'Full Customer List'!$J:$J,M$1,'Full Customer List'!$E:$E,$AF83)/1000</f>
        <v>0</v>
      </c>
      <c r="N90" s="262">
        <f>-SUMIFS('Full Customer List'!$G:$G,'Full Customer List'!$J:$J,N$1,'Full Customer List'!$E:$E,$AF83)/1000</f>
        <v>0</v>
      </c>
      <c r="O90" s="262">
        <f>-SUMIFS('Full Customer List'!$G:$G,'Full Customer List'!$J:$J,O$1,'Full Customer List'!$E:$E,$AF83)/1000</f>
        <v>0</v>
      </c>
      <c r="P90" s="262">
        <f>-SUMIFS('Full Customer List'!$G:$G,'Full Customer List'!$J:$J,P$1,'Full Customer List'!$E:$E,$AF83)/1000</f>
        <v>0</v>
      </c>
      <c r="Q90" s="262">
        <f>-SUMIFS('Full Customer List'!$G:$G,'Full Customer List'!$J:$J,Q$1,'Full Customer List'!$E:$E,$AF83)/1000</f>
        <v>0</v>
      </c>
      <c r="R90" s="262">
        <f>-SUMIFS('Full Customer List'!$G:$G,'Full Customer List'!$J:$J,R$1,'Full Customer List'!$E:$E,$AF83)/1000</f>
        <v>-0.42499999999999999</v>
      </c>
      <c r="S90" s="262">
        <f>-SUMIFS('Full Customer List'!$G:$G,'Full Customer List'!$J:$J,S$1,'Full Customer List'!$E:$E,$AF83)/1000</f>
        <v>0</v>
      </c>
      <c r="T90" s="262">
        <f>-SUMIFS('Full Customer List'!$G:$G,'Full Customer List'!$J:$J,T$1,'Full Customer List'!$E:$E,$AF83)/1000</f>
        <v>-0.4</v>
      </c>
      <c r="U90" s="262">
        <f>-SUMIFS('Full Customer List'!$G:$G,'Full Customer List'!$J:$J,U$1,'Full Customer List'!$E:$E,$AF83)/1000</f>
        <v>0</v>
      </c>
      <c r="V90" s="262">
        <f>-SUMIFS('Full Customer List'!$G:$G,'Full Customer List'!$J:$J,V$1,'Full Customer List'!$E:$E,$AF83)/1000</f>
        <v>0</v>
      </c>
      <c r="W90" s="262">
        <f>-SUMIFS('Full Customer List'!$G:$G,'Full Customer List'!$J:$J,W$1,'Full Customer List'!$E:$E,$AF83)/1000</f>
        <v>0</v>
      </c>
      <c r="X90" s="262">
        <f>-SUMIFS('Full Customer List'!$G:$G,'Full Customer List'!$J:$J,X$1,'Full Customer List'!$E:$E,$AF83)/1000</f>
        <v>0</v>
      </c>
      <c r="Y90" s="262">
        <f>-SUMIFS('Full Customer List'!$G:$G,'Full Customer List'!$J:$J,Y$1,'Full Customer List'!$E:$E,$AF83)/1000</f>
        <v>0</v>
      </c>
      <c r="Z90" s="262">
        <f>-SUMIFS('Full Customer List'!$G:$G,'Full Customer List'!$J:$J,Z$1,'Full Customer List'!$E:$E,$AF83)/1000</f>
        <v>0</v>
      </c>
      <c r="AA90" s="262">
        <f>-SUMIFS('Full Customer List'!$G:$G,'Full Customer List'!$J:$J,AA$1,'Full Customer List'!$E:$E,$AF83)/1000</f>
        <v>0</v>
      </c>
      <c r="AB90" s="262">
        <f>-SUMIFS('Full Customer List'!$G:$G,'Full Customer List'!$J:$J,AB$1,'Full Customer List'!$E:$E,$AF83)/1000</f>
        <v>0</v>
      </c>
      <c r="AC90" s="262">
        <f>-SUMIFS('Full Customer List'!$G:$G,'Full Customer List'!$J:$J,AC$1,'Full Customer List'!$E:$E,$AF83)/1000</f>
        <v>0</v>
      </c>
      <c r="AD90" s="262">
        <f>-SUMIFS('Full Customer List'!$G:$G,'Full Customer List'!$J:$J,AD$1,'Full Customer List'!$E:$E,$AF83)/1000</f>
        <v>0</v>
      </c>
    </row>
    <row r="91" spans="2:37" ht="12" customHeight="1">
      <c r="B91" s="263" t="s">
        <v>1570</v>
      </c>
      <c r="C91" s="264"/>
      <c r="D91" s="264"/>
      <c r="E91" s="264">
        <f>+F85</f>
        <v>-2.75</v>
      </c>
      <c r="F91" s="265">
        <f>+$AD91</f>
        <v>0</v>
      </c>
      <c r="H91" s="268">
        <f>+$AD91</f>
        <v>0</v>
      </c>
      <c r="J91" s="266">
        <f t="shared" ref="J91:AC91" si="45">+K85</f>
        <v>-10.828583333333334</v>
      </c>
      <c r="K91" s="264">
        <f t="shared" si="45"/>
        <v>-10.828583333333334</v>
      </c>
      <c r="L91" s="264">
        <f t="shared" si="45"/>
        <v>-10.828583333333334</v>
      </c>
      <c r="M91" s="264">
        <f t="shared" si="45"/>
        <v>-10.828583333333334</v>
      </c>
      <c r="N91" s="264">
        <f t="shared" si="45"/>
        <v>-10.828583333333334</v>
      </c>
      <c r="O91" s="264">
        <f t="shared" si="45"/>
        <v>-10.828583333333334</v>
      </c>
      <c r="P91" s="264">
        <f t="shared" si="45"/>
        <v>-10.828583333333334</v>
      </c>
      <c r="Q91" s="264">
        <f t="shared" si="45"/>
        <v>-10.828583333333334</v>
      </c>
      <c r="R91" s="264">
        <f t="shared" si="45"/>
        <v>-7.8152500000000007</v>
      </c>
      <c r="S91" s="264">
        <f t="shared" si="45"/>
        <v>-2.35</v>
      </c>
      <c r="T91" s="264">
        <f t="shared" si="45"/>
        <v>-2.75</v>
      </c>
      <c r="U91" s="264">
        <f t="shared" si="45"/>
        <v>-2.75</v>
      </c>
      <c r="V91" s="264">
        <f t="shared" si="45"/>
        <v>-1.625</v>
      </c>
      <c r="W91" s="264">
        <f t="shared" si="45"/>
        <v>0</v>
      </c>
      <c r="X91" s="264">
        <f t="shared" si="45"/>
        <v>0</v>
      </c>
      <c r="Y91" s="264">
        <f t="shared" si="45"/>
        <v>0</v>
      </c>
      <c r="Z91" s="264">
        <f t="shared" si="45"/>
        <v>0</v>
      </c>
      <c r="AA91" s="264">
        <f t="shared" si="45"/>
        <v>0</v>
      </c>
      <c r="AB91" s="264">
        <f t="shared" si="45"/>
        <v>0</v>
      </c>
      <c r="AC91" s="264">
        <f t="shared" si="45"/>
        <v>0</v>
      </c>
      <c r="AD91" s="265">
        <f>SUMIFS('Full Customer List'!$G:$G,'Full Customer List'!$C:$C,"Active",'Full Customer List'!$E:$E,'Client Retention $'!$AF83)/1000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1571</v>
      </c>
      <c r="C93" s="239"/>
      <c r="D93" s="239"/>
      <c r="E93" s="240">
        <f>(E86+E85)/E85-1</f>
        <v>-0.82222974688902051</v>
      </c>
      <c r="F93" s="251">
        <f>(F86+F85)/F85-1</f>
        <v>-1</v>
      </c>
      <c r="G93" s="252"/>
      <c r="H93" s="253">
        <f>(H86+H85)/H85-1</f>
        <v>-1.0511819839416525</v>
      </c>
      <c r="J93" s="250">
        <f t="shared" ref="J93:T93" si="46">(J86+J85)/J85-1</f>
        <v>0</v>
      </c>
      <c r="K93" s="240">
        <f t="shared" si="46"/>
        <v>0</v>
      </c>
      <c r="L93" s="240">
        <f t="shared" si="46"/>
        <v>0</v>
      </c>
      <c r="M93" s="240">
        <f t="shared" si="46"/>
        <v>0</v>
      </c>
      <c r="N93" s="240">
        <f t="shared" si="46"/>
        <v>0</v>
      </c>
      <c r="O93" s="240">
        <f t="shared" si="46"/>
        <v>0</v>
      </c>
      <c r="P93" s="240">
        <f t="shared" si="46"/>
        <v>0</v>
      </c>
      <c r="Q93" s="240">
        <f t="shared" si="46"/>
        <v>0</v>
      </c>
      <c r="R93" s="240">
        <f t="shared" si="46"/>
        <v>-0.31752383737484891</v>
      </c>
      <c r="S93" s="240">
        <f t="shared" si="46"/>
        <v>-0.69930584434279131</v>
      </c>
      <c r="T93" s="240">
        <f t="shared" si="46"/>
        <v>0</v>
      </c>
      <c r="U93" s="240">
        <f t="shared" ref="U93:AD93" si="47">IFERROR((U86+U85)/U85-1,0)</f>
        <v>0</v>
      </c>
      <c r="V93" s="240">
        <f t="shared" si="47"/>
        <v>-0.40909090909090906</v>
      </c>
      <c r="W93" s="240">
        <f t="shared" si="47"/>
        <v>-1</v>
      </c>
      <c r="X93" s="240">
        <f t="shared" si="47"/>
        <v>0</v>
      </c>
      <c r="Y93" s="240">
        <f t="shared" si="47"/>
        <v>0</v>
      </c>
      <c r="Z93" s="240">
        <f t="shared" si="47"/>
        <v>0</v>
      </c>
      <c r="AA93" s="240">
        <f t="shared" si="47"/>
        <v>0</v>
      </c>
      <c r="AB93" s="240">
        <f t="shared" si="47"/>
        <v>0</v>
      </c>
      <c r="AC93" s="240">
        <f t="shared" si="47"/>
        <v>0</v>
      </c>
      <c r="AD93" s="251">
        <f t="shared" si="47"/>
        <v>0</v>
      </c>
    </row>
    <row r="94" spans="2:37" ht="12" customHeight="1">
      <c r="B94" s="241" t="s">
        <v>1572</v>
      </c>
      <c r="C94" s="242"/>
      <c r="D94" s="242"/>
      <c r="E94" s="243">
        <f>(E90+E85)/E85-1</f>
        <v>7.6187251333276862E-2</v>
      </c>
      <c r="F94" s="244">
        <f>(F90+F85)/F85-1</f>
        <v>0</v>
      </c>
      <c r="G94" s="252"/>
      <c r="H94" s="246">
        <f>(H90+H85)/H85-1</f>
        <v>5.118198394165252E-2</v>
      </c>
      <c r="J94" s="245">
        <f t="shared" ref="J94:W94" si="48">(J90+J85)/J85-1</f>
        <v>0</v>
      </c>
      <c r="K94" s="243">
        <f t="shared" si="48"/>
        <v>0</v>
      </c>
      <c r="L94" s="243">
        <f t="shared" si="48"/>
        <v>0</v>
      </c>
      <c r="M94" s="243">
        <f t="shared" si="48"/>
        <v>0</v>
      </c>
      <c r="N94" s="243">
        <f t="shared" si="48"/>
        <v>0</v>
      </c>
      <c r="O94" s="243">
        <f t="shared" si="48"/>
        <v>0</v>
      </c>
      <c r="P94" s="243">
        <f t="shared" si="48"/>
        <v>0</v>
      </c>
      <c r="Q94" s="243">
        <f t="shared" si="48"/>
        <v>0</v>
      </c>
      <c r="R94" s="243">
        <f t="shared" si="48"/>
        <v>3.9247977959566915E-2</v>
      </c>
      <c r="S94" s="243">
        <f t="shared" si="48"/>
        <v>0</v>
      </c>
      <c r="T94" s="243">
        <f t="shared" si="48"/>
        <v>0.17021276595744683</v>
      </c>
      <c r="U94" s="243">
        <f t="shared" si="48"/>
        <v>0</v>
      </c>
      <c r="V94" s="243">
        <f t="shared" si="48"/>
        <v>0</v>
      </c>
      <c r="W94" s="243">
        <f t="shared" si="48"/>
        <v>0</v>
      </c>
      <c r="X94" s="243">
        <f t="shared" ref="X94:AD94" si="49">IFERROR((X90+X85)/X85-1,0)</f>
        <v>0</v>
      </c>
      <c r="Y94" s="243">
        <f t="shared" si="49"/>
        <v>0</v>
      </c>
      <c r="Z94" s="243">
        <f t="shared" si="49"/>
        <v>0</v>
      </c>
      <c r="AA94" s="243">
        <f t="shared" si="49"/>
        <v>0</v>
      </c>
      <c r="AB94" s="243">
        <f t="shared" si="49"/>
        <v>0</v>
      </c>
      <c r="AC94" s="243">
        <f t="shared" si="49"/>
        <v>0</v>
      </c>
      <c r="AD94" s="244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84:XFD94 A19:XFD29 A32:XFD42 A45:XFD55 A58:XFD68 A71:XFD81">
    <cfRule type="expression" dxfId="12" priority="1">
      <formula>$AG$3=1</formula>
    </cfRule>
  </conditionalFormatting>
  <conditionalFormatting sqref="B6:H6 J6:AH6">
    <cfRule type="expression" dxfId="11" priority="19">
      <formula>$Y$3=1</formula>
    </cfRule>
  </conditionalFormatting>
  <conditionalFormatting sqref="B19:H19 J19:AH19">
    <cfRule type="expression" dxfId="10" priority="7">
      <formula>$Y$3=1</formula>
    </cfRule>
  </conditionalFormatting>
  <conditionalFormatting sqref="B32:H32">
    <cfRule type="expression" dxfId="9" priority="6">
      <formula>$Y$3=1</formula>
    </cfRule>
  </conditionalFormatting>
  <conditionalFormatting sqref="B45:H45">
    <cfRule type="expression" dxfId="8" priority="5">
      <formula>$Y$3=1</formula>
    </cfRule>
  </conditionalFormatting>
  <conditionalFormatting sqref="B58:H58">
    <cfRule type="expression" dxfId="7" priority="4">
      <formula>$Y$3=1</formula>
    </cfRule>
  </conditionalFormatting>
  <conditionalFormatting sqref="B71:H71">
    <cfRule type="expression" dxfId="6" priority="3">
      <formula>$Y$3=1</formula>
    </cfRule>
  </conditionalFormatting>
  <conditionalFormatting sqref="B84:H84">
    <cfRule type="expression" dxfId="5" priority="2">
      <formula>$Y$3=1</formula>
    </cfRule>
  </conditionalFormatting>
  <conditionalFormatting sqref="J32:AH32">
    <cfRule type="expression" dxfId="4" priority="17">
      <formula>$Y$3=1</formula>
    </cfRule>
  </conditionalFormatting>
  <conditionalFormatting sqref="J45:AH45">
    <cfRule type="expression" dxfId="3" priority="13">
      <formula>$Y$3=1</formula>
    </cfRule>
  </conditionalFormatting>
  <conditionalFormatting sqref="J58:AH58">
    <cfRule type="expression" dxfId="2" priority="16">
      <formula>$Y$3=1</formula>
    </cfRule>
  </conditionalFormatting>
  <conditionalFormatting sqref="J71:AH71">
    <cfRule type="expression" dxfId="1" priority="15">
      <formula>$Y$3=1</formula>
    </cfRule>
  </conditionalFormatting>
  <conditionalFormatting sqref="J84:AH84">
    <cfRule type="expression" dxfId="0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 $'!B2</f>
        <v>Keystone Bookkeepers</v>
      </c>
    </row>
    <row r="3" spans="2:12">
      <c r="B3" s="38" t="s">
        <v>1573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3">
      <c r="B85" s="271" t="str">
        <f>+'Client Retention $'!B19</f>
        <v>Property Manager, STR Owner &amp; Short-Term Rental</v>
      </c>
      <c r="C85" s="194">
        <v>45658</v>
      </c>
      <c r="D85" s="194">
        <f t="shared" ref="D85:I85" si="0">EOMONTH(C85,0)+1</f>
        <v>45689</v>
      </c>
      <c r="E85" s="194">
        <f t="shared" si="0"/>
        <v>45717</v>
      </c>
      <c r="F85" s="194">
        <f t="shared" si="0"/>
        <v>45748</v>
      </c>
      <c r="G85" s="194">
        <f t="shared" si="0"/>
        <v>45778</v>
      </c>
      <c r="H85" s="194">
        <f t="shared" si="0"/>
        <v>45809</v>
      </c>
      <c r="I85" s="194">
        <f t="shared" si="0"/>
        <v>45839</v>
      </c>
      <c r="J85" s="194">
        <v>45870</v>
      </c>
      <c r="K85" s="194">
        <f t="shared" ref="K85:W85" si="1">EOMONTH(J85,0)+1</f>
        <v>45901</v>
      </c>
      <c r="L85" s="194">
        <f t="shared" si="1"/>
        <v>45931</v>
      </c>
      <c r="M85" s="194">
        <f t="shared" si="1"/>
        <v>45962</v>
      </c>
      <c r="N85" s="194">
        <f t="shared" si="1"/>
        <v>45992</v>
      </c>
      <c r="O85" s="194">
        <f t="shared" si="1"/>
        <v>46023</v>
      </c>
      <c r="P85" s="194">
        <f t="shared" si="1"/>
        <v>46054</v>
      </c>
      <c r="Q85" s="194">
        <f t="shared" si="1"/>
        <v>46082</v>
      </c>
      <c r="R85" s="194">
        <f t="shared" si="1"/>
        <v>46113</v>
      </c>
      <c r="S85" s="194">
        <f t="shared" si="1"/>
        <v>46143</v>
      </c>
      <c r="T85" s="194">
        <f t="shared" si="1"/>
        <v>46174</v>
      </c>
      <c r="U85" s="194">
        <f t="shared" si="1"/>
        <v>46204</v>
      </c>
      <c r="V85" s="194">
        <f t="shared" si="1"/>
        <v>46235</v>
      </c>
      <c r="W85" s="194">
        <f t="shared" si="1"/>
        <v>46266</v>
      </c>
    </row>
    <row r="86" spans="2:23">
      <c r="B86" s="270" t="s">
        <v>1557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70" t="s">
        <v>1558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70" t="s">
        <v>1559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70" t="s">
        <v>1560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71" t="str">
        <f>+B85</f>
        <v>Property Manager, STR Owner &amp; Short-Term Rental</v>
      </c>
      <c r="C91" s="194">
        <v>45658</v>
      </c>
      <c r="D91" s="194">
        <f t="shared" ref="D91:I91" si="2">EOMONTH(C91,0)+1</f>
        <v>45689</v>
      </c>
      <c r="E91" s="194">
        <f t="shared" si="2"/>
        <v>45717</v>
      </c>
      <c r="F91" s="194">
        <f t="shared" si="2"/>
        <v>45748</v>
      </c>
      <c r="G91" s="194">
        <f t="shared" si="2"/>
        <v>45778</v>
      </c>
      <c r="H91" s="194">
        <f t="shared" si="2"/>
        <v>45809</v>
      </c>
      <c r="I91" s="194">
        <f t="shared" si="2"/>
        <v>45839</v>
      </c>
      <c r="J91" s="194">
        <v>45870</v>
      </c>
      <c r="K91" s="194">
        <f t="shared" ref="K91:W91" si="3">EOMONTH(J91,0)+1</f>
        <v>45901</v>
      </c>
      <c r="L91" s="194">
        <f t="shared" si="3"/>
        <v>45931</v>
      </c>
      <c r="M91" s="194">
        <f t="shared" si="3"/>
        <v>45962</v>
      </c>
      <c r="N91" s="194">
        <f t="shared" si="3"/>
        <v>45992</v>
      </c>
      <c r="O91" s="194">
        <f t="shared" si="3"/>
        <v>46023</v>
      </c>
      <c r="P91" s="194">
        <f t="shared" si="3"/>
        <v>46054</v>
      </c>
      <c r="Q91" s="194">
        <f t="shared" si="3"/>
        <v>46082</v>
      </c>
      <c r="R91" s="194">
        <f t="shared" si="3"/>
        <v>46113</v>
      </c>
      <c r="S91" s="194">
        <f t="shared" si="3"/>
        <v>46143</v>
      </c>
      <c r="T91" s="194">
        <f t="shared" si="3"/>
        <v>46174</v>
      </c>
      <c r="U91" s="194">
        <f t="shared" si="3"/>
        <v>46204</v>
      </c>
      <c r="V91" s="194">
        <f t="shared" si="3"/>
        <v>46235</v>
      </c>
      <c r="W91" s="194">
        <f t="shared" si="3"/>
        <v>46266</v>
      </c>
    </row>
    <row r="92" spans="2:23">
      <c r="B92" s="270" t="s">
        <v>1557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70" t="s">
        <v>1561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71" t="str">
        <f>+'Client Retention $'!B32</f>
        <v>Property Manager</v>
      </c>
      <c r="C95" s="194">
        <v>45658</v>
      </c>
      <c r="D95" s="194">
        <f t="shared" ref="D95:I95" si="5">EOMONTH(C95,0)+1</f>
        <v>45689</v>
      </c>
      <c r="E95" s="194">
        <f t="shared" si="5"/>
        <v>45717</v>
      </c>
      <c r="F95" s="194">
        <f t="shared" si="5"/>
        <v>45748</v>
      </c>
      <c r="G95" s="194">
        <f t="shared" si="5"/>
        <v>45778</v>
      </c>
      <c r="H95" s="194">
        <f t="shared" si="5"/>
        <v>45809</v>
      </c>
      <c r="I95" s="194">
        <f t="shared" si="5"/>
        <v>45839</v>
      </c>
      <c r="J95" s="194">
        <v>45870</v>
      </c>
      <c r="K95" s="194">
        <f t="shared" ref="K95:W95" si="6">EOMONTH(J95,0)+1</f>
        <v>45901</v>
      </c>
      <c r="L95" s="194">
        <f t="shared" si="6"/>
        <v>45931</v>
      </c>
      <c r="M95" s="194">
        <f t="shared" si="6"/>
        <v>45962</v>
      </c>
      <c r="N95" s="194">
        <f t="shared" si="6"/>
        <v>45992</v>
      </c>
      <c r="O95" s="194">
        <f t="shared" si="6"/>
        <v>46023</v>
      </c>
      <c r="P95" s="194">
        <f t="shared" si="6"/>
        <v>46054</v>
      </c>
      <c r="Q95" s="194">
        <f t="shared" si="6"/>
        <v>46082</v>
      </c>
      <c r="R95" s="194">
        <f t="shared" si="6"/>
        <v>46113</v>
      </c>
      <c r="S95" s="194">
        <f t="shared" si="6"/>
        <v>46143</v>
      </c>
      <c r="T95" s="194">
        <f t="shared" si="6"/>
        <v>46174</v>
      </c>
      <c r="U95" s="194">
        <f t="shared" si="6"/>
        <v>46204</v>
      </c>
      <c r="V95" s="194">
        <f t="shared" si="6"/>
        <v>46235</v>
      </c>
      <c r="W95" s="194">
        <f t="shared" si="6"/>
        <v>46266</v>
      </c>
    </row>
    <row r="96" spans="2:23">
      <c r="B96" s="270" t="s">
        <v>1557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70" t="s">
        <v>1561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71" t="str">
        <f>+'Client Retention $'!B45</f>
        <v>STR Owner</v>
      </c>
      <c r="C99" s="194">
        <v>45658</v>
      </c>
      <c r="D99" s="194">
        <f t="shared" ref="D99:I99" si="7">EOMONTH(C99,0)+1</f>
        <v>45689</v>
      </c>
      <c r="E99" s="194">
        <f t="shared" si="7"/>
        <v>45717</v>
      </c>
      <c r="F99" s="194">
        <f t="shared" si="7"/>
        <v>45748</v>
      </c>
      <c r="G99" s="194">
        <f t="shared" si="7"/>
        <v>45778</v>
      </c>
      <c r="H99" s="194">
        <f t="shared" si="7"/>
        <v>45809</v>
      </c>
      <c r="I99" s="194">
        <f t="shared" si="7"/>
        <v>45839</v>
      </c>
      <c r="J99" s="194">
        <v>45870</v>
      </c>
      <c r="K99" s="194">
        <f t="shared" ref="K99:W99" si="8">EOMONTH(J99,0)+1</f>
        <v>45901</v>
      </c>
      <c r="L99" s="194">
        <f t="shared" si="8"/>
        <v>45931</v>
      </c>
      <c r="M99" s="194">
        <f t="shared" si="8"/>
        <v>45962</v>
      </c>
      <c r="N99" s="194">
        <f t="shared" si="8"/>
        <v>45992</v>
      </c>
      <c r="O99" s="194">
        <f t="shared" si="8"/>
        <v>46023</v>
      </c>
      <c r="P99" s="194">
        <f t="shared" si="8"/>
        <v>46054</v>
      </c>
      <c r="Q99" s="194">
        <f t="shared" si="8"/>
        <v>46082</v>
      </c>
      <c r="R99" s="194">
        <f t="shared" si="8"/>
        <v>46113</v>
      </c>
      <c r="S99" s="194">
        <f t="shared" si="8"/>
        <v>46143</v>
      </c>
      <c r="T99" s="194">
        <f t="shared" si="8"/>
        <v>46174</v>
      </c>
      <c r="U99" s="194">
        <f t="shared" si="8"/>
        <v>46204</v>
      </c>
      <c r="V99" s="194">
        <f t="shared" si="8"/>
        <v>46235</v>
      </c>
      <c r="W99" s="194">
        <f t="shared" si="8"/>
        <v>46266</v>
      </c>
    </row>
    <row r="100" spans="2:23">
      <c r="B100" s="270" t="s">
        <v>1557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70" t="s">
        <v>1561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topLeftCell="A240" zoomScale="115" zoomScaleNormal="115" workbookViewId="0">
      <selection activeCell="G1" sqref="G1:G104857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58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1327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57">
        <f>INDEX('Revenue by Customer'!$I:$I,MATCH('Full Customer List'!$B7,'Revenue by Customer'!$A:$A,0))</f>
        <v>9193.0300000000007</v>
      </c>
      <c r="H7" s="257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57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57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57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57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57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57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57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57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57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57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57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57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57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57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57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57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57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57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57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57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57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57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57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57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57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57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57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57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57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57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57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57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57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57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57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57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57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57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57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57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57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57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57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57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57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57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57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57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57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57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57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57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57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57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57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57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57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57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57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57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57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57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57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57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57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57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57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57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57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57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57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57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57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57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57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57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57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57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57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57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57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57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57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57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57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57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57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57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57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57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57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57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57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57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57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57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57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57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57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57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57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57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57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57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57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57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57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57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57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57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57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57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57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57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57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57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57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57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57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57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57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57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57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57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57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57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57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57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57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57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57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57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57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57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57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57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57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57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57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57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57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57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57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57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57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57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57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57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57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57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57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57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57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57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57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57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57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57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57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57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57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57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57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57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57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57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57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57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57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57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57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57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57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57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57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57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57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57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57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57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57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57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57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57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57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57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57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57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57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57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57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57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57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57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57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57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57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57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57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57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57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57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57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57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57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57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57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57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57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57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57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57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57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57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57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57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57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57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57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57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57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57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57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57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57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57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57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57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57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57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57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57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57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57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57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57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57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57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57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57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57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57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57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57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57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57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57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57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57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57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57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57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57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57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57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57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57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57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57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57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57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57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57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57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57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57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57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57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57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57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57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57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57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57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57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57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57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57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57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57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57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57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57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57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57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57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57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57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57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57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57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57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57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57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57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57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57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57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57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57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57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57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57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57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57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57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1543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57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1544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57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1545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57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57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57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57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57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>
      <selection activeCell="C14" sqref="C14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1543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1544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1545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22</vt:i4>
      </vt:variant>
    </vt:vector>
  </HeadingPairs>
  <TitlesOfParts>
    <vt:vector size="57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Client Retention $</vt:lpstr>
      <vt:lpstr>Client Retention Charts $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2026-09-10T20:50:21Z</cp:lastPrinted>
  <dcterms:created xsi:type="dcterms:W3CDTF">2015-06-05T18:17:20Z</dcterms:created>
  <dcterms:modified xsi:type="dcterms:W3CDTF">2026-09-10T20:51:53Z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