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8AE383C5-5B7D-4D28-B02B-34A8CB4A024D}" xr6:coauthVersionLast="47" xr6:coauthVersionMax="47" xr10:uidLastSave="{00000000-0000-0000-0000-000000000000}"/>
  <bookViews>
    <workbookView xWindow="-120" yWindow="-120" windowWidth="51840" windowHeight="21840" firstSheet="14" activeTab="22" xr2:uid="{00000000-000D-0000-FFFF-FFFF00000000}"/>
  </bookViews>
  <sheets>
    <sheet name="Cover" sheetId="1" r:id="rId1"/>
    <sheet name="P&amp;L Overview" sheetId="8" r:id="rId2"/>
    <sheet name="Software Overview" sheetId="55" r:id="rId3"/>
    <sheet name="Earnings Sensitivity Table" sheetId="56" r:id="rId4"/>
    <sheet name="P&amp;L Overview (Target Version)" sheetId="18" r:id="rId5"/>
    <sheet name="P&amp;L Forecast" sheetId="11" r:id="rId6"/>
    <sheet name="Expense Charts" sheetId="16" r:id="rId7"/>
    <sheet name="Tech Stack" sheetId="19" r:id="rId8"/>
    <sheet name="Revenue Analysis" sheetId="9" r:id="rId9"/>
    <sheet name="Revenue Charts" sheetId="10" r:id="rId10"/>
    <sheet name="Expense Analysis" sheetId="17" r:id="rId11"/>
    <sheet name="Client Overview" sheetId="31" r:id="rId12"/>
    <sheet name="Client Retention" sheetId="33" r:id="rId13"/>
    <sheet name="Customer Retention Charts" sheetId="37" r:id="rId14"/>
    <sheet name="Client Retention $" sheetId="38" r:id="rId15"/>
    <sheet name="Client Retention Charts $" sheetId="39" r:id="rId16"/>
    <sheet name="Client Concentration" sheetId="51" r:id="rId17"/>
    <sheet name="Employee Overview" sheetId="35" r:id="rId18"/>
    <sheet name="Employee Retention" sheetId="46" r:id="rId19"/>
    <sheet name="Steady-State Staffing" sheetId="52" r:id="rId20"/>
    <sheet name="Tenure Charts" sheetId="47" r:id="rId21"/>
    <sheet name="Employee Retention Charts" sheetId="48" r:id="rId22"/>
    <sheet name="Yearly Employee Wins &amp; Losses" sheetId="49" r:id="rId23"/>
    <sheet name="Employee Data --&gt;" sheetId="41" r:id="rId24"/>
    <sheet name="Combined Employee Worksheet" sheetId="45" r:id="rId25"/>
    <sheet name="Headcount &amp; Compensation" sheetId="34" r:id="rId26"/>
    <sheet name="Inactive Employees" sheetId="42" r:id="rId27"/>
    <sheet name="Employee Mapping" sheetId="44" r:id="rId28"/>
    <sheet name="Employee Summary" sheetId="43" r:id="rId29"/>
    <sheet name="Owner Mapped P&amp;L" sheetId="40" r:id="rId30"/>
    <sheet name="Customer Data --&gt;" sheetId="20" r:id="rId31"/>
    <sheet name="Full Customer List" sheetId="30" r:id="rId32"/>
    <sheet name="Missing End Dates" sheetId="36" r:id="rId33"/>
    <sheet name="Client Departures" sheetId="29" r:id="rId34"/>
    <sheet name="Revenue by Customer" sheetId="23" r:id="rId35"/>
    <sheet name="Customer List w Software" sheetId="27" r:id="rId36"/>
    <sheet name="Customer List Mapping" sheetId="32" r:id="rId37"/>
    <sheet name="README" sheetId="21" r:id="rId38"/>
    <sheet name="Summary" sheetId="22" r:id="rId39"/>
    <sheet name="Monthly Trend" sheetId="24" r:id="rId40"/>
    <sheet name="New &amp; Lost Revenue" sheetId="25" r:id="rId41"/>
    <sheet name="Recurring vs Total" sheetId="26" r:id="rId42"/>
    <sheet name="Definitions" sheetId="28" r:id="rId43"/>
    <sheet name="Financial Data --&gt;" sheetId="6" r:id="rId44"/>
    <sheet name="Combined P&amp;L" sheetId="2" r:id="rId45"/>
    <sheet name="Software" sheetId="12" r:id="rId46"/>
    <sheet name="Raw - 2024 PL" sheetId="3" r:id="rId47"/>
    <sheet name="Raw - 2025 PL" sheetId="4" r:id="rId48"/>
    <sheet name="Raw - 2026 PL" sheetId="5" r:id="rId49"/>
  </sheets>
  <definedNames>
    <definedName name="_xlnm._FilterDatabase" localSheetId="25">'Headcount &amp; Compensation'!A1:L91</definedName>
    <definedName name="_xlnm._FilterDatabase" localSheetId="26" hidden="1">'Inactive Employees'!$A$1:$T$57</definedName>
    <definedName name="_xlnm._FilterDatabase" localSheetId="32" hidden="1">'Missing End Dates'!$B$6:$AA$320</definedName>
    <definedName name="_xlnm._FilterDatabase" localSheetId="45">Software!A5:H67</definedName>
    <definedName name="_xlnm.Print_Area" localSheetId="16">'Client Concentration'!$B$2:$J$29</definedName>
    <definedName name="_xlnm.Print_Area" localSheetId="12">'Client Retention'!$B$2:$AD$48,'Client Retention'!$B$50:$AD$93</definedName>
    <definedName name="_xlnm.Print_Area" localSheetId="14">'Client Retention $'!$B$2:$AD$51,'Client Retention $'!$B$53:$AD$99</definedName>
    <definedName name="_xlnm.Print_Area" localSheetId="15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3">'Customer Retention Charts'!$B$32:$L$56,'Customer Retention Charts'!$B$2:$L$30,'Customer Retention Charts'!$B$58:$L$83,'Customer Retention Charts'!$B$85:$L$109</definedName>
    <definedName name="_xlnm.Print_Area" localSheetId="17">'Employee Overview'!$B$2:$T$40</definedName>
    <definedName name="_xlnm.Print_Area" localSheetId="18">'Employee Retention'!$B$2:$AB$60,'Employee Retention'!$B$62:$AB$105</definedName>
    <definedName name="_xlnm.Print_Area" localSheetId="21">'Employee Retention Charts'!$B$32:$L$56,'Employee Retention Charts'!$B$2:$L$30,'Employee Retention Charts'!$B$58:$L$83,'Employee Retention Charts'!$B$85:$L$109</definedName>
    <definedName name="_xlnm.Print_Area" localSheetId="10">'Expense Analysis'!$B$2:$S$40,'Expense Analysis'!$B$42:$S$83</definedName>
    <definedName name="_xlnm.Print_Area" localSheetId="6">'Expense Charts'!$B$2:$L$84</definedName>
    <definedName name="_xlnm.Print_Area" localSheetId="32">'Missing End Dates'!$B$2:$AA$280</definedName>
    <definedName name="_xlnm.Print_Area" localSheetId="1">'P&amp;L Overview'!$B$2:$N$73</definedName>
    <definedName name="_xlnm.Print_Area" localSheetId="4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2">'Software Overview'!$B$2:$M$36</definedName>
    <definedName name="_xlnm.Print_Area" localSheetId="19">'Steady-State Staffing'!$B$2:$AB$35</definedName>
    <definedName name="_xlnm.Print_Area" localSheetId="7">'Tech Stack'!$B$2:$H$48</definedName>
    <definedName name="_xlnm.Print_Area" localSheetId="20">'Tenure Charts'!$B$2:$G$42</definedName>
    <definedName name="_xlnm.Print_Area" localSheetId="22">'Yearly Employee Wins &amp; Losses'!$B$2:$G$78</definedName>
    <definedName name="_xlnm.Print_Titles" localSheetId="12">'Client Retention'!$2:$4</definedName>
    <definedName name="_xlnm.Print_Titles" localSheetId="14">'Client Retention $'!$2:$4</definedName>
    <definedName name="_xlnm.Print_Titles" localSheetId="15">'Client Retention Charts $'!$2:$4</definedName>
    <definedName name="_xlnm.Print_Titles" localSheetId="44">'Combined P&amp;L'!$5:$5</definedName>
    <definedName name="_xlnm.Print_Titles" localSheetId="13">'Customer Retention Charts'!$2:$4</definedName>
    <definedName name="_xlnm.Print_Titles" localSheetId="18">'Employee Retention'!$2:$4</definedName>
    <definedName name="_xlnm.Print_Titles" localSheetId="21">'Employee Retention Charts'!$2:$4</definedName>
    <definedName name="_xlnm.Print_Titles" localSheetId="10">'Expense Analysis'!$2:$6</definedName>
    <definedName name="_xlnm.Print_Titles" localSheetId="6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7" i="33" l="1"/>
  <c r="Q107" i="33"/>
  <c r="P107" i="33"/>
  <c r="O107" i="33"/>
  <c r="N107" i="33"/>
  <c r="M107" i="33"/>
  <c r="L107" i="33"/>
  <c r="K107" i="33"/>
  <c r="J107" i="33"/>
  <c r="E107" i="33"/>
  <c r="AD99" i="38"/>
  <c r="AC99" i="38"/>
  <c r="AD93" i="33"/>
  <c r="AC93" i="33"/>
  <c r="C36" i="56"/>
  <c r="C35" i="56"/>
  <c r="C34" i="56"/>
  <c r="C33" i="56"/>
  <c r="C32" i="56"/>
  <c r="I29" i="56"/>
  <c r="H29" i="56"/>
  <c r="G29" i="56"/>
  <c r="F29" i="56"/>
  <c r="E29" i="56"/>
  <c r="D29" i="56"/>
  <c r="C29" i="56"/>
  <c r="B29" i="56"/>
  <c r="I28" i="56"/>
  <c r="H28" i="56"/>
  <c r="G28" i="56"/>
  <c r="F28" i="56"/>
  <c r="E28" i="56"/>
  <c r="D28" i="56"/>
  <c r="C28" i="56"/>
  <c r="B28" i="56"/>
  <c r="I27" i="56"/>
  <c r="H27" i="56"/>
  <c r="G27" i="56"/>
  <c r="F27" i="56"/>
  <c r="E27" i="56"/>
  <c r="D27" i="56"/>
  <c r="C27" i="56"/>
  <c r="B27" i="56"/>
  <c r="I26" i="56"/>
  <c r="H26" i="56"/>
  <c r="G26" i="56"/>
  <c r="F26" i="56"/>
  <c r="E26" i="56"/>
  <c r="D26" i="56"/>
  <c r="C26" i="56"/>
  <c r="B26" i="56"/>
  <c r="I25" i="56"/>
  <c r="H25" i="56"/>
  <c r="G25" i="56"/>
  <c r="F25" i="56"/>
  <c r="E25" i="56"/>
  <c r="D25" i="56"/>
  <c r="C25" i="56"/>
  <c r="B25" i="56"/>
  <c r="I24" i="56"/>
  <c r="H24" i="56"/>
  <c r="G24" i="56"/>
  <c r="F24" i="56"/>
  <c r="E24" i="56"/>
  <c r="D24" i="56"/>
  <c r="C24" i="56"/>
  <c r="I20" i="56"/>
  <c r="H20" i="56"/>
  <c r="G20" i="56"/>
  <c r="F20" i="56"/>
  <c r="E20" i="56"/>
  <c r="D20" i="56"/>
  <c r="C20" i="56"/>
  <c r="B20" i="56"/>
  <c r="I19" i="56"/>
  <c r="H19" i="56"/>
  <c r="G19" i="56"/>
  <c r="F19" i="56"/>
  <c r="E19" i="56"/>
  <c r="D19" i="56"/>
  <c r="C19" i="56"/>
  <c r="B19" i="56"/>
  <c r="I18" i="56"/>
  <c r="H18" i="56"/>
  <c r="G18" i="56"/>
  <c r="F18" i="56"/>
  <c r="E18" i="56"/>
  <c r="D18" i="56"/>
  <c r="C18" i="56"/>
  <c r="B18" i="56"/>
  <c r="I17" i="56"/>
  <c r="H17" i="56"/>
  <c r="G17" i="56"/>
  <c r="F17" i="56"/>
  <c r="E17" i="56"/>
  <c r="D17" i="56"/>
  <c r="C17" i="56"/>
  <c r="B17" i="56"/>
  <c r="I16" i="56"/>
  <c r="H16" i="56"/>
  <c r="G16" i="56"/>
  <c r="F16" i="56"/>
  <c r="E16" i="56"/>
  <c r="D16" i="56"/>
  <c r="C16" i="56"/>
  <c r="B16" i="56"/>
  <c r="I15" i="56"/>
  <c r="H15" i="56"/>
  <c r="G15" i="56"/>
  <c r="F15" i="56"/>
  <c r="E15" i="56"/>
  <c r="D15" i="56"/>
  <c r="C15" i="56"/>
  <c r="C10" i="56"/>
  <c r="C9" i="56"/>
  <c r="C8" i="56"/>
  <c r="C7" i="56"/>
  <c r="C6" i="56"/>
  <c r="B2" i="56"/>
  <c r="C54" i="55"/>
  <c r="C53" i="55"/>
  <c r="C52" i="55"/>
  <c r="C51" i="55"/>
  <c r="D48" i="55"/>
  <c r="D47" i="55"/>
  <c r="C47" i="55"/>
  <c r="D46" i="55"/>
  <c r="C46" i="55" s="1"/>
  <c r="D45" i="55"/>
  <c r="C45" i="55"/>
  <c r="C41" i="55"/>
  <c r="C40" i="55"/>
  <c r="I36" i="55"/>
  <c r="H36" i="55"/>
  <c r="G36" i="55"/>
  <c r="E36" i="55"/>
  <c r="D36" i="55"/>
  <c r="L36" i="55" s="1"/>
  <c r="C36" i="55"/>
  <c r="K36" i="55" s="1"/>
  <c r="M36" i="55" s="1"/>
  <c r="I35" i="55"/>
  <c r="H35" i="55"/>
  <c r="G35" i="55"/>
  <c r="E35" i="55"/>
  <c r="D35" i="55"/>
  <c r="L35" i="55" s="1"/>
  <c r="C35" i="55"/>
  <c r="K35" i="55" s="1"/>
  <c r="M35" i="55" s="1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M33" i="55" s="1"/>
  <c r="I32" i="55"/>
  <c r="H32" i="55"/>
  <c r="G32" i="55"/>
  <c r="E32" i="55"/>
  <c r="D32" i="55"/>
  <c r="L32" i="55" s="1"/>
  <c r="C32" i="55"/>
  <c r="K32" i="55" s="1"/>
  <c r="M32" i="55" s="1"/>
  <c r="I29" i="55"/>
  <c r="H29" i="55"/>
  <c r="G29" i="55"/>
  <c r="E29" i="55"/>
  <c r="D29" i="55"/>
  <c r="L29" i="55" s="1"/>
  <c r="C29" i="55"/>
  <c r="K29" i="55" s="1"/>
  <c r="M29" i="55" s="1"/>
  <c r="I28" i="55"/>
  <c r="H28" i="55"/>
  <c r="G28" i="55"/>
  <c r="E28" i="55"/>
  <c r="D28" i="55"/>
  <c r="L28" i="55" s="1"/>
  <c r="C28" i="55"/>
  <c r="K28" i="55" s="1"/>
  <c r="M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L26" i="55" s="1"/>
  <c r="C26" i="55"/>
  <c r="K26" i="55" s="1"/>
  <c r="M26" i="55" s="1"/>
  <c r="I25" i="55"/>
  <c r="H25" i="55"/>
  <c r="G25" i="55"/>
  <c r="E25" i="55"/>
  <c r="D25" i="55"/>
  <c r="L25" i="55" s="1"/>
  <c r="C25" i="55"/>
  <c r="K25" i="55" s="1"/>
  <c r="M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M23" i="55" s="1"/>
  <c r="I22" i="55"/>
  <c r="H22" i="55"/>
  <c r="G22" i="55"/>
  <c r="E22" i="55"/>
  <c r="D22" i="55"/>
  <c r="L22" i="55" s="1"/>
  <c r="C22" i="55"/>
  <c r="K22" i="55" s="1"/>
  <c r="M22" i="55" s="1"/>
  <c r="I21" i="55"/>
  <c r="H21" i="55"/>
  <c r="G21" i="55"/>
  <c r="E21" i="55"/>
  <c r="D21" i="55"/>
  <c r="L21" i="55" s="1"/>
  <c r="C21" i="55"/>
  <c r="K21" i="55" s="1"/>
  <c r="M21" i="55" s="1"/>
  <c r="I17" i="55"/>
  <c r="H17" i="55"/>
  <c r="G17" i="55"/>
  <c r="E17" i="55"/>
  <c r="D17" i="55"/>
  <c r="L17" i="55" s="1"/>
  <c r="C17" i="55"/>
  <c r="K17" i="55" s="1"/>
  <c r="M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L18" i="55" s="1"/>
  <c r="C18" i="55"/>
  <c r="K18" i="55" s="1"/>
  <c r="M18" i="55" s="1"/>
  <c r="I16" i="55"/>
  <c r="H16" i="55"/>
  <c r="G16" i="55"/>
  <c r="E16" i="55"/>
  <c r="D16" i="55"/>
  <c r="L16" i="55" s="1"/>
  <c r="C16" i="55"/>
  <c r="K16" i="55" s="1"/>
  <c r="M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M14" i="55" s="1"/>
  <c r="I13" i="55"/>
  <c r="H13" i="55"/>
  <c r="G13" i="55"/>
  <c r="E13" i="55"/>
  <c r="D13" i="55"/>
  <c r="L13" i="55" s="1"/>
  <c r="C13" i="55"/>
  <c r="K13" i="55" s="1"/>
  <c r="M13" i="55" s="1"/>
  <c r="I10" i="55"/>
  <c r="H10" i="55"/>
  <c r="G10" i="55"/>
  <c r="E10" i="55"/>
  <c r="D10" i="55"/>
  <c r="L10" i="55" s="1"/>
  <c r="C10" i="55"/>
  <c r="K10" i="55" s="1"/>
  <c r="M10" i="55" s="1"/>
  <c r="I8" i="55"/>
  <c r="H8" i="55"/>
  <c r="G8" i="55"/>
  <c r="E8" i="55"/>
  <c r="D8" i="55"/>
  <c r="L8" i="55" s="1"/>
  <c r="C8" i="55"/>
  <c r="K8" i="55" s="1"/>
  <c r="M8" i="55" s="1"/>
  <c r="I7" i="55"/>
  <c r="H7" i="55"/>
  <c r="G7" i="55"/>
  <c r="E7" i="55"/>
  <c r="D7" i="55"/>
  <c r="L7" i="55" s="1"/>
  <c r="C7" i="55"/>
  <c r="K7" i="55" s="1"/>
  <c r="B2" i="55"/>
  <c r="N55" i="8"/>
  <c r="M55" i="8"/>
  <c r="N54" i="8"/>
  <c r="M54" i="8"/>
  <c r="K55" i="8"/>
  <c r="K54" i="8"/>
  <c r="J55" i="8"/>
  <c r="J54" i="8"/>
  <c r="I55" i="8"/>
  <c r="I54" i="8"/>
  <c r="G55" i="8"/>
  <c r="G54" i="8"/>
  <c r="F55" i="8"/>
  <c r="F54" i="8"/>
  <c r="D55" i="8"/>
  <c r="D54" i="8"/>
  <c r="C55" i="8"/>
  <c r="C54" i="8"/>
  <c r="K92" i="11"/>
  <c r="J92" i="11"/>
  <c r="I92" i="11"/>
  <c r="G92" i="11"/>
  <c r="F92" i="11"/>
  <c r="D92" i="11"/>
  <c r="C92" i="11"/>
  <c r="C176" i="11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C129" i="11"/>
  <c r="F35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AB18" i="52"/>
  <c r="AB28" i="52" s="1"/>
  <c r="AA18" i="52"/>
  <c r="AA28" i="52" s="1"/>
  <c r="Z18" i="52"/>
  <c r="Z28" i="52" s="1"/>
  <c r="Y18" i="52"/>
  <c r="Y28" i="52" s="1"/>
  <c r="X18" i="52"/>
  <c r="X28" i="52" s="1"/>
  <c r="W18" i="52"/>
  <c r="W28" i="52" s="1"/>
  <c r="V18" i="52"/>
  <c r="V28" i="52" s="1"/>
  <c r="U18" i="52"/>
  <c r="T18" i="52"/>
  <c r="T28" i="52" s="1"/>
  <c r="S18" i="52"/>
  <c r="S28" i="52" s="1"/>
  <c r="R18" i="52"/>
  <c r="R28" i="52" s="1"/>
  <c r="Q18" i="52"/>
  <c r="Q28" i="52" s="1"/>
  <c r="P18" i="52"/>
  <c r="P28" i="52" s="1"/>
  <c r="O18" i="52"/>
  <c r="O28" i="52" s="1"/>
  <c r="N18" i="52"/>
  <c r="N28" i="52" s="1"/>
  <c r="M18" i="52"/>
  <c r="M28" i="52" s="1"/>
  <c r="L18" i="52"/>
  <c r="L28" i="52" s="1"/>
  <c r="K18" i="52"/>
  <c r="K28" i="52" s="1"/>
  <c r="J18" i="52"/>
  <c r="J28" i="52" s="1"/>
  <c r="I18" i="52"/>
  <c r="I28" i="52" s="1"/>
  <c r="AB17" i="52"/>
  <c r="AB27" i="52" s="1"/>
  <c r="AA17" i="52"/>
  <c r="AA27" i="52" s="1"/>
  <c r="Z17" i="52"/>
  <c r="Z27" i="52" s="1"/>
  <c r="Y17" i="52"/>
  <c r="X17" i="52"/>
  <c r="X27" i="52" s="1"/>
  <c r="W17" i="52"/>
  <c r="W27" i="52" s="1"/>
  <c r="W33" i="52" s="1"/>
  <c r="V17" i="52"/>
  <c r="V27" i="52" s="1"/>
  <c r="U17" i="52"/>
  <c r="U27" i="52" s="1"/>
  <c r="U33" i="52" s="1"/>
  <c r="T17" i="52"/>
  <c r="T27" i="52" s="1"/>
  <c r="S17" i="52"/>
  <c r="S27" i="52" s="1"/>
  <c r="R17" i="52"/>
  <c r="R27" i="52" s="1"/>
  <c r="Q17" i="52"/>
  <c r="Q27" i="52" s="1"/>
  <c r="P17" i="52"/>
  <c r="P27" i="52" s="1"/>
  <c r="O17" i="52"/>
  <c r="O27" i="52" s="1"/>
  <c r="N17" i="52"/>
  <c r="N27" i="52" s="1"/>
  <c r="M17" i="52"/>
  <c r="M27" i="52" s="1"/>
  <c r="L17" i="52"/>
  <c r="L27" i="52" s="1"/>
  <c r="K17" i="52"/>
  <c r="K27" i="52" s="1"/>
  <c r="J17" i="52"/>
  <c r="J27" i="52" s="1"/>
  <c r="I17" i="52"/>
  <c r="AB16" i="52"/>
  <c r="AB26" i="52" s="1"/>
  <c r="AA16" i="52"/>
  <c r="AA26" i="52" s="1"/>
  <c r="Z16" i="52"/>
  <c r="Z26" i="52" s="1"/>
  <c r="Y16" i="52"/>
  <c r="Y26" i="52" s="1"/>
  <c r="X16" i="52"/>
  <c r="X26" i="52" s="1"/>
  <c r="W16" i="52"/>
  <c r="W26" i="52" s="1"/>
  <c r="V16" i="52"/>
  <c r="V26" i="52" s="1"/>
  <c r="U16" i="52"/>
  <c r="U26" i="52" s="1"/>
  <c r="T16" i="52"/>
  <c r="T26" i="52" s="1"/>
  <c r="S16" i="52"/>
  <c r="S26" i="52" s="1"/>
  <c r="R16" i="52"/>
  <c r="R26" i="52" s="1"/>
  <c r="Q16" i="52"/>
  <c r="Q26" i="52" s="1"/>
  <c r="P16" i="52"/>
  <c r="P26" i="52" s="1"/>
  <c r="O16" i="52"/>
  <c r="O26" i="52" s="1"/>
  <c r="N16" i="52"/>
  <c r="N26" i="52" s="1"/>
  <c r="M16" i="52"/>
  <c r="L16" i="52"/>
  <c r="L26" i="52" s="1"/>
  <c r="K16" i="52"/>
  <c r="K26" i="52" s="1"/>
  <c r="J16" i="52"/>
  <c r="J26" i="52" s="1"/>
  <c r="I16" i="52"/>
  <c r="I26" i="52" s="1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23" i="52"/>
  <c r="F23" i="52"/>
  <c r="D23" i="52"/>
  <c r="C23" i="52"/>
  <c r="H22" i="52"/>
  <c r="F22" i="52"/>
  <c r="D22" i="52"/>
  <c r="C22" i="52"/>
  <c r="H21" i="52"/>
  <c r="F21" i="52"/>
  <c r="F26" i="52" s="1"/>
  <c r="D21" i="52"/>
  <c r="C21" i="52"/>
  <c r="H18" i="52"/>
  <c r="F18" i="52"/>
  <c r="F28" i="52" s="1"/>
  <c r="D18" i="52"/>
  <c r="D28" i="52" s="1"/>
  <c r="D34" i="52" s="1"/>
  <c r="C18" i="52"/>
  <c r="H17" i="52"/>
  <c r="H27" i="52" s="1"/>
  <c r="F17" i="52"/>
  <c r="F27" i="52" s="1"/>
  <c r="D17" i="52"/>
  <c r="D27" i="52" s="1"/>
  <c r="D33" i="52" s="1"/>
  <c r="C17" i="52"/>
  <c r="C27" i="52" s="1"/>
  <c r="C33" i="52" s="1"/>
  <c r="H16" i="52"/>
  <c r="F16" i="52"/>
  <c r="D16" i="52"/>
  <c r="D26" i="52" s="1"/>
  <c r="C16" i="52"/>
  <c r="H13" i="52"/>
  <c r="F13" i="52"/>
  <c r="D13" i="52"/>
  <c r="C13" i="52"/>
  <c r="H12" i="52"/>
  <c r="F12" i="52"/>
  <c r="D12" i="52"/>
  <c r="C12" i="52"/>
  <c r="H11" i="52"/>
  <c r="F11" i="52"/>
  <c r="D11" i="52"/>
  <c r="C11" i="52"/>
  <c r="U8" i="52"/>
  <c r="P8" i="52"/>
  <c r="O8" i="52"/>
  <c r="AB7" i="52"/>
  <c r="AB8" i="52" s="1"/>
  <c r="AA7" i="52"/>
  <c r="AA8" i="52" s="1"/>
  <c r="Z7" i="52"/>
  <c r="Z8" i="52" s="1"/>
  <c r="Y7" i="52"/>
  <c r="Y8" i="52" s="1"/>
  <c r="X7" i="52"/>
  <c r="X8" i="52" s="1"/>
  <c r="W7" i="52"/>
  <c r="W8" i="52" s="1"/>
  <c r="V7" i="52"/>
  <c r="V8" i="52" s="1"/>
  <c r="U7" i="52"/>
  <c r="T7" i="52"/>
  <c r="T8" i="52" s="1"/>
  <c r="S7" i="52"/>
  <c r="S8" i="52" s="1"/>
  <c r="R7" i="52"/>
  <c r="R8" i="52" s="1"/>
  <c r="Q7" i="52"/>
  <c r="Q8" i="52" s="1"/>
  <c r="P7" i="52"/>
  <c r="O7" i="52"/>
  <c r="N7" i="52"/>
  <c r="N8" i="52" s="1"/>
  <c r="M7" i="52"/>
  <c r="M8" i="52" s="1"/>
  <c r="L7" i="52"/>
  <c r="L8" i="52" s="1"/>
  <c r="K7" i="52"/>
  <c r="K8" i="52" s="1"/>
  <c r="J7" i="52"/>
  <c r="J8" i="52" s="1"/>
  <c r="I7" i="52"/>
  <c r="I8" i="52" s="1"/>
  <c r="H7" i="52"/>
  <c r="H8" i="52" s="1"/>
  <c r="F7" i="52"/>
  <c r="F8" i="52" s="1"/>
  <c r="D7" i="52"/>
  <c r="D8" i="52" s="1"/>
  <c r="C7" i="52"/>
  <c r="C8" i="52" s="1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F5" i="52"/>
  <c r="D5" i="52"/>
  <c r="C5" i="52"/>
  <c r="B2" i="52"/>
  <c r="AF32" i="38"/>
  <c r="G27" i="51"/>
  <c r="C29" i="51"/>
  <c r="C33" i="51"/>
  <c r="C34" i="51"/>
  <c r="B2" i="51"/>
  <c r="L7" i="51" a="1"/>
  <c r="L7" i="51" s="1"/>
  <c r="C7" i="51" s="1"/>
  <c r="L8" i="51" a="1"/>
  <c r="L8" i="51" s="1"/>
  <c r="M8" i="51" s="1" a="1"/>
  <c r="M8" i="51" s="1"/>
  <c r="L9" i="51" a="1"/>
  <c r="L9" i="51" s="1"/>
  <c r="M9" i="51" s="1" a="1"/>
  <c r="M9" i="51" s="1"/>
  <c r="L10" i="51" a="1"/>
  <c r="L10" i="51" s="1"/>
  <c r="M10" i="51" s="1" a="1"/>
  <c r="M10" i="51" s="1"/>
  <c r="L11" i="51" a="1"/>
  <c r="L11" i="51" s="1"/>
  <c r="M11" i="51" s="1" a="1"/>
  <c r="M11" i="51" s="1"/>
  <c r="L12" i="51" a="1"/>
  <c r="L12" i="51" s="1"/>
  <c r="M12" i="51" s="1" a="1"/>
  <c r="M12" i="51" s="1"/>
  <c r="L13" i="51" a="1"/>
  <c r="L13" i="51" s="1"/>
  <c r="M13" i="51" s="1" a="1"/>
  <c r="M13" i="51" s="1"/>
  <c r="L14" i="51" a="1"/>
  <c r="L14" i="51" s="1"/>
  <c r="M14" i="51" s="1" a="1"/>
  <c r="M14" i="51" s="1"/>
  <c r="L15" i="51" a="1"/>
  <c r="L15" i="51" s="1"/>
  <c r="M15" i="51" s="1" a="1"/>
  <c r="M15" i="51" s="1"/>
  <c r="L16" i="51" a="1"/>
  <c r="L16" i="51" s="1"/>
  <c r="M16" i="51" s="1" a="1"/>
  <c r="M16" i="51" s="1"/>
  <c r="L17" i="51" a="1"/>
  <c r="L17" i="51" s="1"/>
  <c r="M17" i="51" s="1" a="1"/>
  <c r="M17" i="51" s="1"/>
  <c r="L18" i="51" a="1"/>
  <c r="L18" i="51" s="1"/>
  <c r="M18" i="51" s="1" a="1"/>
  <c r="M18" i="51" s="1"/>
  <c r="L19" i="51" a="1"/>
  <c r="L19" i="51" s="1"/>
  <c r="M19" i="51" s="1" a="1"/>
  <c r="M19" i="51" s="1"/>
  <c r="L20" i="51" a="1"/>
  <c r="L20" i="51" s="1"/>
  <c r="M20" i="51" s="1" a="1"/>
  <c r="M20" i="51" s="1"/>
  <c r="L21" i="51" a="1"/>
  <c r="L21" i="51" s="1"/>
  <c r="M21" i="51" s="1" a="1"/>
  <c r="M21" i="51" s="1"/>
  <c r="L22" i="51" a="1"/>
  <c r="L22" i="51" s="1"/>
  <c r="M22" i="51" s="1" a="1"/>
  <c r="M22" i="51" s="1"/>
  <c r="L23" i="51" a="1"/>
  <c r="L23" i="51" s="1"/>
  <c r="M23" i="51" s="1" a="1"/>
  <c r="M23" i="51" s="1"/>
  <c r="L24" i="51" a="1"/>
  <c r="L24" i="51" s="1"/>
  <c r="M24" i="51" s="1" a="1"/>
  <c r="M24" i="51" s="1"/>
  <c r="L25" i="51" a="1"/>
  <c r="L25" i="51" s="1"/>
  <c r="M25" i="51" s="1" a="1"/>
  <c r="M25" i="51" s="1"/>
  <c r="L26" i="51" a="1"/>
  <c r="L26" i="51" s="1"/>
  <c r="M26" i="51" s="1" a="1"/>
  <c r="M26" i="51" s="1"/>
  <c r="E29" i="51"/>
  <c r="E115" i="38"/>
  <c r="F115" i="38"/>
  <c r="H115" i="38"/>
  <c r="J115" i="38"/>
  <c r="K115" i="38"/>
  <c r="L115" i="38"/>
  <c r="M115" i="38"/>
  <c r="N115" i="38"/>
  <c r="O115" i="38"/>
  <c r="P115" i="38"/>
  <c r="Q115" i="38"/>
  <c r="R115" i="38"/>
  <c r="S115" i="38"/>
  <c r="T115" i="38"/>
  <c r="U115" i="38"/>
  <c r="V115" i="38"/>
  <c r="W115" i="38"/>
  <c r="X115" i="38"/>
  <c r="Y115" i="38"/>
  <c r="Z115" i="38"/>
  <c r="AA115" i="38"/>
  <c r="AB115" i="38"/>
  <c r="AC115" i="38"/>
  <c r="AD115" i="38"/>
  <c r="E99" i="38"/>
  <c r="F99" i="38"/>
  <c r="H99" i="38"/>
  <c r="J99" i="38"/>
  <c r="K99" i="38"/>
  <c r="L99" i="38"/>
  <c r="M99" i="38"/>
  <c r="N99" i="38"/>
  <c r="O99" i="38"/>
  <c r="P99" i="38"/>
  <c r="Q99" i="38"/>
  <c r="R99" i="38"/>
  <c r="S99" i="38"/>
  <c r="T99" i="38"/>
  <c r="U99" i="38"/>
  <c r="V99" i="38"/>
  <c r="W99" i="38"/>
  <c r="X99" i="38"/>
  <c r="Y99" i="38"/>
  <c r="Z99" i="38"/>
  <c r="AA99" i="38"/>
  <c r="AB99" i="38"/>
  <c r="E83" i="38"/>
  <c r="F83" i="38"/>
  <c r="H83" i="38"/>
  <c r="J83" i="38"/>
  <c r="K83" i="38"/>
  <c r="L83" i="38"/>
  <c r="M83" i="38"/>
  <c r="N83" i="38"/>
  <c r="O83" i="38"/>
  <c r="P83" i="38"/>
  <c r="Q83" i="38"/>
  <c r="R83" i="38"/>
  <c r="S83" i="38"/>
  <c r="T83" i="38"/>
  <c r="U83" i="38"/>
  <c r="V83" i="38"/>
  <c r="W83" i="38"/>
  <c r="X83" i="38"/>
  <c r="Y83" i="38"/>
  <c r="Z83" i="38"/>
  <c r="AA83" i="38"/>
  <c r="AB83" i="38"/>
  <c r="AC83" i="38"/>
  <c r="AD83" i="38"/>
  <c r="E67" i="38"/>
  <c r="F67" i="38"/>
  <c r="H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E51" i="38"/>
  <c r="F51" i="38"/>
  <c r="H51" i="38"/>
  <c r="J51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W51" i="38"/>
  <c r="X51" i="38"/>
  <c r="Y51" i="38"/>
  <c r="Z51" i="38"/>
  <c r="AA51" i="38"/>
  <c r="AB51" i="38"/>
  <c r="AC51" i="38"/>
  <c r="AD51" i="38"/>
  <c r="E35" i="38"/>
  <c r="F35" i="38"/>
  <c r="H35" i="38"/>
  <c r="J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X35" i="38"/>
  <c r="Y35" i="38"/>
  <c r="Z35" i="38"/>
  <c r="AA35" i="38"/>
  <c r="AB35" i="38"/>
  <c r="AC35" i="38"/>
  <c r="AD35" i="38"/>
  <c r="C19" i="38"/>
  <c r="D19" i="38"/>
  <c r="E19" i="38"/>
  <c r="F19" i="38"/>
  <c r="H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E108" i="33"/>
  <c r="F108" i="33"/>
  <c r="H108" i="33"/>
  <c r="J108" i="33"/>
  <c r="K108" i="33"/>
  <c r="L108" i="33"/>
  <c r="M108" i="33"/>
  <c r="N108" i="33"/>
  <c r="O108" i="33"/>
  <c r="P108" i="33"/>
  <c r="Q108" i="33"/>
  <c r="R108" i="33"/>
  <c r="S108" i="33"/>
  <c r="T108" i="33"/>
  <c r="U108" i="33"/>
  <c r="V108" i="33"/>
  <c r="W108" i="33"/>
  <c r="X108" i="33"/>
  <c r="Y108" i="33"/>
  <c r="Z108" i="33"/>
  <c r="AA108" i="33"/>
  <c r="AB108" i="33"/>
  <c r="AC108" i="33"/>
  <c r="AD108" i="33"/>
  <c r="E93" i="33"/>
  <c r="F93" i="33"/>
  <c r="H93" i="33"/>
  <c r="J93" i="33"/>
  <c r="K93" i="33"/>
  <c r="L93" i="33"/>
  <c r="M93" i="33"/>
  <c r="N93" i="33"/>
  <c r="O93" i="33"/>
  <c r="P93" i="33"/>
  <c r="Q93" i="33"/>
  <c r="R93" i="33"/>
  <c r="S93" i="33"/>
  <c r="T93" i="33"/>
  <c r="U93" i="33"/>
  <c r="V93" i="33"/>
  <c r="W93" i="33"/>
  <c r="X93" i="33"/>
  <c r="Y93" i="33"/>
  <c r="Z93" i="33"/>
  <c r="AA93" i="33"/>
  <c r="AB93" i="33"/>
  <c r="E78" i="33"/>
  <c r="F78" i="33"/>
  <c r="H78" i="33"/>
  <c r="J78" i="33"/>
  <c r="K78" i="33"/>
  <c r="L78" i="33"/>
  <c r="M78" i="33"/>
  <c r="N78" i="33"/>
  <c r="O78" i="33"/>
  <c r="P78" i="33"/>
  <c r="Q78" i="33"/>
  <c r="R78" i="33"/>
  <c r="S78" i="33"/>
  <c r="T78" i="33"/>
  <c r="U78" i="33"/>
  <c r="V78" i="33"/>
  <c r="W78" i="33"/>
  <c r="X78" i="33"/>
  <c r="Y78" i="33"/>
  <c r="Z78" i="33"/>
  <c r="AA78" i="33"/>
  <c r="AB78" i="33"/>
  <c r="AC78" i="33"/>
  <c r="AD78" i="33"/>
  <c r="E63" i="33"/>
  <c r="F63" i="33"/>
  <c r="H63" i="33"/>
  <c r="J63" i="33"/>
  <c r="K63" i="33"/>
  <c r="L63" i="33"/>
  <c r="M63" i="33"/>
  <c r="N63" i="33"/>
  <c r="O63" i="33"/>
  <c r="P63" i="33"/>
  <c r="Q63" i="33"/>
  <c r="R63" i="33"/>
  <c r="S63" i="33"/>
  <c r="T63" i="33"/>
  <c r="U63" i="33"/>
  <c r="V63" i="33"/>
  <c r="W63" i="33"/>
  <c r="X63" i="33"/>
  <c r="Y63" i="33"/>
  <c r="Z63" i="33"/>
  <c r="AA63" i="33"/>
  <c r="AB63" i="33"/>
  <c r="AC63" i="33"/>
  <c r="AD63" i="33"/>
  <c r="E48" i="33"/>
  <c r="F48" i="33"/>
  <c r="H48" i="33"/>
  <c r="J48" i="33"/>
  <c r="K48" i="33"/>
  <c r="L48" i="33"/>
  <c r="M48" i="33"/>
  <c r="N48" i="33"/>
  <c r="O48" i="33"/>
  <c r="P48" i="33"/>
  <c r="Q48" i="33"/>
  <c r="R48" i="33"/>
  <c r="S48" i="33"/>
  <c r="T48" i="33"/>
  <c r="U48" i="33"/>
  <c r="V48" i="33"/>
  <c r="W48" i="33"/>
  <c r="X48" i="33"/>
  <c r="Y48" i="33"/>
  <c r="Z48" i="33"/>
  <c r="AA48" i="33"/>
  <c r="AB48" i="33"/>
  <c r="AC48" i="33"/>
  <c r="AD48" i="33"/>
  <c r="E33" i="33"/>
  <c r="F33" i="33"/>
  <c r="H33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A33" i="33"/>
  <c r="AB33" i="33"/>
  <c r="AC33" i="33"/>
  <c r="AD33" i="33"/>
  <c r="C18" i="33"/>
  <c r="D18" i="33"/>
  <c r="E18" i="33"/>
  <c r="F18" i="33"/>
  <c r="H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M15" i="55" l="1"/>
  <c r="M24" i="55"/>
  <c r="M34" i="55"/>
  <c r="M7" i="55"/>
  <c r="M9" i="55"/>
  <c r="M27" i="55"/>
  <c r="V33" i="52"/>
  <c r="R34" i="52"/>
  <c r="T34" i="52"/>
  <c r="C28" i="52"/>
  <c r="C34" i="52" s="1"/>
  <c r="M26" i="52"/>
  <c r="M32" i="52" s="1"/>
  <c r="I27" i="52"/>
  <c r="I29" i="52" s="1"/>
  <c r="I35" i="52" s="1"/>
  <c r="Y27" i="52"/>
  <c r="U28" i="52"/>
  <c r="U34" i="52" s="1"/>
  <c r="J33" i="52"/>
  <c r="Z33" i="52"/>
  <c r="V34" i="52"/>
  <c r="W34" i="52"/>
  <c r="H28" i="52"/>
  <c r="H34" i="52" s="1"/>
  <c r="L33" i="52"/>
  <c r="AB33" i="52"/>
  <c r="C26" i="52"/>
  <c r="C29" i="52" s="1"/>
  <c r="C35" i="52" s="1"/>
  <c r="M33" i="52"/>
  <c r="N33" i="52"/>
  <c r="J34" i="52"/>
  <c r="Z34" i="52"/>
  <c r="O33" i="52"/>
  <c r="P33" i="52"/>
  <c r="L34" i="52"/>
  <c r="AB34" i="52"/>
  <c r="S34" i="52"/>
  <c r="M34" i="52"/>
  <c r="N34" i="52"/>
  <c r="O34" i="52"/>
  <c r="H26" i="52"/>
  <c r="H29" i="52" s="1"/>
  <c r="H35" i="52" s="1"/>
  <c r="P34" i="52"/>
  <c r="J29" i="52"/>
  <c r="J35" i="52" s="1"/>
  <c r="J32" i="52"/>
  <c r="AB29" i="52"/>
  <c r="AB35" i="52" s="1"/>
  <c r="AB32" i="52"/>
  <c r="N32" i="52"/>
  <c r="N29" i="52"/>
  <c r="N35" i="52" s="1"/>
  <c r="Z29" i="52"/>
  <c r="Z35" i="52" s="1"/>
  <c r="Z32" i="52"/>
  <c r="M29" i="52"/>
  <c r="M35" i="52" s="1"/>
  <c r="O29" i="52"/>
  <c r="O35" i="52" s="1"/>
  <c r="O32" i="52"/>
  <c r="AA33" i="52"/>
  <c r="X34" i="52"/>
  <c r="Q32" i="52"/>
  <c r="Q29" i="52"/>
  <c r="Q35" i="52" s="1"/>
  <c r="I34" i="52"/>
  <c r="Y34" i="52"/>
  <c r="K33" i="52"/>
  <c r="R32" i="52"/>
  <c r="R29" i="52"/>
  <c r="R35" i="52" s="1"/>
  <c r="K34" i="52"/>
  <c r="Y29" i="52"/>
  <c r="Y35" i="52" s="1"/>
  <c r="X33" i="52"/>
  <c r="AA29" i="52"/>
  <c r="AA35" i="52" s="1"/>
  <c r="F33" i="52"/>
  <c r="F34" i="52"/>
  <c r="K29" i="52"/>
  <c r="K35" i="52" s="1"/>
  <c r="F29" i="52"/>
  <c r="F32" i="52"/>
  <c r="U32" i="52"/>
  <c r="Q33" i="52"/>
  <c r="L29" i="52"/>
  <c r="L35" i="52" s="1"/>
  <c r="L32" i="52"/>
  <c r="Y33" i="52"/>
  <c r="T32" i="52"/>
  <c r="T29" i="52"/>
  <c r="T35" i="52" s="1"/>
  <c r="D29" i="52"/>
  <c r="D35" i="52" s="1"/>
  <c r="D32" i="52"/>
  <c r="V32" i="52"/>
  <c r="V29" i="52"/>
  <c r="V35" i="52" s="1"/>
  <c r="R33" i="52"/>
  <c r="H33" i="52"/>
  <c r="S32" i="52"/>
  <c r="S29" i="52"/>
  <c r="S35" i="52" s="1"/>
  <c r="W32" i="52"/>
  <c r="W29" i="52"/>
  <c r="W35" i="52" s="1"/>
  <c r="S33" i="52"/>
  <c r="Q34" i="52"/>
  <c r="I33" i="52"/>
  <c r="P32" i="52"/>
  <c r="P29" i="52"/>
  <c r="P35" i="52" s="1"/>
  <c r="AA34" i="52"/>
  <c r="X32" i="52"/>
  <c r="X29" i="52"/>
  <c r="X35" i="52" s="1"/>
  <c r="T33" i="52"/>
  <c r="I32" i="52"/>
  <c r="Y32" i="52"/>
  <c r="AA32" i="52"/>
  <c r="K32" i="52"/>
  <c r="C12" i="51"/>
  <c r="C13" i="51"/>
  <c r="C14" i="51"/>
  <c r="C15" i="51"/>
  <c r="C16" i="51"/>
  <c r="C17" i="51"/>
  <c r="C18" i="51"/>
  <c r="C19" i="51"/>
  <c r="C20" i="51"/>
  <c r="C21" i="51"/>
  <c r="G29" i="51"/>
  <c r="C22" i="51"/>
  <c r="C23" i="51"/>
  <c r="C8" i="51"/>
  <c r="D8" i="51" s="1"/>
  <c r="C24" i="51"/>
  <c r="C9" i="51"/>
  <c r="C25" i="51"/>
  <c r="C10" i="51"/>
  <c r="C26" i="51"/>
  <c r="C11" i="51"/>
  <c r="M7" i="51" a="1"/>
  <c r="M7" i="51" s="1"/>
  <c r="D9" i="51"/>
  <c r="D29" i="51"/>
  <c r="D7" i="51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61" i="12" s="1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J10" i="33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H302" i="30"/>
  <c r="G302" i="30"/>
  <c r="F302" i="30"/>
  <c r="D302" i="30"/>
  <c r="C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H296" i="30"/>
  <c r="G296" i="30"/>
  <c r="F296" i="30"/>
  <c r="D296" i="30"/>
  <c r="C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H286" i="30"/>
  <c r="G286" i="30"/>
  <c r="F286" i="30"/>
  <c r="D286" i="30"/>
  <c r="C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H258" i="30"/>
  <c r="G258" i="30"/>
  <c r="F258" i="30"/>
  <c r="D258" i="30"/>
  <c r="C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H251" i="30"/>
  <c r="G251" i="30"/>
  <c r="F251" i="30"/>
  <c r="D251" i="30"/>
  <c r="C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H224" i="30"/>
  <c r="G224" i="30"/>
  <c r="F224" i="30"/>
  <c r="D224" i="30"/>
  <c r="C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H140" i="30"/>
  <c r="G140" i="30"/>
  <c r="F140" i="30"/>
  <c r="D140" i="30"/>
  <c r="C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H100" i="30"/>
  <c r="G100" i="30"/>
  <c r="F100" i="30"/>
  <c r="D100" i="30"/>
  <c r="C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H91" i="30"/>
  <c r="G91" i="30"/>
  <c r="F91" i="30"/>
  <c r="D91" i="30"/>
  <c r="C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H84" i="30"/>
  <c r="G84" i="30"/>
  <c r="F84" i="30"/>
  <c r="D84" i="30"/>
  <c r="C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H66" i="30"/>
  <c r="G66" i="30"/>
  <c r="F66" i="30"/>
  <c r="D66" i="30"/>
  <c r="C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H59" i="30"/>
  <c r="G59" i="30"/>
  <c r="F59" i="30"/>
  <c r="D59" i="30"/>
  <c r="C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H58" i="30"/>
  <c r="G58" i="30"/>
  <c r="F58" i="30"/>
  <c r="D58" i="30"/>
  <c r="C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H57" i="30"/>
  <c r="G57" i="30"/>
  <c r="F57" i="30"/>
  <c r="D57" i="30"/>
  <c r="C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H41" i="30"/>
  <c r="G41" i="30"/>
  <c r="F41" i="30"/>
  <c r="D41" i="30"/>
  <c r="C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H37" i="30"/>
  <c r="G37" i="30"/>
  <c r="F37" i="30"/>
  <c r="D37" i="30"/>
  <c r="C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H36" i="30"/>
  <c r="G36" i="30"/>
  <c r="F36" i="30"/>
  <c r="D36" i="30"/>
  <c r="C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H9" i="30"/>
  <c r="G9" i="30"/>
  <c r="F9" i="30"/>
  <c r="D9" i="30"/>
  <c r="C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H7" i="30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O49" i="42"/>
  <c r="O48" i="42"/>
  <c r="O47" i="42"/>
  <c r="O45" i="42"/>
  <c r="O44" i="42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O30" i="42"/>
  <c r="L121" i="45" s="1"/>
  <c r="O29" i="42"/>
  <c r="O28" i="42"/>
  <c r="O27" i="42"/>
  <c r="O26" i="42"/>
  <c r="L117" i="45" s="1"/>
  <c r="O25" i="42"/>
  <c r="O24" i="42"/>
  <c r="O23" i="42"/>
  <c r="O22" i="42"/>
  <c r="O21" i="42"/>
  <c r="O20" i="42"/>
  <c r="O19" i="42"/>
  <c r="O18" i="42"/>
  <c r="L109" i="45" s="1"/>
  <c r="O17" i="42"/>
  <c r="O16" i="42"/>
  <c r="L107" i="45" s="1"/>
  <c r="O15" i="42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F22" i="49" s="1"/>
  <c r="K142" i="45"/>
  <c r="L141" i="45"/>
  <c r="K141" i="45"/>
  <c r="L140" i="45"/>
  <c r="K140" i="45"/>
  <c r="F7" i="49" s="1"/>
  <c r="L139" i="45"/>
  <c r="K139" i="45"/>
  <c r="F17" i="49" s="1"/>
  <c r="L138" i="45"/>
  <c r="K138" i="45"/>
  <c r="L137" i="45"/>
  <c r="K137" i="45"/>
  <c r="F15" i="49" s="1"/>
  <c r="L136" i="45"/>
  <c r="K136" i="45"/>
  <c r="L135" i="45"/>
  <c r="K135" i="45"/>
  <c r="F9" i="49" s="1"/>
  <c r="L134" i="45"/>
  <c r="K134" i="45"/>
  <c r="K133" i="45"/>
  <c r="F26" i="49" s="1"/>
  <c r="L132" i="45"/>
  <c r="K132" i="45"/>
  <c r="L131" i="45"/>
  <c r="K131" i="45"/>
  <c r="L130" i="45"/>
  <c r="K130" i="45"/>
  <c r="K129" i="45"/>
  <c r="L128" i="45"/>
  <c r="K128" i="45"/>
  <c r="K127" i="45"/>
  <c r="F29" i="49" s="1"/>
  <c r="L126" i="45"/>
  <c r="K126" i="45"/>
  <c r="F16" i="49" s="1"/>
  <c r="K125" i="45"/>
  <c r="L124" i="45"/>
  <c r="K124" i="45"/>
  <c r="F18" i="49" s="1"/>
  <c r="L123" i="45"/>
  <c r="K123" i="45"/>
  <c r="L122" i="45"/>
  <c r="K122" i="45"/>
  <c r="F20" i="49" s="1"/>
  <c r="K121" i="45"/>
  <c r="L120" i="45"/>
  <c r="K120" i="45"/>
  <c r="L119" i="45"/>
  <c r="K119" i="45"/>
  <c r="L118" i="45"/>
  <c r="K118" i="45"/>
  <c r="F8" i="49" s="1"/>
  <c r="K117" i="45"/>
  <c r="F14" i="49" s="1"/>
  <c r="L116" i="45"/>
  <c r="K116" i="45"/>
  <c r="F25" i="49" s="1"/>
  <c r="L115" i="45"/>
  <c r="K115" i="45"/>
  <c r="F19" i="49" s="1"/>
  <c r="L114" i="45"/>
  <c r="K114" i="45"/>
  <c r="L113" i="45"/>
  <c r="K113" i="45"/>
  <c r="F24" i="49" s="1"/>
  <c r="L112" i="45"/>
  <c r="K112" i="45"/>
  <c r="F23" i="49" s="1"/>
  <c r="L111" i="45"/>
  <c r="K111" i="45"/>
  <c r="F6" i="49" s="1"/>
  <c r="L110" i="45"/>
  <c r="K110" i="45"/>
  <c r="K109" i="45"/>
  <c r="L108" i="45"/>
  <c r="K108" i="45"/>
  <c r="K107" i="45"/>
  <c r="F27" i="49" s="1"/>
  <c r="L106" i="45"/>
  <c r="K106" i="45"/>
  <c r="F30" i="49" s="1"/>
  <c r="K105" i="45"/>
  <c r="F31" i="49" s="1"/>
  <c r="K104" i="45"/>
  <c r="F21" i="49" s="1"/>
  <c r="K103" i="45"/>
  <c r="F28" i="49" s="1"/>
  <c r="K102" i="45"/>
  <c r="F10" i="49" s="1"/>
  <c r="K101" i="45"/>
  <c r="F32" i="49" s="1"/>
  <c r="L100" i="45"/>
  <c r="K100" i="45"/>
  <c r="K99" i="45"/>
  <c r="L98" i="45"/>
  <c r="K98" i="45"/>
  <c r="L97" i="45"/>
  <c r="K97" i="45"/>
  <c r="L96" i="45"/>
  <c r="K96" i="45"/>
  <c r="L95" i="45"/>
  <c r="K95" i="45"/>
  <c r="F13" i="49" s="1"/>
  <c r="K94" i="45"/>
  <c r="F12" i="49" s="1"/>
  <c r="K93" i="45"/>
  <c r="F11" i="49" s="1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N126" i="48"/>
  <c r="O126" i="48" s="1"/>
  <c r="P126" i="48" s="1"/>
  <c r="Q126" i="48" s="1"/>
  <c r="R126" i="48" s="1"/>
  <c r="S126" i="48" s="1"/>
  <c r="T126" i="48" s="1"/>
  <c r="U126" i="48" s="1"/>
  <c r="V126" i="48" s="1"/>
  <c r="W126" i="48" s="1"/>
  <c r="L126" i="48"/>
  <c r="M126" i="48" s="1"/>
  <c r="K126" i="48"/>
  <c r="D126" i="48"/>
  <c r="E126" i="48" s="1"/>
  <c r="F126" i="48" s="1"/>
  <c r="G126" i="48" s="1"/>
  <c r="H126" i="48" s="1"/>
  <c r="I126" i="48" s="1"/>
  <c r="B124" i="48"/>
  <c r="B123" i="48"/>
  <c r="L122" i="48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K122" i="48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G118" i="48"/>
  <c r="H118" i="48" s="1"/>
  <c r="I118" i="48" s="1"/>
  <c r="D118" i="48"/>
  <c r="E118" i="48" s="1"/>
  <c r="F118" i="48" s="1"/>
  <c r="B118" i="48"/>
  <c r="N112" i="48"/>
  <c r="O112" i="48" s="1"/>
  <c r="P112" i="48" s="1"/>
  <c r="Q112" i="48" s="1"/>
  <c r="R112" i="48" s="1"/>
  <c r="S112" i="48" s="1"/>
  <c r="T112" i="48" s="1"/>
  <c r="U112" i="48" s="1"/>
  <c r="V112" i="48" s="1"/>
  <c r="W112" i="48" s="1"/>
  <c r="M112" i="48"/>
  <c r="L112" i="48"/>
  <c r="K112" i="48"/>
  <c r="D112" i="48"/>
  <c r="E112" i="48" s="1"/>
  <c r="F112" i="48" s="1"/>
  <c r="G112" i="48" s="1"/>
  <c r="H112" i="48" s="1"/>
  <c r="I112" i="48" s="1"/>
  <c r="C56" i="47"/>
  <c r="C64" i="47" s="1"/>
  <c r="E55" i="47"/>
  <c r="F54" i="47"/>
  <c r="E54" i="47"/>
  <c r="F52" i="47"/>
  <c r="E53" i="47" s="1"/>
  <c r="E52" i="47"/>
  <c r="P126" i="46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AB107" i="46"/>
  <c r="W107" i="46"/>
  <c r="X107" i="46" s="1"/>
  <c r="Y107" i="46" s="1"/>
  <c r="Z107" i="46" s="1"/>
  <c r="AA107" i="46" s="1"/>
  <c r="P107" i="46"/>
  <c r="Q107" i="46" s="1"/>
  <c r="R107" i="46" s="1"/>
  <c r="S107" i="46" s="1"/>
  <c r="T107" i="46" s="1"/>
  <c r="U107" i="46" s="1"/>
  <c r="V107" i="46" s="1"/>
  <c r="J107" i="46"/>
  <c r="K107" i="46" s="1"/>
  <c r="L107" i="46" s="1"/>
  <c r="M107" i="46" s="1"/>
  <c r="N107" i="46" s="1"/>
  <c r="I107" i="46"/>
  <c r="R92" i="46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P92" i="46"/>
  <c r="Q92" i="46" s="1"/>
  <c r="M92" i="46"/>
  <c r="N92" i="46" s="1"/>
  <c r="J92" i="46"/>
  <c r="K92" i="46" s="1"/>
  <c r="L92" i="46" s="1"/>
  <c r="I92" i="46"/>
  <c r="Q77" i="46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P77" i="46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M62" i="46"/>
  <c r="N62" i="46" s="1"/>
  <c r="I62" i="46"/>
  <c r="J62" i="46" s="1"/>
  <c r="K62" i="46" s="1"/>
  <c r="L62" i="46" s="1"/>
  <c r="P53" i="46"/>
  <c r="Q47" i="46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P47" i="46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J32" i="46"/>
  <c r="K32" i="46" s="1"/>
  <c r="L32" i="46" s="1"/>
  <c r="M32" i="46" s="1"/>
  <c r="N32" i="46" s="1"/>
  <c r="I32" i="46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M17" i="46"/>
  <c r="N17" i="46" s="1"/>
  <c r="J17" i="46"/>
  <c r="K17" i="46" s="1"/>
  <c r="L17" i="46" s="1"/>
  <c r="I17" i="46"/>
  <c r="AB10" i="46"/>
  <c r="F10" i="46"/>
  <c r="P9" i="46"/>
  <c r="I8" i="46"/>
  <c r="D119" i="48" s="1"/>
  <c r="H8" i="46"/>
  <c r="Q5" i="46"/>
  <c r="P5" i="46"/>
  <c r="J5" i="46"/>
  <c r="I5" i="46"/>
  <c r="B2" i="46"/>
  <c r="B2" i="47" s="1"/>
  <c r="Q1" i="46"/>
  <c r="Q9" i="46" s="1"/>
  <c r="P1" i="46"/>
  <c r="O1" i="46"/>
  <c r="J1" i="46"/>
  <c r="I1" i="46"/>
  <c r="H1" i="46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K28" i="35" s="1"/>
  <c r="C26" i="35"/>
  <c r="C28" i="35" s="1"/>
  <c r="Q25" i="35"/>
  <c r="Q28" i="35" s="1"/>
  <c r="K25" i="35"/>
  <c r="D25" i="35" s="1"/>
  <c r="C25" i="35"/>
  <c r="C21" i="35"/>
  <c r="Q20" i="35"/>
  <c r="K20" i="35"/>
  <c r="C20" i="35"/>
  <c r="Q19" i="35"/>
  <c r="K19" i="35"/>
  <c r="C134" i="11" s="1"/>
  <c r="C19" i="35"/>
  <c r="Q14" i="35"/>
  <c r="Q15" i="35" s="1"/>
  <c r="K14" i="35"/>
  <c r="D14" i="35" s="1"/>
  <c r="T14" i="35" s="1"/>
  <c r="C14" i="35"/>
  <c r="Q13" i="35"/>
  <c r="K13" i="35"/>
  <c r="C13" i="35"/>
  <c r="C15" i="35" s="1"/>
  <c r="Q8" i="35"/>
  <c r="K8" i="35"/>
  <c r="D8" i="35" s="1"/>
  <c r="C8" i="35"/>
  <c r="Q7" i="35"/>
  <c r="K7" i="35"/>
  <c r="K9" i="35" s="1"/>
  <c r="D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M91" i="39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L91" i="39"/>
  <c r="K91" i="39"/>
  <c r="E91" i="39"/>
  <c r="F91" i="39" s="1"/>
  <c r="G91" i="39" s="1"/>
  <c r="H91" i="39" s="1"/>
  <c r="I91" i="39" s="1"/>
  <c r="D91" i="39"/>
  <c r="L85" i="39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K85" i="39"/>
  <c r="D85" i="39"/>
  <c r="E85" i="39" s="1"/>
  <c r="F85" i="39" s="1"/>
  <c r="G85" i="39" s="1"/>
  <c r="H85" i="39" s="1"/>
  <c r="I85" i="39" s="1"/>
  <c r="B85" i="39"/>
  <c r="B91" i="39" s="1"/>
  <c r="M125" i="37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L125" i="37"/>
  <c r="K125" i="37"/>
  <c r="I125" i="37"/>
  <c r="F125" i="37"/>
  <c r="G125" i="37" s="1"/>
  <c r="H125" i="37" s="1"/>
  <c r="D125" i="37"/>
  <c r="E125" i="37" s="1"/>
  <c r="P121" i="37"/>
  <c r="Q121" i="37" s="1"/>
  <c r="R121" i="37" s="1"/>
  <c r="S121" i="37" s="1"/>
  <c r="T121" i="37" s="1"/>
  <c r="U121" i="37" s="1"/>
  <c r="V121" i="37" s="1"/>
  <c r="W121" i="37" s="1"/>
  <c r="O121" i="37"/>
  <c r="L121" i="37"/>
  <c r="M121" i="37" s="1"/>
  <c r="N121" i="37" s="1"/>
  <c r="K121" i="37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F117" i="37"/>
  <c r="G117" i="37" s="1"/>
  <c r="H117" i="37" s="1"/>
  <c r="I117" i="37" s="1"/>
  <c r="E117" i="37"/>
  <c r="D117" i="37"/>
  <c r="N111" i="37"/>
  <c r="O111" i="37" s="1"/>
  <c r="P111" i="37" s="1"/>
  <c r="Q111" i="37" s="1"/>
  <c r="R111" i="37" s="1"/>
  <c r="S111" i="37" s="1"/>
  <c r="T111" i="37" s="1"/>
  <c r="U111" i="37" s="1"/>
  <c r="V111" i="37" s="1"/>
  <c r="W111" i="37" s="1"/>
  <c r="K111" i="37"/>
  <c r="L111" i="37" s="1"/>
  <c r="M111" i="37" s="1"/>
  <c r="E111" i="37"/>
  <c r="F111" i="37" s="1"/>
  <c r="G111" i="37" s="1"/>
  <c r="H111" i="37" s="1"/>
  <c r="I111" i="37" s="1"/>
  <c r="D111" i="37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L95" i="33"/>
  <c r="M95" i="33" s="1"/>
  <c r="N95" i="33" s="1"/>
  <c r="O95" i="33" s="1"/>
  <c r="P95" i="33" s="1"/>
  <c r="K95" i="33"/>
  <c r="B81" i="33"/>
  <c r="W80" i="33"/>
  <c r="X80" i="33" s="1"/>
  <c r="Y80" i="33" s="1"/>
  <c r="Z80" i="33" s="1"/>
  <c r="AA80" i="33" s="1"/>
  <c r="AB80" i="33" s="1"/>
  <c r="AC80" i="33" s="1"/>
  <c r="AD80" i="33" s="1"/>
  <c r="R80" i="33"/>
  <c r="S80" i="33" s="1"/>
  <c r="T80" i="33" s="1"/>
  <c r="U80" i="33" s="1"/>
  <c r="V80" i="33" s="1"/>
  <c r="L80" i="33"/>
  <c r="M80" i="33" s="1"/>
  <c r="N80" i="33" s="1"/>
  <c r="O80" i="33" s="1"/>
  <c r="P80" i="33" s="1"/>
  <c r="K80" i="33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L50" i="33"/>
  <c r="M50" i="33" s="1"/>
  <c r="N50" i="33" s="1"/>
  <c r="O50" i="33" s="1"/>
  <c r="P50" i="33" s="1"/>
  <c r="K50" i="33"/>
  <c r="B36" i="33"/>
  <c r="B121" i="37" s="1"/>
  <c r="U35" i="33"/>
  <c r="V35" i="33" s="1"/>
  <c r="W35" i="33" s="1"/>
  <c r="X35" i="33" s="1"/>
  <c r="Y35" i="33" s="1"/>
  <c r="Z35" i="33" s="1"/>
  <c r="AA35" i="33" s="1"/>
  <c r="AB35" i="33" s="1"/>
  <c r="AC35" i="33" s="1"/>
  <c r="AD35" i="33" s="1"/>
  <c r="S35" i="33"/>
  <c r="T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F13" i="33"/>
  <c r="Q12" i="33"/>
  <c r="K12" i="33"/>
  <c r="J12" i="33"/>
  <c r="D12" i="33"/>
  <c r="C12" i="33"/>
  <c r="K10" i="33"/>
  <c r="Q9" i="33"/>
  <c r="K9" i="33"/>
  <c r="R8" i="33"/>
  <c r="Q8" i="33"/>
  <c r="J8" i="33"/>
  <c r="C8" i="33"/>
  <c r="S5" i="33"/>
  <c r="R5" i="33"/>
  <c r="K5" i="33"/>
  <c r="K8" i="33" s="1"/>
  <c r="B2" i="33"/>
  <c r="Q1" i="33"/>
  <c r="K1" i="33"/>
  <c r="J1" i="33"/>
  <c r="D12" i="31"/>
  <c r="C12" i="3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S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E48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AM113" i="2"/>
  <c r="V113" i="2"/>
  <c r="AL112" i="2"/>
  <c r="AD112" i="2"/>
  <c r="U112" i="2"/>
  <c r="U113" i="2" s="1"/>
  <c r="T112" i="2"/>
  <c r="AR111" i="2"/>
  <c r="AQ111" i="2"/>
  <c r="AP111" i="2"/>
  <c r="AP112" i="2" s="1"/>
  <c r="AO111" i="2"/>
  <c r="AO112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Y112" i="2" s="1"/>
  <c r="Y113" i="2" s="1"/>
  <c r="X111" i="2"/>
  <c r="W111" i="2"/>
  <c r="V111" i="2"/>
  <c r="U111" i="2"/>
  <c r="T111" i="2"/>
  <c r="S111" i="2"/>
  <c r="R111" i="2"/>
  <c r="R112" i="2" s="1"/>
  <c r="Q111" i="2"/>
  <c r="Q112" i="2" s="1"/>
  <c r="P111" i="2"/>
  <c r="P112" i="2" s="1"/>
  <c r="O111" i="2"/>
  <c r="N111" i="2"/>
  <c r="AR110" i="2"/>
  <c r="AR112" i="2" s="1"/>
  <c r="AQ110" i="2"/>
  <c r="AQ112" i="2" s="1"/>
  <c r="AQ113" i="2" s="1"/>
  <c r="AP110" i="2"/>
  <c r="AO110" i="2"/>
  <c r="AN110" i="2"/>
  <c r="AM110" i="2"/>
  <c r="AM112" i="2" s="1"/>
  <c r="AL110" i="2"/>
  <c r="AK110" i="2"/>
  <c r="AJ110" i="2"/>
  <c r="AI110" i="2"/>
  <c r="AH110" i="2"/>
  <c r="AG110" i="2"/>
  <c r="AF110" i="2"/>
  <c r="AE110" i="2"/>
  <c r="AD110" i="2"/>
  <c r="AC110" i="2"/>
  <c r="AB110" i="2"/>
  <c r="K110" i="2" s="1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I110" i="2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I109" i="2"/>
  <c r="AK108" i="2"/>
  <c r="AK112" i="2" s="1"/>
  <c r="AJ108" i="2"/>
  <c r="AJ112" i="2" s="1"/>
  <c r="AI108" i="2"/>
  <c r="AI112" i="2" s="1"/>
  <c r="AH108" i="2"/>
  <c r="AG108" i="2"/>
  <c r="AF108" i="2"/>
  <c r="AE108" i="2"/>
  <c r="AE112" i="2" s="1"/>
  <c r="AD108" i="2"/>
  <c r="AC108" i="2"/>
  <c r="AC112" i="2" s="1"/>
  <c r="AC113" i="2" s="1"/>
  <c r="AB108" i="2"/>
  <c r="AA108" i="2"/>
  <c r="Z108" i="2"/>
  <c r="Y108" i="2"/>
  <c r="X108" i="2"/>
  <c r="W108" i="2"/>
  <c r="W112" i="2" s="1"/>
  <c r="V108" i="2"/>
  <c r="V112" i="2" s="1"/>
  <c r="U108" i="2"/>
  <c r="T108" i="2"/>
  <c r="S108" i="2"/>
  <c r="S112" i="2" s="1"/>
  <c r="R108" i="2"/>
  <c r="Q108" i="2"/>
  <c r="P108" i="2"/>
  <c r="O108" i="2"/>
  <c r="O112" i="2" s="1"/>
  <c r="N108" i="2"/>
  <c r="N112" i="2" s="1"/>
  <c r="I108" i="2"/>
  <c r="AR106" i="2"/>
  <c r="AQ106" i="2"/>
  <c r="AN106" i="2"/>
  <c r="AF106" i="2"/>
  <c r="AE106" i="2"/>
  <c r="AD106" i="2"/>
  <c r="AB106" i="2"/>
  <c r="AA106" i="2"/>
  <c r="Y106" i="2"/>
  <c r="U106" i="2"/>
  <c r="T106" i="2"/>
  <c r="T113" i="2" s="1"/>
  <c r="S106" i="2"/>
  <c r="R106" i="2"/>
  <c r="Q106" i="2"/>
  <c r="Q113" i="2" s="1"/>
  <c r="P106" i="2"/>
  <c r="P113" i="2" s="1"/>
  <c r="AR105" i="2"/>
  <c r="AQ105" i="2"/>
  <c r="AP105" i="2"/>
  <c r="AP106" i="2" s="1"/>
  <c r="AP113" i="2" s="1"/>
  <c r="AO105" i="2"/>
  <c r="AO106" i="2" s="1"/>
  <c r="AN105" i="2"/>
  <c r="AM105" i="2"/>
  <c r="AM106" i="2" s="1"/>
  <c r="AL105" i="2"/>
  <c r="AL106" i="2" s="1"/>
  <c r="AL113" i="2" s="1"/>
  <c r="AK105" i="2"/>
  <c r="AK106" i="2" s="1"/>
  <c r="AJ105" i="2"/>
  <c r="AJ106" i="2" s="1"/>
  <c r="AI105" i="2"/>
  <c r="AI106" i="2" s="1"/>
  <c r="AI113" i="2" s="1"/>
  <c r="AH105" i="2"/>
  <c r="AG105" i="2"/>
  <c r="AG106" i="2" s="1"/>
  <c r="AG113" i="2" s="1"/>
  <c r="AF105" i="2"/>
  <c r="AE105" i="2"/>
  <c r="AD105" i="2"/>
  <c r="AC105" i="2"/>
  <c r="AC106" i="2" s="1"/>
  <c r="AB105" i="2"/>
  <c r="AA105" i="2"/>
  <c r="Z105" i="2"/>
  <c r="Z106" i="2" s="1"/>
  <c r="K105" i="2"/>
  <c r="H105" i="2"/>
  <c r="E105" i="2"/>
  <c r="Y104" i="2"/>
  <c r="X104" i="2"/>
  <c r="X106" i="2" s="1"/>
  <c r="W104" i="2"/>
  <c r="V104" i="2"/>
  <c r="V106" i="2" s="1"/>
  <c r="U104" i="2"/>
  <c r="T104" i="2"/>
  <c r="S104" i="2"/>
  <c r="R104" i="2"/>
  <c r="Q104" i="2"/>
  <c r="P104" i="2"/>
  <c r="O104" i="2"/>
  <c r="O106" i="2" s="1"/>
  <c r="N104" i="2"/>
  <c r="N106" i="2" s="1"/>
  <c r="I104" i="2"/>
  <c r="H104" i="2"/>
  <c r="E104" i="2"/>
  <c r="R100" i="2"/>
  <c r="AR99" i="2"/>
  <c r="AQ99" i="2"/>
  <c r="AP99" i="2"/>
  <c r="AO99" i="2"/>
  <c r="AN99" i="2"/>
  <c r="I99" i="2" s="1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AN98" i="2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K97" i="2"/>
  <c r="H97" i="2"/>
  <c r="E97" i="2"/>
  <c r="AK96" i="2"/>
  <c r="AJ96" i="2"/>
  <c r="AJ98" i="2" s="1"/>
  <c r="AI96" i="2"/>
  <c r="AH96" i="2"/>
  <c r="AG96" i="2"/>
  <c r="AF96" i="2"/>
  <c r="AE96" i="2"/>
  <c r="AD96" i="2"/>
  <c r="AC96" i="2"/>
  <c r="AB96" i="2"/>
  <c r="AA96" i="2"/>
  <c r="K96" i="2" s="1"/>
  <c r="Z96" i="2"/>
  <c r="I96" i="2"/>
  <c r="H96" i="2"/>
  <c r="E96" i="2"/>
  <c r="AK95" i="2"/>
  <c r="AJ95" i="2"/>
  <c r="AI95" i="2"/>
  <c r="AH95" i="2"/>
  <c r="AG95" i="2"/>
  <c r="AF95" i="2"/>
  <c r="AE95" i="2"/>
  <c r="AD95" i="2"/>
  <c r="AC95" i="2"/>
  <c r="K95" i="2" s="1"/>
  <c r="AB95" i="2"/>
  <c r="AA95" i="2"/>
  <c r="Z95" i="2"/>
  <c r="I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G98" i="2" s="1"/>
  <c r="AF94" i="2"/>
  <c r="AF98" i="2" s="1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M98" i="2" s="1"/>
  <c r="AL92" i="2"/>
  <c r="AK92" i="2"/>
  <c r="AJ92" i="2"/>
  <c r="AI92" i="2"/>
  <c r="AH92" i="2"/>
  <c r="AG92" i="2"/>
  <c r="AF92" i="2"/>
  <c r="AE92" i="2"/>
  <c r="AD92" i="2"/>
  <c r="AC92" i="2"/>
  <c r="AB92" i="2"/>
  <c r="AB98" i="2" s="1"/>
  <c r="AA92" i="2"/>
  <c r="Z92" i="2"/>
  <c r="K92" i="2" s="1"/>
  <c r="H92" i="2"/>
  <c r="AR91" i="2"/>
  <c r="AQ91" i="2"/>
  <c r="AQ98" i="2" s="1"/>
  <c r="AP91" i="2"/>
  <c r="AO91" i="2"/>
  <c r="AN91" i="2"/>
  <c r="AM91" i="2"/>
  <c r="AL91" i="2"/>
  <c r="I91" i="2" s="1"/>
  <c r="AK91" i="2"/>
  <c r="AJ91" i="2"/>
  <c r="AI91" i="2"/>
  <c r="AI98" i="2" s="1"/>
  <c r="AH91" i="2"/>
  <c r="AH98" i="2" s="1"/>
  <c r="AG91" i="2"/>
  <c r="AF91" i="2"/>
  <c r="AE91" i="2"/>
  <c r="AE98" i="2" s="1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I89" i="2" s="1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K89" i="2" s="1"/>
  <c r="V89" i="2"/>
  <c r="U89" i="2"/>
  <c r="T89" i="2"/>
  <c r="S89" i="2"/>
  <c r="R89" i="2"/>
  <c r="Q89" i="2"/>
  <c r="P89" i="2"/>
  <c r="O89" i="2"/>
  <c r="N89" i="2"/>
  <c r="AR88" i="2"/>
  <c r="I88" i="2" s="1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K88" i="2"/>
  <c r="E88" i="2"/>
  <c r="AR87" i="2"/>
  <c r="I87" i="2" s="1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H86" i="2" s="1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Q85" i="2"/>
  <c r="AQ100" i="2" s="1"/>
  <c r="AM85" i="2"/>
  <c r="AM100" i="2" s="1"/>
  <c r="AI85" i="2"/>
  <c r="AI100" i="2" s="1"/>
  <c r="AH85" i="2"/>
  <c r="AG85" i="2"/>
  <c r="T85" i="2"/>
  <c r="T100" i="2" s="1"/>
  <c r="S85" i="2"/>
  <c r="S100" i="2" s="1"/>
  <c r="R85" i="2"/>
  <c r="Q85" i="2"/>
  <c r="P85" i="2"/>
  <c r="P100" i="2" s="1"/>
  <c r="O85" i="2"/>
  <c r="AR84" i="2"/>
  <c r="AR85" i="2" s="1"/>
  <c r="AR100" i="2" s="1"/>
  <c r="AQ84" i="2"/>
  <c r="AP84" i="2"/>
  <c r="AO84" i="2"/>
  <c r="AN84" i="2"/>
  <c r="AM84" i="2"/>
  <c r="AL84" i="2"/>
  <c r="AK84" i="2"/>
  <c r="AJ84" i="2"/>
  <c r="AJ85" i="2" s="1"/>
  <c r="AJ100" i="2" s="1"/>
  <c r="AI84" i="2"/>
  <c r="AH84" i="2"/>
  <c r="AG84" i="2"/>
  <c r="AF84" i="2"/>
  <c r="AE84" i="2"/>
  <c r="AD84" i="2"/>
  <c r="AC84" i="2"/>
  <c r="AB84" i="2"/>
  <c r="AA84" i="2"/>
  <c r="Z84" i="2"/>
  <c r="K84" i="2"/>
  <c r="I84" i="2"/>
  <c r="E84" i="2"/>
  <c r="AR83" i="2"/>
  <c r="AQ83" i="2"/>
  <c r="AP83" i="2"/>
  <c r="AO83" i="2"/>
  <c r="AN83" i="2"/>
  <c r="AM83" i="2"/>
  <c r="AL83" i="2"/>
  <c r="I83" i="2" s="1"/>
  <c r="AK83" i="2"/>
  <c r="AJ83" i="2"/>
  <c r="AI83" i="2"/>
  <c r="AH83" i="2"/>
  <c r="AG83" i="2"/>
  <c r="AF83" i="2"/>
  <c r="AE83" i="2"/>
  <c r="AE85" i="2" s="1"/>
  <c r="AD83" i="2"/>
  <c r="AC83" i="2"/>
  <c r="AB83" i="2"/>
  <c r="AA83" i="2"/>
  <c r="Z83" i="2"/>
  <c r="AR82" i="2"/>
  <c r="AQ82" i="2"/>
  <c r="AP82" i="2"/>
  <c r="AP85" i="2" s="1"/>
  <c r="AO82" i="2"/>
  <c r="AN82" i="2"/>
  <c r="AM82" i="2"/>
  <c r="AL82" i="2"/>
  <c r="AL85" i="2" s="1"/>
  <c r="AK82" i="2"/>
  <c r="AJ82" i="2"/>
  <c r="AI82" i="2"/>
  <c r="AH82" i="2"/>
  <c r="AG82" i="2"/>
  <c r="AF82" i="2"/>
  <c r="AE82" i="2"/>
  <c r="AD82" i="2"/>
  <c r="AC82" i="2"/>
  <c r="AB82" i="2"/>
  <c r="AA82" i="2"/>
  <c r="AA85" i="2" s="1"/>
  <c r="AA100" i="2" s="1"/>
  <c r="Z82" i="2"/>
  <c r="Z85" i="2" s="1"/>
  <c r="Y82" i="2"/>
  <c r="X82" i="2"/>
  <c r="X85" i="2" s="1"/>
  <c r="X100" i="2" s="1"/>
  <c r="W82" i="2"/>
  <c r="W85" i="2" s="1"/>
  <c r="W100" i="2" s="1"/>
  <c r="V82" i="2"/>
  <c r="V85" i="2" s="1"/>
  <c r="U82" i="2"/>
  <c r="T82" i="2"/>
  <c r="S82" i="2"/>
  <c r="R82" i="2"/>
  <c r="Q82" i="2"/>
  <c r="P82" i="2"/>
  <c r="O82" i="2"/>
  <c r="N82" i="2"/>
  <c r="N85" i="2" s="1"/>
  <c r="N100" i="2" s="1"/>
  <c r="I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H80" i="2" s="1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H78" i="2" s="1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I77" i="2" s="1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H76" i="2" s="1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K76" i="2"/>
  <c r="AR75" i="2"/>
  <c r="AQ75" i="2"/>
  <c r="AP75" i="2"/>
  <c r="AO75" i="2"/>
  <c r="AN75" i="2"/>
  <c r="AM75" i="2"/>
  <c r="AL75" i="2"/>
  <c r="I75" i="2" s="1"/>
  <c r="K75" i="2"/>
  <c r="H75" i="2"/>
  <c r="AR74" i="2"/>
  <c r="AQ74" i="2"/>
  <c r="AP74" i="2"/>
  <c r="AO74" i="2"/>
  <c r="AN74" i="2"/>
  <c r="AM74" i="2"/>
  <c r="AL74" i="2"/>
  <c r="I74" i="2" s="1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K74" i="2" s="1"/>
  <c r="U74" i="2"/>
  <c r="T74" i="2"/>
  <c r="S74" i="2"/>
  <c r="R74" i="2"/>
  <c r="Q74" i="2"/>
  <c r="P74" i="2"/>
  <c r="O74" i="2"/>
  <c r="N74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H73" i="2" s="1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I73" i="2"/>
  <c r="Y72" i="2"/>
  <c r="X72" i="2"/>
  <c r="W72" i="2"/>
  <c r="V72" i="2"/>
  <c r="X65" i="11" s="1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AN70" i="2"/>
  <c r="AM70" i="2"/>
  <c r="AL70" i="2"/>
  <c r="I70" i="2" s="1"/>
  <c r="AK70" i="2"/>
  <c r="AJ70" i="2"/>
  <c r="AI70" i="2"/>
  <c r="AH70" i="2"/>
  <c r="AG70" i="2"/>
  <c r="AF70" i="2"/>
  <c r="K70" i="2" s="1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E70" i="2" s="1"/>
  <c r="AL69" i="2"/>
  <c r="AJ69" i="2"/>
  <c r="AH69" i="2"/>
  <c r="AG69" i="2"/>
  <c r="R69" i="2"/>
  <c r="AR68" i="2"/>
  <c r="AQ68" i="2"/>
  <c r="AP68" i="2"/>
  <c r="AP69" i="2" s="1"/>
  <c r="AO68" i="2"/>
  <c r="AO69" i="2" s="1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Z69" i="2" s="1"/>
  <c r="Y68" i="2"/>
  <c r="Y69" i="2" s="1"/>
  <c r="X68" i="2"/>
  <c r="W68" i="2"/>
  <c r="V68" i="2"/>
  <c r="K68" i="2" s="1"/>
  <c r="U68" i="2"/>
  <c r="T68" i="2"/>
  <c r="S68" i="2"/>
  <c r="R68" i="2"/>
  <c r="Q68" i="2"/>
  <c r="P68" i="2"/>
  <c r="O68" i="2"/>
  <c r="N68" i="2"/>
  <c r="E68" i="2" s="1"/>
  <c r="I68" i="2"/>
  <c r="H68" i="2"/>
  <c r="AR67" i="2"/>
  <c r="AR69" i="2" s="1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E69" i="2" s="1"/>
  <c r="AD67" i="2"/>
  <c r="AC67" i="2"/>
  <c r="AB67" i="2"/>
  <c r="AB69" i="2" s="1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O69" i="2" s="1"/>
  <c r="N67" i="2"/>
  <c r="E67" i="2" s="1"/>
  <c r="I67" i="2"/>
  <c r="AR66" i="2"/>
  <c r="AQ66" i="2"/>
  <c r="AQ69" i="2" s="1"/>
  <c r="AP66" i="2"/>
  <c r="AO66" i="2"/>
  <c r="AN66" i="2"/>
  <c r="AM66" i="2"/>
  <c r="AM69" i="2" s="1"/>
  <c r="AL66" i="2"/>
  <c r="AK66" i="2"/>
  <c r="AK69" i="2" s="1"/>
  <c r="AJ66" i="2"/>
  <c r="AI66" i="2"/>
  <c r="AH66" i="2"/>
  <c r="AG66" i="2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W69" i="2" s="1"/>
  <c r="V66" i="2"/>
  <c r="U66" i="2"/>
  <c r="U69" i="2" s="1"/>
  <c r="T66" i="2"/>
  <c r="T69" i="2" s="1"/>
  <c r="S66" i="2"/>
  <c r="S69" i="2" s="1"/>
  <c r="R66" i="2"/>
  <c r="Q66" i="2"/>
  <c r="Q69" i="2" s="1"/>
  <c r="P66" i="2"/>
  <c r="O66" i="2"/>
  <c r="N66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H64" i="2" s="1"/>
  <c r="AB64" i="2"/>
  <c r="AA64" i="2"/>
  <c r="Z64" i="2"/>
  <c r="Y64" i="2"/>
  <c r="X64" i="2"/>
  <c r="W64" i="2"/>
  <c r="V64" i="2"/>
  <c r="U64" i="2"/>
  <c r="E64" i="2" s="1"/>
  <c r="T64" i="2"/>
  <c r="S64" i="2"/>
  <c r="R64" i="2"/>
  <c r="Q64" i="2"/>
  <c r="P64" i="2"/>
  <c r="O64" i="2"/>
  <c r="N64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S96" i="16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AM62" i="2"/>
  <c r="W62" i="2"/>
  <c r="S62" i="2"/>
  <c r="P62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K59" i="2" s="1"/>
  <c r="T59" i="2"/>
  <c r="S59" i="2"/>
  <c r="R59" i="2"/>
  <c r="Q59" i="2"/>
  <c r="P59" i="2"/>
  <c r="O59" i="2"/>
  <c r="O62" i="2" s="1"/>
  <c r="O79" i="2" s="1"/>
  <c r="N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G58" i="2"/>
  <c r="AF58" i="2"/>
  <c r="AE58" i="2"/>
  <c r="AD58" i="2"/>
  <c r="H58" i="2" s="1"/>
  <c r="AC58" i="2"/>
  <c r="AB58" i="2"/>
  <c r="AA58" i="2"/>
  <c r="K58" i="2" s="1"/>
  <c r="Z58" i="2"/>
  <c r="E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F62" i="2" s="1"/>
  <c r="AE57" i="2"/>
  <c r="AD57" i="2"/>
  <c r="AC57" i="2"/>
  <c r="AB57" i="2"/>
  <c r="H57" i="2" s="1"/>
  <c r="AA57" i="2"/>
  <c r="Z57" i="2"/>
  <c r="Y57" i="2"/>
  <c r="X57" i="2"/>
  <c r="W57" i="2"/>
  <c r="V57" i="2"/>
  <c r="U57" i="2"/>
  <c r="T57" i="2"/>
  <c r="T62" i="2" s="1"/>
  <c r="S57" i="2"/>
  <c r="R57" i="2"/>
  <c r="Q57" i="2"/>
  <c r="P57" i="2"/>
  <c r="O57" i="2"/>
  <c r="N57" i="2"/>
  <c r="K57" i="2"/>
  <c r="AR56" i="2"/>
  <c r="AQ56" i="2"/>
  <c r="AP56" i="2"/>
  <c r="AO56" i="2"/>
  <c r="AN56" i="2"/>
  <c r="AM56" i="2"/>
  <c r="AL56" i="2"/>
  <c r="AK56" i="2"/>
  <c r="AK62" i="2" s="1"/>
  <c r="AJ56" i="2"/>
  <c r="AJ62" i="2" s="1"/>
  <c r="AI56" i="2"/>
  <c r="AI62" i="2" s="1"/>
  <c r="AH56" i="2"/>
  <c r="AH62" i="2" s="1"/>
  <c r="AG56" i="2"/>
  <c r="AF56" i="2"/>
  <c r="AE56" i="2"/>
  <c r="AD56" i="2"/>
  <c r="AC56" i="2"/>
  <c r="AB56" i="2"/>
  <c r="H56" i="2" s="1"/>
  <c r="AA56" i="2"/>
  <c r="Z56" i="2"/>
  <c r="Y56" i="2"/>
  <c r="Y62" i="2" s="1"/>
  <c r="X56" i="2"/>
  <c r="W56" i="2"/>
  <c r="V56" i="2"/>
  <c r="V62" i="2" s="1"/>
  <c r="U56" i="2"/>
  <c r="T56" i="2"/>
  <c r="S56" i="2"/>
  <c r="R56" i="2"/>
  <c r="R62" i="2" s="1"/>
  <c r="R79" i="2" s="1"/>
  <c r="R101" i="2" s="1"/>
  <c r="Q56" i="2"/>
  <c r="P56" i="2"/>
  <c r="O56" i="2"/>
  <c r="N56" i="2"/>
  <c r="AR55" i="2"/>
  <c r="AQ55" i="2"/>
  <c r="AQ62" i="2" s="1"/>
  <c r="AP55" i="2"/>
  <c r="AP62" i="2" s="1"/>
  <c r="AO55" i="2"/>
  <c r="AN55" i="2"/>
  <c r="AM55" i="2"/>
  <c r="AL55" i="2"/>
  <c r="AK55" i="2"/>
  <c r="AJ55" i="2"/>
  <c r="AI55" i="2"/>
  <c r="AH55" i="2"/>
  <c r="AG55" i="2"/>
  <c r="AF55" i="2"/>
  <c r="AE55" i="2"/>
  <c r="AE62" i="2" s="1"/>
  <c r="AD55" i="2"/>
  <c r="AC55" i="2"/>
  <c r="AB55" i="2"/>
  <c r="AA55" i="2"/>
  <c r="AA62" i="2" s="1"/>
  <c r="Z55" i="2"/>
  <c r="H55" i="2"/>
  <c r="E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K53" i="2" s="1"/>
  <c r="AD53" i="2"/>
  <c r="AC53" i="2"/>
  <c r="AB53" i="2"/>
  <c r="AA53" i="2"/>
  <c r="Z53" i="2"/>
  <c r="I53" i="2"/>
  <c r="E53" i="2"/>
  <c r="AR52" i="2"/>
  <c r="AQ52" i="2"/>
  <c r="AP52" i="2"/>
  <c r="AO52" i="2"/>
  <c r="AN52" i="2"/>
  <c r="I52" i="2" s="1"/>
  <c r="AM52" i="2"/>
  <c r="AL52" i="2"/>
  <c r="K52" i="2"/>
  <c r="H52" i="2"/>
  <c r="E52" i="2"/>
  <c r="AR51" i="2"/>
  <c r="AQ51" i="2"/>
  <c r="AP51" i="2"/>
  <c r="AO51" i="2"/>
  <c r="AN51" i="2"/>
  <c r="AM51" i="2"/>
  <c r="AM79" i="2" s="1"/>
  <c r="AM101" i="2" s="1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T79" i="2" s="1"/>
  <c r="T101" i="2" s="1"/>
  <c r="S51" i="2"/>
  <c r="R51" i="2"/>
  <c r="Q51" i="2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Q45" i="2"/>
  <c r="AP45" i="2"/>
  <c r="AO45" i="2"/>
  <c r="AN45" i="2"/>
  <c r="AM45" i="2"/>
  <c r="AL45" i="2"/>
  <c r="I45" i="2" s="1"/>
  <c r="AK45" i="2"/>
  <c r="AJ45" i="2"/>
  <c r="AL65" i="11" s="1"/>
  <c r="AI45" i="2"/>
  <c r="AH45" i="2"/>
  <c r="AG45" i="2"/>
  <c r="AF45" i="2"/>
  <c r="AE45" i="2"/>
  <c r="AD45" i="2"/>
  <c r="AC45" i="2"/>
  <c r="AB45" i="2"/>
  <c r="AA45" i="2"/>
  <c r="Z45" i="2"/>
  <c r="K45" i="2"/>
  <c r="H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AB44" i="2"/>
  <c r="AA44" i="2"/>
  <c r="H44" i="2" s="1"/>
  <c r="Z44" i="2"/>
  <c r="Y44" i="2"/>
  <c r="X44" i="2"/>
  <c r="W44" i="2"/>
  <c r="V44" i="2"/>
  <c r="K44" i="2" s="1"/>
  <c r="U44" i="2"/>
  <c r="T44" i="2"/>
  <c r="S44" i="2"/>
  <c r="R44" i="2"/>
  <c r="Q44" i="2"/>
  <c r="P44" i="2"/>
  <c r="O44" i="2"/>
  <c r="N44" i="2"/>
  <c r="E44" i="2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Q42" i="2"/>
  <c r="AP42" i="2"/>
  <c r="AO42" i="2"/>
  <c r="AN42" i="2"/>
  <c r="I42" i="2" s="1"/>
  <c r="AM42" i="2"/>
  <c r="AL42" i="2"/>
  <c r="AK42" i="2"/>
  <c r="AJ42" i="2"/>
  <c r="AI42" i="2"/>
  <c r="AH42" i="2"/>
  <c r="AG42" i="2"/>
  <c r="AF42" i="2"/>
  <c r="AE42" i="2"/>
  <c r="AD42" i="2"/>
  <c r="AC42" i="2"/>
  <c r="H42" i="2" s="1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AR41" i="2"/>
  <c r="AQ41" i="2"/>
  <c r="AP41" i="2"/>
  <c r="AO41" i="2"/>
  <c r="AN41" i="2"/>
  <c r="I41" i="2" s="1"/>
  <c r="AM41" i="2"/>
  <c r="AL41" i="2"/>
  <c r="AK41" i="2"/>
  <c r="AJ41" i="2"/>
  <c r="AI41" i="2"/>
  <c r="AH41" i="2"/>
  <c r="AG41" i="2"/>
  <c r="AF41" i="2"/>
  <c r="AE41" i="2"/>
  <c r="AD41" i="2"/>
  <c r="AC41" i="2"/>
  <c r="AB41" i="2"/>
  <c r="H41" i="2" s="1"/>
  <c r="AA41" i="2"/>
  <c r="Z41" i="2"/>
  <c r="Y41" i="2"/>
  <c r="X41" i="2"/>
  <c r="K41" i="2" s="1"/>
  <c r="W41" i="2"/>
  <c r="V41" i="2"/>
  <c r="U41" i="2"/>
  <c r="T41" i="2"/>
  <c r="S41" i="2"/>
  <c r="R41" i="2"/>
  <c r="Q41" i="2"/>
  <c r="P41" i="2"/>
  <c r="O41" i="2"/>
  <c r="N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I60" i="11" s="1"/>
  <c r="AF40" i="2"/>
  <c r="AE40" i="2"/>
  <c r="AD40" i="2"/>
  <c r="AC40" i="2"/>
  <c r="AB40" i="2"/>
  <c r="AA40" i="2"/>
  <c r="Z40" i="2"/>
  <c r="I40" i="2"/>
  <c r="E40" i="2"/>
  <c r="AK39" i="2"/>
  <c r="AB39" i="2"/>
  <c r="X39" i="2"/>
  <c r="V39" i="2"/>
  <c r="T39" i="2"/>
  <c r="AR38" i="2"/>
  <c r="AQ38" i="2"/>
  <c r="AP38" i="2"/>
  <c r="AO38" i="2"/>
  <c r="AN38" i="2"/>
  <c r="AM38" i="2"/>
  <c r="AL38" i="2"/>
  <c r="K38" i="2"/>
  <c r="H38" i="2"/>
  <c r="E38" i="2"/>
  <c r="AR37" i="2"/>
  <c r="AQ37" i="2"/>
  <c r="AP37" i="2"/>
  <c r="AO37" i="2"/>
  <c r="AD103" i="16" s="1"/>
  <c r="AN37" i="2"/>
  <c r="AM37" i="2"/>
  <c r="AL37" i="2"/>
  <c r="I37" i="2" s="1"/>
  <c r="AK37" i="2"/>
  <c r="Z103" i="16" s="1"/>
  <c r="AJ37" i="2"/>
  <c r="AI37" i="2"/>
  <c r="AH37" i="2"/>
  <c r="AG37" i="2"/>
  <c r="AF37" i="2"/>
  <c r="AE37" i="2"/>
  <c r="AD37" i="2"/>
  <c r="AC37" i="2"/>
  <c r="H37" i="2" s="1"/>
  <c r="AB37" i="2"/>
  <c r="AA37" i="2"/>
  <c r="Z37" i="2"/>
  <c r="Y37" i="2"/>
  <c r="N103" i="16" s="1"/>
  <c r="X37" i="2"/>
  <c r="W37" i="2"/>
  <c r="V37" i="2"/>
  <c r="U37" i="2"/>
  <c r="T37" i="2"/>
  <c r="S37" i="2"/>
  <c r="R37" i="2"/>
  <c r="Q37" i="2"/>
  <c r="P37" i="2"/>
  <c r="O37" i="2"/>
  <c r="N37" i="2"/>
  <c r="E37" i="2" s="1"/>
  <c r="AR36" i="2"/>
  <c r="AQ36" i="2"/>
  <c r="AP36" i="2"/>
  <c r="I36" i="2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D39" i="2" s="1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E36" i="2" s="1"/>
  <c r="AR35" i="2"/>
  <c r="AQ35" i="2"/>
  <c r="AP35" i="2"/>
  <c r="AP39" i="2" s="1"/>
  <c r="AO35" i="2"/>
  <c r="AN35" i="2"/>
  <c r="AM35" i="2"/>
  <c r="AL35" i="2"/>
  <c r="AK35" i="2"/>
  <c r="AJ35" i="2"/>
  <c r="AI35" i="2"/>
  <c r="AH35" i="2"/>
  <c r="AH39" i="2" s="1"/>
  <c r="AG35" i="2"/>
  <c r="AF35" i="2"/>
  <c r="AF39" i="2" s="1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R39" i="2" s="1"/>
  <c r="Q35" i="2"/>
  <c r="P35" i="2"/>
  <c r="P39" i="2" s="1"/>
  <c r="O35" i="2"/>
  <c r="E35" i="2" s="1"/>
  <c r="N35" i="2"/>
  <c r="AR34" i="2"/>
  <c r="AQ34" i="2"/>
  <c r="AQ39" i="2" s="1"/>
  <c r="AP34" i="2"/>
  <c r="AO34" i="2"/>
  <c r="AN34" i="2"/>
  <c r="AN39" i="2" s="1"/>
  <c r="AM34" i="2"/>
  <c r="AL34" i="2"/>
  <c r="AK34" i="2"/>
  <c r="AJ34" i="2"/>
  <c r="AJ39" i="2" s="1"/>
  <c r="AI34" i="2"/>
  <c r="AH34" i="2"/>
  <c r="AG34" i="2"/>
  <c r="AG39" i="2" s="1"/>
  <c r="AF34" i="2"/>
  <c r="AE34" i="2"/>
  <c r="AD34" i="2"/>
  <c r="AC34" i="2"/>
  <c r="AC39" i="2" s="1"/>
  <c r="AB34" i="2"/>
  <c r="AA34" i="2"/>
  <c r="AA39" i="2" s="1"/>
  <c r="Z34" i="2"/>
  <c r="Y34" i="2"/>
  <c r="X34" i="2"/>
  <c r="W34" i="2"/>
  <c r="V34" i="2"/>
  <c r="U34" i="2"/>
  <c r="K34" i="2" s="1"/>
  <c r="T34" i="2"/>
  <c r="S34" i="2"/>
  <c r="R34" i="2"/>
  <c r="Q34" i="2"/>
  <c r="Q39" i="2" s="1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K32" i="2" s="1"/>
  <c r="AA32" i="2"/>
  <c r="Z32" i="2"/>
  <c r="E32" i="2"/>
  <c r="AR31" i="2"/>
  <c r="AQ31" i="2"/>
  <c r="AQ47" i="2" s="1"/>
  <c r="AP31" i="2"/>
  <c r="AP47" i="2" s="1"/>
  <c r="AO31" i="2"/>
  <c r="AN31" i="2"/>
  <c r="AM31" i="2"/>
  <c r="AL31" i="2"/>
  <c r="AK31" i="2"/>
  <c r="AJ31" i="2"/>
  <c r="AI31" i="2"/>
  <c r="AH31" i="2"/>
  <c r="AH47" i="2" s="1"/>
  <c r="AG31" i="2"/>
  <c r="AF31" i="2"/>
  <c r="AE31" i="2"/>
  <c r="AD31" i="2"/>
  <c r="AC31" i="2"/>
  <c r="AB31" i="2"/>
  <c r="AA31" i="2"/>
  <c r="Z31" i="2"/>
  <c r="Y31" i="2"/>
  <c r="X31" i="2"/>
  <c r="W31" i="2"/>
  <c r="V31" i="2"/>
  <c r="V47" i="2" s="1"/>
  <c r="U31" i="2"/>
  <c r="T31" i="2"/>
  <c r="S31" i="2"/>
  <c r="R31" i="2"/>
  <c r="R47" i="2" s="1"/>
  <c r="Q31" i="2"/>
  <c r="Q47" i="2" s="1"/>
  <c r="P31" i="2"/>
  <c r="O31" i="2"/>
  <c r="N31" i="2"/>
  <c r="AR28" i="2"/>
  <c r="AA28" i="2"/>
  <c r="N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L26" i="2"/>
  <c r="AA48" i="10" s="1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K48" i="10" s="1"/>
  <c r="U26" i="2"/>
  <c r="J48" i="10" s="1"/>
  <c r="T26" i="2"/>
  <c r="I48" i="10" s="1"/>
  <c r="S26" i="2"/>
  <c r="R26" i="2"/>
  <c r="G48" i="10" s="1"/>
  <c r="Q26" i="2"/>
  <c r="F48" i="10" s="1"/>
  <c r="P26" i="2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K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C51" i="10" s="1"/>
  <c r="C57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X56" i="10" s="1"/>
  <c r="AH23" i="2"/>
  <c r="AG23" i="2"/>
  <c r="V56" i="10" s="1"/>
  <c r="AF23" i="2"/>
  <c r="U56" i="10" s="1"/>
  <c r="AE23" i="2"/>
  <c r="T56" i="10" s="1"/>
  <c r="AD23" i="2"/>
  <c r="AD28" i="2" s="1"/>
  <c r="AC23" i="2"/>
  <c r="R56" i="10" s="1"/>
  <c r="AB23" i="2"/>
  <c r="Q56" i="10" s="1"/>
  <c r="AA23" i="2"/>
  <c r="P56" i="10" s="1"/>
  <c r="Z23" i="2"/>
  <c r="O56" i="10" s="1"/>
  <c r="Y23" i="2"/>
  <c r="N56" i="10" s="1"/>
  <c r="X23" i="2"/>
  <c r="W23" i="2"/>
  <c r="L56" i="10" s="1"/>
  <c r="V23" i="2"/>
  <c r="U23" i="2"/>
  <c r="J56" i="10" s="1"/>
  <c r="T23" i="2"/>
  <c r="I56" i="10" s="1"/>
  <c r="S23" i="2"/>
  <c r="H56" i="10" s="1"/>
  <c r="R23" i="2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AR20" i="2"/>
  <c r="AN20" i="2"/>
  <c r="AM20" i="2"/>
  <c r="AL20" i="2"/>
  <c r="AJ20" i="2"/>
  <c r="AF20" i="2"/>
  <c r="AD20" i="2"/>
  <c r="AC20" i="2"/>
  <c r="AB20" i="2"/>
  <c r="V20" i="2"/>
  <c r="T20" i="2"/>
  <c r="P20" i="2"/>
  <c r="N20" i="2"/>
  <c r="AR19" i="2"/>
  <c r="AG55" i="10" s="1"/>
  <c r="AQ19" i="2"/>
  <c r="AF55" i="10" s="1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P55" i="10" s="1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I18" i="2"/>
  <c r="AI20" i="2" s="1"/>
  <c r="AH18" i="2"/>
  <c r="AH20" i="2" s="1"/>
  <c r="AG18" i="2"/>
  <c r="AF18" i="2"/>
  <c r="AE18" i="2"/>
  <c r="AE20" i="2" s="1"/>
  <c r="AD18" i="2"/>
  <c r="AC18" i="2"/>
  <c r="AB18" i="2"/>
  <c r="AA18" i="2"/>
  <c r="AA20" i="2" s="1"/>
  <c r="Z18" i="2"/>
  <c r="Z20" i="2" s="1"/>
  <c r="Y18" i="2"/>
  <c r="Y20" i="2" s="1"/>
  <c r="X18" i="2"/>
  <c r="X20" i="2" s="1"/>
  <c r="W18" i="2"/>
  <c r="W20" i="2" s="1"/>
  <c r="V18" i="2"/>
  <c r="U18" i="2"/>
  <c r="T18" i="2"/>
  <c r="S18" i="2"/>
  <c r="S20" i="2" s="1"/>
  <c r="R18" i="2"/>
  <c r="R20" i="2" s="1"/>
  <c r="Q18" i="2"/>
  <c r="P18" i="2"/>
  <c r="O18" i="2"/>
  <c r="N18" i="2"/>
  <c r="I18" i="2"/>
  <c r="AN16" i="2"/>
  <c r="AJ16" i="2"/>
  <c r="AD16" i="2"/>
  <c r="X16" i="2"/>
  <c r="T16" i="2"/>
  <c r="N16" i="2"/>
  <c r="AR15" i="2"/>
  <c r="AQ15" i="2"/>
  <c r="AP15" i="2"/>
  <c r="AO15" i="2"/>
  <c r="I15" i="2" s="1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H15" i="2" s="1"/>
  <c r="Z15" i="2"/>
  <c r="Y15" i="2"/>
  <c r="X15" i="2"/>
  <c r="W15" i="2"/>
  <c r="K15" i="2" s="1"/>
  <c r="V15" i="2"/>
  <c r="U15" i="2"/>
  <c r="T15" i="2"/>
  <c r="S15" i="2"/>
  <c r="R15" i="2"/>
  <c r="Q15" i="2"/>
  <c r="P15" i="2"/>
  <c r="O15" i="2"/>
  <c r="N15" i="2"/>
  <c r="E15" i="2" s="1"/>
  <c r="AK14" i="2"/>
  <c r="AJ14" i="2"/>
  <c r="AI14" i="2"/>
  <c r="AH14" i="2"/>
  <c r="AG14" i="2"/>
  <c r="AF14" i="2"/>
  <c r="AE14" i="2"/>
  <c r="AD14" i="2"/>
  <c r="AC14" i="2"/>
  <c r="AB14" i="2"/>
  <c r="AA14" i="2"/>
  <c r="H14" i="2" s="1"/>
  <c r="Z14" i="2"/>
  <c r="Y14" i="2"/>
  <c r="X14" i="2"/>
  <c r="W14" i="2"/>
  <c r="K14" i="2" s="1"/>
  <c r="V14" i="2"/>
  <c r="U14" i="2"/>
  <c r="T14" i="2"/>
  <c r="S14" i="2"/>
  <c r="R14" i="2"/>
  <c r="Q14" i="2"/>
  <c r="P14" i="2"/>
  <c r="O14" i="2"/>
  <c r="E14" i="2" s="1"/>
  <c r="N14" i="2"/>
  <c r="I14" i="2"/>
  <c r="AR13" i="2"/>
  <c r="AR16" i="2" s="1"/>
  <c r="AQ13" i="2"/>
  <c r="AP13" i="2"/>
  <c r="AO13" i="2"/>
  <c r="AN13" i="2"/>
  <c r="AM13" i="2"/>
  <c r="AM16" i="2" s="1"/>
  <c r="AL13" i="2"/>
  <c r="I13" i="2" s="1"/>
  <c r="AK13" i="2"/>
  <c r="AJ13" i="2"/>
  <c r="AI13" i="2"/>
  <c r="AH13" i="2"/>
  <c r="AG13" i="2"/>
  <c r="AF13" i="2"/>
  <c r="AE13" i="2"/>
  <c r="AD13" i="2"/>
  <c r="AC13" i="2"/>
  <c r="AC16" i="2" s="1"/>
  <c r="AB13" i="2"/>
  <c r="AA13" i="2"/>
  <c r="Z13" i="2"/>
  <c r="Y13" i="2"/>
  <c r="X13" i="2"/>
  <c r="W13" i="2"/>
  <c r="W16" i="2" s="1"/>
  <c r="V13" i="2"/>
  <c r="V16" i="2" s="1"/>
  <c r="U13" i="2"/>
  <c r="T13" i="2"/>
  <c r="S13" i="2"/>
  <c r="R13" i="2"/>
  <c r="Q13" i="2"/>
  <c r="P13" i="2"/>
  <c r="O13" i="2"/>
  <c r="N13" i="2"/>
  <c r="K13" i="2"/>
  <c r="AR12" i="2"/>
  <c r="AQ12" i="2"/>
  <c r="AQ16" i="2" s="1"/>
  <c r="AP12" i="2"/>
  <c r="AP16" i="2" s="1"/>
  <c r="AO12" i="2"/>
  <c r="I12" i="2" s="1"/>
  <c r="AN12" i="2"/>
  <c r="AM12" i="2"/>
  <c r="AL12" i="2"/>
  <c r="AK12" i="2"/>
  <c r="AK16" i="2" s="1"/>
  <c r="AJ12" i="2"/>
  <c r="AI12" i="2"/>
  <c r="AI16" i="2" s="1"/>
  <c r="AH12" i="2"/>
  <c r="AH16" i="2" s="1"/>
  <c r="AG12" i="2"/>
  <c r="AG16" i="2" s="1"/>
  <c r="AF12" i="2"/>
  <c r="AF16" i="2" s="1"/>
  <c r="AE12" i="2"/>
  <c r="AE16" i="2" s="1"/>
  <c r="AD12" i="2"/>
  <c r="AC12" i="2"/>
  <c r="AB12" i="2"/>
  <c r="AA12" i="2"/>
  <c r="H12" i="2" s="1"/>
  <c r="Z12" i="2"/>
  <c r="Z16" i="2" s="1"/>
  <c r="Y12" i="2"/>
  <c r="Y16" i="2" s="1"/>
  <c r="X12" i="2"/>
  <c r="W12" i="2"/>
  <c r="V12" i="2"/>
  <c r="U12" i="2"/>
  <c r="T12" i="2"/>
  <c r="S12" i="2"/>
  <c r="S16" i="2" s="1"/>
  <c r="R12" i="2"/>
  <c r="R16" i="2" s="1"/>
  <c r="Q12" i="2"/>
  <c r="Q16" i="2" s="1"/>
  <c r="P12" i="2"/>
  <c r="P16" i="2" s="1"/>
  <c r="O12" i="2"/>
  <c r="O16" i="2" s="1"/>
  <c r="N12" i="2"/>
  <c r="AP10" i="2"/>
  <c r="AM10" i="2"/>
  <c r="AL10" i="2"/>
  <c r="AG10" i="2"/>
  <c r="AF10" i="2"/>
  <c r="AD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N29" i="2" s="1"/>
  <c r="AR9" i="2"/>
  <c r="AQ9" i="2"/>
  <c r="AQ10" i="2" s="1"/>
  <c r="AP9" i="2"/>
  <c r="AO9" i="2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A9" i="2"/>
  <c r="Z9" i="2"/>
  <c r="E9" i="2"/>
  <c r="AR8" i="2"/>
  <c r="AR10" i="2" s="1"/>
  <c r="AQ8" i="2"/>
  <c r="AP8" i="2"/>
  <c r="AO8" i="2"/>
  <c r="AO10" i="2" s="1"/>
  <c r="AN8" i="2"/>
  <c r="AN10" i="2" s="1"/>
  <c r="AM8" i="2"/>
  <c r="AL8" i="2"/>
  <c r="I8" i="2" s="1"/>
  <c r="AK8" i="2"/>
  <c r="AK10" i="2" s="1"/>
  <c r="AJ8" i="2"/>
  <c r="AI8" i="2"/>
  <c r="AI10" i="2" s="1"/>
  <c r="AH8" i="2"/>
  <c r="AH10" i="2" s="1"/>
  <c r="AG8" i="2"/>
  <c r="AF8" i="2"/>
  <c r="AE8" i="2"/>
  <c r="AD8" i="2"/>
  <c r="AC8" i="2"/>
  <c r="AC10" i="2" s="1"/>
  <c r="AB8" i="2"/>
  <c r="AB10" i="2" s="1"/>
  <c r="AA8" i="2"/>
  <c r="Z8" i="2"/>
  <c r="K8" i="2"/>
  <c r="E8" i="2"/>
  <c r="K27" i="19"/>
  <c r="D27" i="19"/>
  <c r="C27" i="19"/>
  <c r="K24" i="19"/>
  <c r="C24" i="19"/>
  <c r="D24" i="19" s="1"/>
  <c r="B24" i="19"/>
  <c r="K23" i="19"/>
  <c r="C23" i="19"/>
  <c r="D23" i="19" s="1"/>
  <c r="B23" i="19"/>
  <c r="K22" i="19"/>
  <c r="C22" i="19" s="1"/>
  <c r="D22" i="19" s="1"/>
  <c r="B22" i="19"/>
  <c r="D21" i="19"/>
  <c r="C21" i="19"/>
  <c r="B21" i="19"/>
  <c r="B10" i="19" s="1"/>
  <c r="K20" i="19"/>
  <c r="C20" i="19"/>
  <c r="D20" i="19" s="1"/>
  <c r="B20" i="19"/>
  <c r="C19" i="19"/>
  <c r="C9" i="19" s="1"/>
  <c r="B19" i="19"/>
  <c r="K18" i="19"/>
  <c r="B18" i="19"/>
  <c r="K17" i="19"/>
  <c r="C17" i="19"/>
  <c r="D17" i="19" s="1"/>
  <c r="B17" i="19"/>
  <c r="D16" i="19"/>
  <c r="C16" i="19"/>
  <c r="B16" i="19"/>
  <c r="B8" i="19" s="1"/>
  <c r="K15" i="19"/>
  <c r="B15" i="19"/>
  <c r="C10" i="19"/>
  <c r="B9" i="19"/>
  <c r="C8" i="19"/>
  <c r="B7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G103" i="16"/>
  <c r="AF103" i="16"/>
  <c r="AE103" i="16"/>
  <c r="AC103" i="16"/>
  <c r="AB103" i="16"/>
  <c r="AA103" i="16"/>
  <c r="Y103" i="16"/>
  <c r="X103" i="16"/>
  <c r="W103" i="16"/>
  <c r="V103" i="16"/>
  <c r="U103" i="16"/>
  <c r="T103" i="16"/>
  <c r="S103" i="16"/>
  <c r="R103" i="16"/>
  <c r="Q103" i="16"/>
  <c r="P103" i="16"/>
  <c r="O103" i="16"/>
  <c r="M103" i="16"/>
  <c r="L103" i="16"/>
  <c r="K103" i="16"/>
  <c r="I103" i="16"/>
  <c r="H103" i="16"/>
  <c r="G103" i="16"/>
  <c r="F103" i="16"/>
  <c r="E103" i="16"/>
  <c r="D103" i="16"/>
  <c r="C103" i="16"/>
  <c r="H102" i="16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E102" i="16" s="1"/>
  <c r="F102" i="16" s="1"/>
  <c r="G102" i="16" s="1"/>
  <c r="AG99" i="16"/>
  <c r="AF99" i="16"/>
  <c r="AE99" i="16"/>
  <c r="AD99" i="16"/>
  <c r="AC99" i="16"/>
  <c r="AA99" i="16"/>
  <c r="Z99" i="16"/>
  <c r="Y99" i="16"/>
  <c r="W99" i="16"/>
  <c r="V99" i="16"/>
  <c r="U99" i="16"/>
  <c r="T99" i="16"/>
  <c r="S99" i="16"/>
  <c r="R99" i="16"/>
  <c r="Q99" i="16"/>
  <c r="P99" i="16"/>
  <c r="O99" i="16"/>
  <c r="N99" i="16"/>
  <c r="M99" i="16"/>
  <c r="K99" i="16"/>
  <c r="J99" i="16"/>
  <c r="I99" i="16"/>
  <c r="G99" i="16"/>
  <c r="F99" i="16"/>
  <c r="E99" i="16"/>
  <c r="D99" i="16"/>
  <c r="C99" i="16"/>
  <c r="E98" i="16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8" i="16"/>
  <c r="AH96" i="16"/>
  <c r="AG96" i="16"/>
  <c r="AF96" i="16"/>
  <c r="AD96" i="16"/>
  <c r="AC96" i="16"/>
  <c r="AB96" i="16"/>
  <c r="AA96" i="16"/>
  <c r="Z96" i="16"/>
  <c r="Y96" i="16"/>
  <c r="X96" i="16"/>
  <c r="W96" i="16"/>
  <c r="V96" i="16"/>
  <c r="U96" i="16"/>
  <c r="T96" i="16"/>
  <c r="R96" i="16"/>
  <c r="Q96" i="16"/>
  <c r="P96" i="16"/>
  <c r="N96" i="16"/>
  <c r="M96" i="16"/>
  <c r="L96" i="16"/>
  <c r="K96" i="16"/>
  <c r="J96" i="16"/>
  <c r="I96" i="16"/>
  <c r="H96" i="16"/>
  <c r="G96" i="16"/>
  <c r="F96" i="16"/>
  <c r="E96" i="16"/>
  <c r="D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AT65" i="11"/>
  <c r="AS65" i="11"/>
  <c r="AR65" i="11"/>
  <c r="AO65" i="11"/>
  <c r="AN65" i="11"/>
  <c r="AM65" i="11"/>
  <c r="AK65" i="11"/>
  <c r="AI65" i="11"/>
  <c r="AG65" i="11"/>
  <c r="AF65" i="11"/>
  <c r="AE65" i="11"/>
  <c r="AD65" i="11"/>
  <c r="AB65" i="11"/>
  <c r="Y65" i="11"/>
  <c r="W65" i="11"/>
  <c r="V65" i="11"/>
  <c r="U65" i="11"/>
  <c r="T65" i="11"/>
  <c r="S65" i="11"/>
  <c r="Q65" i="11"/>
  <c r="P65" i="11"/>
  <c r="AT64" i="11"/>
  <c r="AS64" i="11"/>
  <c r="AR64" i="11"/>
  <c r="AQ64" i="11"/>
  <c r="AP64" i="11"/>
  <c r="AO64" i="11"/>
  <c r="AN64" i="11"/>
  <c r="AM64" i="11"/>
  <c r="AL64" i="11"/>
  <c r="AK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T63" i="11"/>
  <c r="AS63" i="11"/>
  <c r="AR63" i="11"/>
  <c r="AQ63" i="11"/>
  <c r="AP63" i="11"/>
  <c r="AO63" i="11"/>
  <c r="AN63" i="11"/>
  <c r="AM63" i="11"/>
  <c r="AK63" i="11"/>
  <c r="AJ63" i="11"/>
  <c r="AI63" i="11"/>
  <c r="AG63" i="11"/>
  <c r="AF63" i="11"/>
  <c r="AE63" i="11"/>
  <c r="AD63" i="11"/>
  <c r="AC63" i="11"/>
  <c r="AB63" i="11"/>
  <c r="AA63" i="11"/>
  <c r="Z63" i="11"/>
  <c r="Y63" i="11"/>
  <c r="X63" i="11"/>
  <c r="W63" i="11"/>
  <c r="U63" i="11"/>
  <c r="T63" i="11"/>
  <c r="S63" i="11"/>
  <c r="Q63" i="11"/>
  <c r="P63" i="11"/>
  <c r="AT62" i="11"/>
  <c r="AT77" i="11" s="1"/>
  <c r="AS62" i="11"/>
  <c r="AS77" i="11" s="1"/>
  <c r="AR62" i="11"/>
  <c r="AR77" i="11" s="1"/>
  <c r="AQ62" i="11"/>
  <c r="AQ77" i="11" s="1"/>
  <c r="AP62" i="11"/>
  <c r="AP77" i="11" s="1"/>
  <c r="AO62" i="11"/>
  <c r="AO77" i="11" s="1"/>
  <c r="AN62" i="11"/>
  <c r="AN77" i="11" s="1"/>
  <c r="AM62" i="11"/>
  <c r="AM77" i="11" s="1"/>
  <c r="AL62" i="11"/>
  <c r="AL77" i="11" s="1"/>
  <c r="AK62" i="11"/>
  <c r="AK77" i="11" s="1"/>
  <c r="AJ62" i="11"/>
  <c r="AJ77" i="11" s="1"/>
  <c r="AI62" i="11"/>
  <c r="AI77" i="11" s="1"/>
  <c r="AH62" i="11"/>
  <c r="AH77" i="11" s="1"/>
  <c r="AG62" i="11"/>
  <c r="AG77" i="11" s="1"/>
  <c r="AF62" i="11"/>
  <c r="AF77" i="11" s="1"/>
  <c r="AE62" i="11"/>
  <c r="AE77" i="11" s="1"/>
  <c r="AD62" i="11"/>
  <c r="AD77" i="11" s="1"/>
  <c r="AC62" i="11"/>
  <c r="AC77" i="11" s="1"/>
  <c r="AB62" i="11"/>
  <c r="AB77" i="11" s="1"/>
  <c r="AA62" i="11"/>
  <c r="AA77" i="11" s="1"/>
  <c r="Z62" i="11"/>
  <c r="Z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R62" i="11"/>
  <c r="R77" i="11" s="1"/>
  <c r="Q62" i="11"/>
  <c r="Q77" i="11" s="1"/>
  <c r="P62" i="11"/>
  <c r="AT61" i="11"/>
  <c r="AT83" i="11" s="1"/>
  <c r="AS61" i="11"/>
  <c r="AS83" i="11" s="1"/>
  <c r="AR61" i="11"/>
  <c r="AR83" i="11" s="1"/>
  <c r="AQ61" i="11"/>
  <c r="AQ83" i="11" s="1"/>
  <c r="AP61" i="11"/>
  <c r="AP83" i="11" s="1"/>
  <c r="AO61" i="11"/>
  <c r="AO83" i="11" s="1"/>
  <c r="AN61" i="11"/>
  <c r="AN83" i="11" s="1"/>
  <c r="AM61" i="11"/>
  <c r="AM83" i="11" s="1"/>
  <c r="AL61" i="11"/>
  <c r="AL83" i="11" s="1"/>
  <c r="AK61" i="11"/>
  <c r="AK83" i="11" s="1"/>
  <c r="AJ61" i="11"/>
  <c r="AJ83" i="11" s="1"/>
  <c r="AI61" i="11"/>
  <c r="AI83" i="11" s="1"/>
  <c r="AH61" i="11"/>
  <c r="AH83" i="11" s="1"/>
  <c r="AG61" i="11"/>
  <c r="AG83" i="11" s="1"/>
  <c r="AF61" i="11"/>
  <c r="AF83" i="11" s="1"/>
  <c r="AE61" i="11"/>
  <c r="AE83" i="11" s="1"/>
  <c r="AD61" i="11"/>
  <c r="AD83" i="11" s="1"/>
  <c r="AC61" i="11"/>
  <c r="AC83" i="11" s="1"/>
  <c r="AB61" i="11"/>
  <c r="AB83" i="11" s="1"/>
  <c r="AA61" i="11"/>
  <c r="AA83" i="11" s="1"/>
  <c r="Z61" i="11"/>
  <c r="Z83" i="11" s="1"/>
  <c r="Y61" i="11"/>
  <c r="Y83" i="11" s="1"/>
  <c r="X61" i="11"/>
  <c r="X83" i="11" s="1"/>
  <c r="W61" i="11"/>
  <c r="W83" i="11" s="1"/>
  <c r="V61" i="11"/>
  <c r="V83" i="11" s="1"/>
  <c r="U61" i="11"/>
  <c r="U83" i="11" s="1"/>
  <c r="T61" i="11"/>
  <c r="T83" i="11" s="1"/>
  <c r="S61" i="11"/>
  <c r="S83" i="11" s="1"/>
  <c r="R61" i="11"/>
  <c r="R83" i="11" s="1"/>
  <c r="Q61" i="11"/>
  <c r="Q83" i="11" s="1"/>
  <c r="P61" i="11"/>
  <c r="P83" i="11" s="1"/>
  <c r="AT60" i="11"/>
  <c r="C160" i="11" s="1"/>
  <c r="K60" i="11" s="1"/>
  <c r="AS60" i="11"/>
  <c r="AR60" i="11"/>
  <c r="AQ60" i="11"/>
  <c r="AP60" i="11"/>
  <c r="AO60" i="11"/>
  <c r="AN60" i="11"/>
  <c r="AM60" i="11"/>
  <c r="AL60" i="11"/>
  <c r="AK60" i="11"/>
  <c r="AJ60" i="11"/>
  <c r="AH60" i="11"/>
  <c r="AG60" i="11"/>
  <c r="AF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6" i="11" s="1"/>
  <c r="AS58" i="11"/>
  <c r="AS76" i="11" s="1"/>
  <c r="AR58" i="11"/>
  <c r="AR76" i="11" s="1"/>
  <c r="AQ58" i="11"/>
  <c r="AQ76" i="11" s="1"/>
  <c r="AP58" i="11"/>
  <c r="AP76" i="11" s="1"/>
  <c r="AO58" i="11"/>
  <c r="AO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G58" i="11"/>
  <c r="AG76" i="11" s="1"/>
  <c r="AF58" i="11"/>
  <c r="AF76" i="11" s="1"/>
  <c r="AE58" i="11"/>
  <c r="AE76" i="11" s="1"/>
  <c r="AD58" i="11"/>
  <c r="AD76" i="11" s="1"/>
  <c r="AC58" i="11"/>
  <c r="AC76" i="11" s="1"/>
  <c r="AB58" i="11"/>
  <c r="AB76" i="11" s="1"/>
  <c r="AA58" i="11"/>
  <c r="AA76" i="11" s="1"/>
  <c r="Z58" i="11"/>
  <c r="Z76" i="11" s="1"/>
  <c r="Y58" i="11"/>
  <c r="Y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Q58" i="11"/>
  <c r="Q76" i="11" s="1"/>
  <c r="P58" i="11"/>
  <c r="P76" i="11" s="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L56" i="11"/>
  <c r="AL75" i="11" s="1"/>
  <c r="AK56" i="11"/>
  <c r="AK75" i="11" s="1"/>
  <c r="AJ56" i="11"/>
  <c r="AJ75" i="11" s="1"/>
  <c r="AI56" i="11"/>
  <c r="AI75" i="11" s="1"/>
  <c r="AH56" i="11"/>
  <c r="AH75" i="11" s="1"/>
  <c r="AG56" i="11"/>
  <c r="AG75" i="11" s="1"/>
  <c r="AF56" i="11"/>
  <c r="AF75" i="11" s="1"/>
  <c r="AE56" i="11"/>
  <c r="AE75" i="11" s="1"/>
  <c r="AD56" i="11"/>
  <c r="AD75" i="11" s="1"/>
  <c r="AC56" i="11"/>
  <c r="AC75" i="11" s="1"/>
  <c r="AB56" i="11"/>
  <c r="AB75" i="11" s="1"/>
  <c r="AA56" i="11"/>
  <c r="AA75" i="11" s="1"/>
  <c r="Z56" i="11"/>
  <c r="Z75" i="11" s="1"/>
  <c r="Y56" i="11"/>
  <c r="Y75" i="11" s="1"/>
  <c r="X56" i="11"/>
  <c r="X75" i="11" s="1"/>
  <c r="W56" i="11"/>
  <c r="W75" i="11" s="1"/>
  <c r="V56" i="11"/>
  <c r="V75" i="11" s="1"/>
  <c r="U56" i="11"/>
  <c r="U75" i="11" s="1"/>
  <c r="T56" i="11"/>
  <c r="T75" i="11" s="1"/>
  <c r="S56" i="11"/>
  <c r="S75" i="11" s="1"/>
  <c r="R56" i="11"/>
  <c r="R75" i="11" s="1"/>
  <c r="Q56" i="11"/>
  <c r="Q75" i="11" s="1"/>
  <c r="P56" i="11"/>
  <c r="P75" i="11" s="1"/>
  <c r="AT55" i="11"/>
  <c r="S70" i="17" s="1"/>
  <c r="AS55" i="11"/>
  <c r="R70" i="17" s="1"/>
  <c r="AR55" i="11"/>
  <c r="Q70" i="17" s="1"/>
  <c r="AQ55" i="11"/>
  <c r="P70" i="17" s="1"/>
  <c r="AP55" i="11"/>
  <c r="O70" i="17" s="1"/>
  <c r="AO55" i="11"/>
  <c r="N70" i="17" s="1"/>
  <c r="AN55" i="11"/>
  <c r="M70" i="17" s="1"/>
  <c r="AM55" i="11"/>
  <c r="L70" i="17" s="1"/>
  <c r="AL55" i="11"/>
  <c r="K70" i="17" s="1"/>
  <c r="AK55" i="11"/>
  <c r="J70" i="17" s="1"/>
  <c r="AJ55" i="11"/>
  <c r="I70" i="17" s="1"/>
  <c r="AI55" i="11"/>
  <c r="H70" i="17" s="1"/>
  <c r="AH55" i="11"/>
  <c r="G70" i="17" s="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S69" i="17" s="1"/>
  <c r="AS54" i="11"/>
  <c r="R69" i="17" s="1"/>
  <c r="AR54" i="11"/>
  <c r="Q69" i="17" s="1"/>
  <c r="AQ54" i="11"/>
  <c r="P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K54" i="11"/>
  <c r="J69" i="17" s="1"/>
  <c r="AJ54" i="11"/>
  <c r="I69" i="17" s="1"/>
  <c r="AI54" i="11"/>
  <c r="H69" i="17" s="1"/>
  <c r="AH54" i="11"/>
  <c r="G69" i="17" s="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T53" i="11"/>
  <c r="S68" i="17" s="1"/>
  <c r="AS53" i="11"/>
  <c r="R68" i="17" s="1"/>
  <c r="AR53" i="11"/>
  <c r="Q68" i="17" s="1"/>
  <c r="AQ53" i="11"/>
  <c r="P68" i="17" s="1"/>
  <c r="AP53" i="11"/>
  <c r="O68" i="17" s="1"/>
  <c r="AO53" i="11"/>
  <c r="N68" i="17" s="1"/>
  <c r="AN53" i="11"/>
  <c r="M68" i="17" s="1"/>
  <c r="AM53" i="11"/>
  <c r="L68" i="17" s="1"/>
  <c r="AL53" i="11"/>
  <c r="K68" i="17" s="1"/>
  <c r="AK53" i="11"/>
  <c r="J68" i="17" s="1"/>
  <c r="AJ53" i="11"/>
  <c r="I68" i="17" s="1"/>
  <c r="AI53" i="11"/>
  <c r="H68" i="17" s="1"/>
  <c r="AH53" i="11"/>
  <c r="G68" i="17" s="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O52" i="11"/>
  <c r="N67" i="17" s="1"/>
  <c r="AN52" i="11"/>
  <c r="M67" i="17" s="1"/>
  <c r="AM52" i="11"/>
  <c r="L67" i="17" s="1"/>
  <c r="AL52" i="11"/>
  <c r="K67" i="17" s="1"/>
  <c r="AK52" i="11"/>
  <c r="J67" i="17" s="1"/>
  <c r="AJ52" i="11"/>
  <c r="I67" i="17" s="1"/>
  <c r="AI52" i="11"/>
  <c r="H67" i="17" s="1"/>
  <c r="AH52" i="11"/>
  <c r="G67" i="17" s="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T51" i="11"/>
  <c r="S66" i="17" s="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I51" i="11"/>
  <c r="H66" i="17" s="1"/>
  <c r="AH51" i="11"/>
  <c r="G66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5" i="17" s="1"/>
  <c r="AS50" i="11"/>
  <c r="R65" i="17" s="1"/>
  <c r="AR50" i="11"/>
  <c r="Q65" i="17" s="1"/>
  <c r="AQ50" i="11"/>
  <c r="P65" i="17" s="1"/>
  <c r="AP50" i="11"/>
  <c r="O65" i="17" s="1"/>
  <c r="AO50" i="11"/>
  <c r="N65" i="17" s="1"/>
  <c r="AN50" i="11"/>
  <c r="M65" i="17" s="1"/>
  <c r="AM50" i="11"/>
  <c r="L65" i="17" s="1"/>
  <c r="AL50" i="11"/>
  <c r="K65" i="17" s="1"/>
  <c r="AK50" i="11"/>
  <c r="J65" i="17" s="1"/>
  <c r="AJ50" i="11"/>
  <c r="I65" i="17" s="1"/>
  <c r="AI50" i="11"/>
  <c r="H65" i="17" s="1"/>
  <c r="AH50" i="11"/>
  <c r="G65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4" i="17" s="1"/>
  <c r="AS49" i="11"/>
  <c r="AR49" i="11"/>
  <c r="AQ49" i="11"/>
  <c r="AP49" i="11"/>
  <c r="O64" i="17" s="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P44" i="11"/>
  <c r="O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N43" i="11"/>
  <c r="M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P42" i="11"/>
  <c r="AO42" i="11"/>
  <c r="N43" i="17" s="1"/>
  <c r="AN42" i="11"/>
  <c r="AM42" i="11"/>
  <c r="AL42" i="11"/>
  <c r="AK42" i="11"/>
  <c r="J43" i="17" s="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T39" i="11"/>
  <c r="AS39" i="11"/>
  <c r="R16" i="17" s="1"/>
  <c r="AR39" i="11"/>
  <c r="Q16" i="17" s="1"/>
  <c r="AQ39" i="11"/>
  <c r="P16" i="17" s="1"/>
  <c r="AP39" i="11"/>
  <c r="O16" i="17" s="1"/>
  <c r="AO39" i="11"/>
  <c r="N16" i="17" s="1"/>
  <c r="AN39" i="11"/>
  <c r="M16" i="17" s="1"/>
  <c r="AM39" i="11"/>
  <c r="L16" i="17" s="1"/>
  <c r="AL39" i="11"/>
  <c r="K16" i="17" s="1"/>
  <c r="AK39" i="11"/>
  <c r="J16" i="17" s="1"/>
  <c r="AJ39" i="11"/>
  <c r="I16" i="17" s="1"/>
  <c r="AI39" i="11"/>
  <c r="H16" i="17" s="1"/>
  <c r="AH39" i="11"/>
  <c r="G16" i="17" s="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N38" i="11"/>
  <c r="M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7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AT36" i="11"/>
  <c r="AS36" i="11"/>
  <c r="AR36" i="11"/>
  <c r="AQ36" i="11"/>
  <c r="AP36" i="11"/>
  <c r="AO36" i="11"/>
  <c r="AN36" i="11"/>
  <c r="AM36" i="11"/>
  <c r="AL36" i="11"/>
  <c r="K13" i="17" s="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C36" i="11"/>
  <c r="AC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Q35" i="11"/>
  <c r="P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R34" i="11"/>
  <c r="Q11" i="17" s="1"/>
  <c r="AQ34" i="11"/>
  <c r="AP34" i="11"/>
  <c r="AO34" i="11"/>
  <c r="AN34" i="11"/>
  <c r="AM34" i="11"/>
  <c r="AL34" i="11"/>
  <c r="AK34" i="11"/>
  <c r="AJ34" i="11"/>
  <c r="AI34" i="11"/>
  <c r="AH34" i="11"/>
  <c r="AG34" i="11"/>
  <c r="AG100" i="11" s="1"/>
  <c r="AF34" i="11"/>
  <c r="AF100" i="11" s="1"/>
  <c r="AE34" i="11"/>
  <c r="AE100" i="11" s="1"/>
  <c r="AD34" i="11"/>
  <c r="AD100" i="11" s="1"/>
  <c r="AC34" i="11"/>
  <c r="AC100" i="11" s="1"/>
  <c r="AB34" i="11"/>
  <c r="AB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T34" i="11"/>
  <c r="T100" i="11" s="1"/>
  <c r="S34" i="11"/>
  <c r="S100" i="11" s="1"/>
  <c r="R34" i="11"/>
  <c r="R100" i="11" s="1"/>
  <c r="Q34" i="11"/>
  <c r="Q100" i="11" s="1"/>
  <c r="P34" i="11"/>
  <c r="P100" i="11" s="1"/>
  <c r="AT33" i="11"/>
  <c r="C132" i="11" s="1"/>
  <c r="AS33" i="11"/>
  <c r="R10" i="17" s="1"/>
  <c r="AR33" i="11"/>
  <c r="Q10" i="17" s="1"/>
  <c r="AQ33" i="11"/>
  <c r="P10" i="17" s="1"/>
  <c r="AP33" i="11"/>
  <c r="O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R9" i="17" s="1"/>
  <c r="AR32" i="11"/>
  <c r="Q9" i="17" s="1"/>
  <c r="AQ32" i="11"/>
  <c r="P9" i="17" s="1"/>
  <c r="AP32" i="11"/>
  <c r="O9" i="17" s="1"/>
  <c r="AO32" i="11"/>
  <c r="N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T31" i="11"/>
  <c r="AS31" i="11"/>
  <c r="R8" i="17" s="1"/>
  <c r="AR31" i="11"/>
  <c r="Q8" i="17" s="1"/>
  <c r="AQ31" i="11"/>
  <c r="P8" i="17" s="1"/>
  <c r="AP31" i="11"/>
  <c r="O8" i="17" s="1"/>
  <c r="AO31" i="11"/>
  <c r="N8" i="17" s="1"/>
  <c r="AN31" i="11"/>
  <c r="M8" i="17" s="1"/>
  <c r="AM31" i="11"/>
  <c r="L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Q19" i="11"/>
  <c r="AP19" i="11"/>
  <c r="AO19" i="11"/>
  <c r="AN19" i="11"/>
  <c r="AM19" i="11"/>
  <c r="AK19" i="11"/>
  <c r="AJ19" i="11"/>
  <c r="AI19" i="11"/>
  <c r="AH19" i="11"/>
  <c r="AH28" i="11" s="1"/>
  <c r="AG19" i="11"/>
  <c r="AG28" i="11" s="1"/>
  <c r="AF19" i="11"/>
  <c r="AF28" i="11" s="1"/>
  <c r="AE19" i="11"/>
  <c r="AE28" i="11" s="1"/>
  <c r="AD19" i="11"/>
  <c r="AD28" i="11" s="1"/>
  <c r="AC19" i="11"/>
  <c r="AC28" i="11" s="1"/>
  <c r="AB19" i="11"/>
  <c r="AB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AK18" i="11"/>
  <c r="I19" i="9" s="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M17" i="11"/>
  <c r="K18" i="9" s="1"/>
  <c r="AL17" i="11"/>
  <c r="J18" i="9" s="1"/>
  <c r="AK17" i="11"/>
  <c r="I18" i="9" s="1"/>
  <c r="AJ17" i="11"/>
  <c r="H18" i="9" s="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G10" i="11"/>
  <c r="AG99" i="11" s="1"/>
  <c r="AF10" i="11"/>
  <c r="AF99" i="11" s="1"/>
  <c r="AE10" i="11"/>
  <c r="AE99" i="11" s="1"/>
  <c r="AD10" i="11"/>
  <c r="AD99" i="11" s="1"/>
  <c r="AC10" i="11"/>
  <c r="AC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Q10" i="11"/>
  <c r="Q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J10" i="9" s="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AS7" i="11"/>
  <c r="Q8" i="9" s="1"/>
  <c r="AR7" i="11"/>
  <c r="P8" i="9" s="1"/>
  <c r="AQ7" i="11"/>
  <c r="AP7" i="11"/>
  <c r="AO7" i="11"/>
  <c r="M8" i="9" s="1"/>
  <c r="AN7" i="11"/>
  <c r="L8" i="9" s="1"/>
  <c r="AM7" i="1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S101" i="38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R101" i="38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L37" i="38"/>
  <c r="M37" i="38" s="1"/>
  <c r="N37" i="38" s="1"/>
  <c r="O37" i="38" s="1"/>
  <c r="P37" i="38" s="1"/>
  <c r="K37" i="38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M21" i="38"/>
  <c r="N21" i="38" s="1"/>
  <c r="O21" i="38" s="1"/>
  <c r="P21" i="38" s="1"/>
  <c r="L21" i="38"/>
  <c r="K21" i="38"/>
  <c r="AD13" i="38"/>
  <c r="H13" i="38"/>
  <c r="F13" i="38"/>
  <c r="R12" i="38"/>
  <c r="D12" i="38"/>
  <c r="C12" i="38"/>
  <c r="Q8" i="38"/>
  <c r="L8" i="38"/>
  <c r="K8" i="38"/>
  <c r="J8" i="38"/>
  <c r="C8" i="38"/>
  <c r="S5" i="38"/>
  <c r="S1" i="38" s="1"/>
  <c r="R5" i="38"/>
  <c r="M5" i="38"/>
  <c r="L5" i="38"/>
  <c r="K5" i="38"/>
  <c r="B2" i="38"/>
  <c r="B2" i="39" s="1"/>
  <c r="R1" i="38"/>
  <c r="R11" i="38" s="1"/>
  <c r="Q1" i="38"/>
  <c r="K1" i="38"/>
  <c r="J1" i="38"/>
  <c r="B33" i="9" l="1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AE104" i="11"/>
  <c r="E107" i="16"/>
  <c r="T104" i="11"/>
  <c r="AA22" i="11"/>
  <c r="P107" i="16"/>
  <c r="R107" i="16"/>
  <c r="AC104" i="11"/>
  <c r="T22" i="11"/>
  <c r="D107" i="16"/>
  <c r="T107" i="16"/>
  <c r="Q104" i="11"/>
  <c r="AG104" i="11"/>
  <c r="I107" i="16"/>
  <c r="AB22" i="11"/>
  <c r="V104" i="11"/>
  <c r="Q40" i="11"/>
  <c r="AG40" i="11"/>
  <c r="X104" i="11"/>
  <c r="B29" i="9"/>
  <c r="Y15" i="1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S107" i="16"/>
  <c r="S108" i="16" s="1"/>
  <c r="B20" i="17"/>
  <c r="Y40" i="11"/>
  <c r="Z40" i="11"/>
  <c r="X22" i="11"/>
  <c r="AA40" i="11"/>
  <c r="F107" i="16"/>
  <c r="Y22" i="11"/>
  <c r="AB40" i="11"/>
  <c r="AH99" i="16"/>
  <c r="B24" i="17"/>
  <c r="AC15" i="11"/>
  <c r="P104" i="16" s="1"/>
  <c r="P15" i="1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103" i="11"/>
  <c r="J68" i="8" s="1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32" i="52"/>
  <c r="H32" i="52"/>
  <c r="U29" i="52"/>
  <c r="U35" i="52" s="1"/>
  <c r="E9" i="51" a="1"/>
  <c r="E9" i="51" s="1"/>
  <c r="F7" i="51" a="1"/>
  <c r="F7" i="51" s="1"/>
  <c r="G7" i="51" s="1"/>
  <c r="E7" i="51" a="1"/>
  <c r="E7" i="51" s="1"/>
  <c r="B7" i="51" a="1"/>
  <c r="B7" i="51" s="1"/>
  <c r="F8" i="51" a="1"/>
  <c r="F8" i="51" s="1"/>
  <c r="G8" i="51" s="1"/>
  <c r="E8" i="51" a="1"/>
  <c r="E8" i="51" s="1"/>
  <c r="B8" i="51" a="1"/>
  <c r="B8" i="51" s="1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N39" i="9"/>
  <c r="J40" i="9"/>
  <c r="K37" i="17"/>
  <c r="K58" i="17"/>
  <c r="AE15" i="11"/>
  <c r="O39" i="9"/>
  <c r="Y24" i="11"/>
  <c r="K35" i="17"/>
  <c r="I108" i="16"/>
  <c r="K43" i="17"/>
  <c r="Y107" i="16"/>
  <c r="K64" i="17"/>
  <c r="V40" i="11"/>
  <c r="K8" i="17"/>
  <c r="L31" i="17" s="1"/>
  <c r="AL40" i="11"/>
  <c r="K33" i="17"/>
  <c r="C18" i="19"/>
  <c r="D18" i="19" s="1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AT24" i="11" s="1"/>
  <c r="J44" i="9"/>
  <c r="J45" i="9"/>
  <c r="J38" i="9"/>
  <c r="R40" i="9"/>
  <c r="M42" i="9"/>
  <c r="S15" i="17"/>
  <c r="C135" i="11"/>
  <c r="K38" i="11" s="1"/>
  <c r="S46" i="17"/>
  <c r="C144" i="11"/>
  <c r="K45" i="11" s="1"/>
  <c r="C100" i="16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K100" i="11" s="1"/>
  <c r="K67" i="8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E9" i="19"/>
  <c r="D9" i="19"/>
  <c r="F9" i="19" s="1"/>
  <c r="I32" i="2"/>
  <c r="L99" i="16"/>
  <c r="L100" i="16" s="1"/>
  <c r="W39" i="2"/>
  <c r="AB99" i="16"/>
  <c r="I34" i="2"/>
  <c r="AM39" i="2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C104" i="16"/>
  <c r="E18" i="2"/>
  <c r="O20" i="2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Q48" i="2" s="1"/>
  <c r="Q102" i="2" s="1"/>
  <c r="Q114" i="2" s="1"/>
  <c r="AG20" i="2"/>
  <c r="AG29" i="2" s="1"/>
  <c r="AG48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AG108" i="16" s="1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D26" i="19" s="1"/>
  <c r="AR29" i="2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C108" i="16"/>
  <c r="M57" i="17"/>
  <c r="M59" i="17"/>
  <c r="P46" i="11"/>
  <c r="AF46" i="11"/>
  <c r="X66" i="11"/>
  <c r="AN66" i="11"/>
  <c r="M72" i="17" s="1"/>
  <c r="M63" i="17"/>
  <c r="O100" i="16"/>
  <c r="AG100" i="16"/>
  <c r="X107" i="16"/>
  <c r="K18" i="2"/>
  <c r="E20" i="2"/>
  <c r="S47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L104" i="16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R48" i="2" s="1"/>
  <c r="R102" i="2" s="1"/>
  <c r="R114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O104" i="16"/>
  <c r="AG104" i="16"/>
  <c r="H16" i="2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AH48" i="2" s="1"/>
  <c r="AH102" i="2" s="1"/>
  <c r="AH114" i="2" s="1"/>
  <c r="I10" i="2"/>
  <c r="H20" i="2"/>
  <c r="W47" i="2"/>
  <c r="AM47" i="2"/>
  <c r="S39" i="2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T100" i="16"/>
  <c r="AE29" i="2"/>
  <c r="AE48" i="2" s="1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W102" i="2" s="1"/>
  <c r="AO28" i="2"/>
  <c r="U39" i="2"/>
  <c r="K39" i="2" s="1"/>
  <c r="AL39" i="2"/>
  <c r="AL47" i="2" s="1"/>
  <c r="I47" i="2" s="1"/>
  <c r="D147" i="2" s="1"/>
  <c r="F1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I16" i="2" s="1"/>
  <c r="Y28" i="2"/>
  <c r="Y29" i="2" s="1"/>
  <c r="Y48" i="2" s="1"/>
  <c r="Y102" i="2" s="1"/>
  <c r="Y114" i="2" s="1"/>
  <c r="AP28" i="2"/>
  <c r="AN62" i="2"/>
  <c r="AN79" i="2" s="1"/>
  <c r="AN101" i="2" s="1"/>
  <c r="I57" i="2"/>
  <c r="C15" i="19"/>
  <c r="D19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B102" i="2" s="1"/>
  <c r="AB114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X48" i="2" s="1"/>
  <c r="X102" i="2" s="1"/>
  <c r="AC56" i="10"/>
  <c r="AN28" i="2"/>
  <c r="AN29" i="2" s="1"/>
  <c r="AN48" i="2" s="1"/>
  <c r="AC28" i="2"/>
  <c r="Z39" i="2"/>
  <c r="H39" i="2" s="1"/>
  <c r="I51" i="2"/>
  <c r="AJ79" i="2"/>
  <c r="AJ101" i="2" s="1"/>
  <c r="AB62" i="2"/>
  <c r="AR62" i="2"/>
  <c r="E66" i="2"/>
  <c r="H70" i="2"/>
  <c r="H83" i="2"/>
  <c r="AG100" i="2"/>
  <c r="K87" i="2"/>
  <c r="I93" i="2"/>
  <c r="AJ113" i="2"/>
  <c r="B45" i="9"/>
  <c r="B35" i="9"/>
  <c r="E12" i="2"/>
  <c r="AA16" i="2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AK113" i="2"/>
  <c r="H110" i="2"/>
  <c r="AE28" i="2"/>
  <c r="AD62" i="2"/>
  <c r="AD79" i="2" s="1"/>
  <c r="AD101" i="2" s="1"/>
  <c r="AC85" i="2"/>
  <c r="K83" i="2"/>
  <c r="B2" i="32"/>
  <c r="B2" i="36"/>
  <c r="B2" i="30"/>
  <c r="H19" i="2"/>
  <c r="K26" i="2"/>
  <c r="O28" i="2"/>
  <c r="E28" i="2" s="1"/>
  <c r="AF28" i="2"/>
  <c r="AF29" i="2" s="1"/>
  <c r="AF48" i="2" s="1"/>
  <c r="AO47" i="2"/>
  <c r="Y79" i="2"/>
  <c r="Y101" i="2" s="1"/>
  <c r="N62" i="2"/>
  <c r="P69" i="2"/>
  <c r="P79" i="2" s="1"/>
  <c r="P101" i="2" s="1"/>
  <c r="AF69" i="2"/>
  <c r="AF79" i="2" s="1"/>
  <c r="AF101" i="2" s="1"/>
  <c r="Z100" i="2"/>
  <c r="AB113" i="2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AI48" i="2" s="1"/>
  <c r="K31" i="2"/>
  <c r="AB47" i="2"/>
  <c r="O39" i="2"/>
  <c r="O47" i="2" s="1"/>
  <c r="AE39" i="2"/>
  <c r="AE47" i="2" s="1"/>
  <c r="K51" i="2"/>
  <c r="AB79" i="2"/>
  <c r="AB101" i="2" s="1"/>
  <c r="AR79" i="2"/>
  <c r="AR101" i="2" s="1"/>
  <c r="H53" i="2"/>
  <c r="E56" i="2"/>
  <c r="Q62" i="2"/>
  <c r="Q79" i="2" s="1"/>
  <c r="Q101" i="2" s="1"/>
  <c r="AI69" i="2"/>
  <c r="AI79" i="2" s="1"/>
  <c r="AI101" i="2" s="1"/>
  <c r="I76" i="2"/>
  <c r="U85" i="2"/>
  <c r="E82" i="2"/>
  <c r="AK85" i="2"/>
  <c r="AK98" i="2"/>
  <c r="N113" i="2"/>
  <c r="H106" i="2"/>
  <c r="Z113" i="2"/>
  <c r="H109" i="2"/>
  <c r="Z112" i="2"/>
  <c r="I112" i="2"/>
  <c r="D152" i="2" s="1"/>
  <c r="F152" i="2" s="1"/>
  <c r="S29" i="2"/>
  <c r="S48" i="2" s="1"/>
  <c r="S102" i="2" s="1"/>
  <c r="S114" i="2" s="1"/>
  <c r="AO20" i="2"/>
  <c r="I20" i="2" s="1"/>
  <c r="S28" i="2"/>
  <c r="AJ28" i="2"/>
  <c r="H40" i="2"/>
  <c r="K78" i="2"/>
  <c r="I80" i="2"/>
  <c r="V100" i="2"/>
  <c r="I92" i="2"/>
  <c r="O113" i="2"/>
  <c r="AP20" i="2"/>
  <c r="AP29" i="2" s="1"/>
  <c r="AP48" i="2" s="1"/>
  <c r="I24" i="2"/>
  <c r="T28" i="2"/>
  <c r="T29" i="2" s="1"/>
  <c r="T48" i="2" s="1"/>
  <c r="T102" i="2" s="1"/>
  <c r="T114" i="2" s="1"/>
  <c r="AK28" i="2"/>
  <c r="N47" i="2"/>
  <c r="AD47" i="2"/>
  <c r="I61" i="2"/>
  <c r="K64" i="2"/>
  <c r="K66" i="2"/>
  <c r="V69" i="2"/>
  <c r="K69" i="2" s="1"/>
  <c r="E73" i="2"/>
  <c r="I78" i="2"/>
  <c r="AB85" i="2"/>
  <c r="AB100" i="2" s="1"/>
  <c r="H84" i="2"/>
  <c r="AQ20" i="2"/>
  <c r="AQ29" i="2" s="1"/>
  <c r="AQ48" i="2" s="1"/>
  <c r="AQ102" i="2" s="1"/>
  <c r="AQ114" i="2" s="1"/>
  <c r="K24" i="2"/>
  <c r="AG57" i="10"/>
  <c r="B57" i="10" s="1"/>
  <c r="U28" i="2"/>
  <c r="U29" i="2" s="1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A101" i="2" s="1"/>
  <c r="AQ79" i="2"/>
  <c r="AQ101" i="2" s="1"/>
  <c r="E78" i="2"/>
  <c r="AL98" i="2"/>
  <c r="I98" i="2" s="1"/>
  <c r="I105" i="2"/>
  <c r="R113" i="2"/>
  <c r="H82" i="2"/>
  <c r="E94" i="2"/>
  <c r="S113" i="2"/>
  <c r="L116" i="2"/>
  <c r="K111" i="2"/>
  <c r="K82" i="2"/>
  <c r="E85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I113" i="2" s="1"/>
  <c r="D153" i="2" s="1"/>
  <c r="F153" i="2" s="1"/>
  <c r="E60" i="2"/>
  <c r="E75" i="2"/>
  <c r="Z98" i="2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B2" i="44"/>
  <c r="Q10" i="33"/>
  <c r="Q11" i="33"/>
  <c r="C30" i="35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S15" i="35"/>
  <c r="C22" i="35"/>
  <c r="D7" i="35"/>
  <c r="C184" i="11" s="1"/>
  <c r="D26" i="35"/>
  <c r="T26" i="35" s="1"/>
  <c r="C39" i="35"/>
  <c r="D28" i="35"/>
  <c r="D19" i="35"/>
  <c r="K120" i="48"/>
  <c r="O8" i="46"/>
  <c r="O9" i="46"/>
  <c r="L120" i="48"/>
  <c r="C119" i="48"/>
  <c r="J9" i="46"/>
  <c r="K5" i="46"/>
  <c r="J8" i="46"/>
  <c r="K34" i="35"/>
  <c r="T25" i="35"/>
  <c r="D10" i="46"/>
  <c r="E29" i="30"/>
  <c r="Q83" i="46"/>
  <c r="Q53" i="46"/>
  <c r="Q38" i="46"/>
  <c r="P68" i="46"/>
  <c r="P98" i="46"/>
  <c r="P38" i="46"/>
  <c r="P83" i="46"/>
  <c r="P113" i="46"/>
  <c r="P8" i="46"/>
  <c r="H9" i="46"/>
  <c r="Q126" i="46"/>
  <c r="Q113" i="46"/>
  <c r="Q98" i="46"/>
  <c r="Q68" i="46"/>
  <c r="Q8" i="46"/>
  <c r="I9" i="46"/>
  <c r="R5" i="46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272" i="30"/>
  <c r="E274" i="30"/>
  <c r="E15" i="30"/>
  <c r="E108" i="30"/>
  <c r="E176" i="30"/>
  <c r="E210" i="30"/>
  <c r="E13" i="30"/>
  <c r="E281" i="30"/>
  <c r="E104" i="30"/>
  <c r="E236" i="30"/>
  <c r="S105" i="38" s="1"/>
  <c r="E234" i="30"/>
  <c r="E20" i="30"/>
  <c r="E215" i="30"/>
  <c r="E219" i="30"/>
  <c r="E196" i="30"/>
  <c r="E198" i="30"/>
  <c r="E228" i="30"/>
  <c r="E33" i="30"/>
  <c r="E297" i="30"/>
  <c r="E26" i="30"/>
  <c r="E28" i="30"/>
  <c r="E38" i="30"/>
  <c r="E42" i="30"/>
  <c r="R56" i="38" s="1"/>
  <c r="E44" i="30"/>
  <c r="E46" i="30"/>
  <c r="E102" i="30"/>
  <c r="E121" i="30"/>
  <c r="E123" i="30"/>
  <c r="E165" i="30"/>
  <c r="E169" i="30"/>
  <c r="E190" i="30"/>
  <c r="E194" i="30"/>
  <c r="E213" i="30"/>
  <c r="E247" i="30"/>
  <c r="E266" i="30"/>
  <c r="E270" i="30"/>
  <c r="E287" i="30"/>
  <c r="E289" i="30"/>
  <c r="E308" i="30"/>
  <c r="E30" i="30"/>
  <c r="E34" i="30"/>
  <c r="E73" i="30"/>
  <c r="E98" i="30"/>
  <c r="E100" i="30"/>
  <c r="E115" i="30"/>
  <c r="E119" i="30"/>
  <c r="E163" i="30"/>
  <c r="E209" i="30"/>
  <c r="E211" i="30"/>
  <c r="E306" i="30"/>
  <c r="E136" i="30"/>
  <c r="E159" i="30"/>
  <c r="E161" i="30"/>
  <c r="E226" i="30"/>
  <c r="E9" i="30"/>
  <c r="E67" i="30"/>
  <c r="E69" i="30"/>
  <c r="E71" i="30"/>
  <c r="E94" i="30"/>
  <c r="E96" i="30"/>
  <c r="E182" i="30"/>
  <c r="E184" i="30"/>
  <c r="E205" i="30"/>
  <c r="E207" i="30"/>
  <c r="E224" i="30"/>
  <c r="E262" i="30"/>
  <c r="E300" i="30"/>
  <c r="E88" i="30"/>
  <c r="E92" i="30"/>
  <c r="E111" i="30"/>
  <c r="E155" i="30"/>
  <c r="E157" i="30"/>
  <c r="E222" i="30"/>
  <c r="E256" i="30"/>
  <c r="E258" i="30"/>
  <c r="E260" i="30"/>
  <c r="E296" i="30"/>
  <c r="E313" i="30"/>
  <c r="E61" i="30"/>
  <c r="E86" i="30"/>
  <c r="E107" i="30"/>
  <c r="E109" i="30"/>
  <c r="E128" i="30"/>
  <c r="E149" i="30"/>
  <c r="E153" i="30"/>
  <c r="E220" i="30"/>
  <c r="E275" i="30"/>
  <c r="E82" i="30"/>
  <c r="E84" i="30"/>
  <c r="E147" i="30"/>
  <c r="E199" i="30"/>
  <c r="E239" i="30"/>
  <c r="E292" i="30"/>
  <c r="E294" i="30"/>
  <c r="E143" i="30"/>
  <c r="E145" i="30"/>
  <c r="E216" i="30"/>
  <c r="E218" i="30"/>
  <c r="E233" i="30"/>
  <c r="E237" i="30"/>
  <c r="E248" i="30"/>
  <c r="E290" i="30"/>
  <c r="E309" i="30"/>
  <c r="E25" i="30"/>
  <c r="E41" i="30"/>
  <c r="E45" i="30"/>
  <c r="E78" i="30"/>
  <c r="E80" i="30"/>
  <c r="E168" i="30"/>
  <c r="E231" i="30"/>
  <c r="E267" i="30"/>
  <c r="E269" i="30"/>
  <c r="E286" i="30"/>
  <c r="E76" i="30"/>
  <c r="E139" i="30"/>
  <c r="E141" i="30"/>
  <c r="E227" i="30"/>
  <c r="E229" i="30"/>
  <c r="E284" i="30"/>
  <c r="E133" i="30"/>
  <c r="E137" i="30"/>
  <c r="E187" i="30"/>
  <c r="E189" i="30"/>
  <c r="E208" i="30"/>
  <c r="E225" i="30"/>
  <c r="E278" i="30"/>
  <c r="E280" i="30"/>
  <c r="E303" i="30"/>
  <c r="E305" i="30"/>
  <c r="E10" i="30"/>
  <c r="E70" i="30"/>
  <c r="E112" i="30"/>
  <c r="E114" i="30"/>
  <c r="E131" i="30"/>
  <c r="E181" i="30"/>
  <c r="E185" i="30"/>
  <c r="E12" i="30"/>
  <c r="E129" i="30"/>
  <c r="E179" i="30"/>
  <c r="E255" i="30"/>
  <c r="E14" i="30"/>
  <c r="E18" i="30"/>
  <c r="E54" i="30"/>
  <c r="E58" i="30"/>
  <c r="E60" i="30"/>
  <c r="E62" i="30"/>
  <c r="E152" i="30"/>
  <c r="E175" i="30"/>
  <c r="E177" i="30"/>
  <c r="E200" i="30"/>
  <c r="E202" i="30"/>
  <c r="E253" i="30"/>
  <c r="E276" i="30"/>
  <c r="E295" i="30"/>
  <c r="E312" i="30"/>
  <c r="E48" i="30"/>
  <c r="E50" i="30"/>
  <c r="E125" i="30"/>
  <c r="E127" i="30"/>
  <c r="E249" i="30"/>
  <c r="E251" i="30"/>
  <c r="Q100" i="16" l="1"/>
  <c r="G100" i="16"/>
  <c r="G108" i="16"/>
  <c r="K69" i="8"/>
  <c r="R23" i="9"/>
  <c r="T24" i="11"/>
  <c r="L108" i="16"/>
  <c r="Q108" i="16"/>
  <c r="O108" i="16"/>
  <c r="AG24" i="11"/>
  <c r="AB24" i="11"/>
  <c r="W24" i="1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B9" i="51" a="1"/>
  <c r="B9" i="51" s="1"/>
  <c r="F9" i="51" a="1"/>
  <c r="F9" i="51" s="1"/>
  <c r="G9" i="51" s="1"/>
  <c r="J7" i="51"/>
  <c r="I7" i="51"/>
  <c r="H7" i="51"/>
  <c r="J8" i="51"/>
  <c r="I8" i="51"/>
  <c r="H8" i="51"/>
  <c r="H9" i="51"/>
  <c r="J9" i="51"/>
  <c r="I9" i="5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R106" i="38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L128" i="4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K91" i="38" s="1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E122" i="30"/>
  <c r="E113" i="30"/>
  <c r="E95" i="30"/>
  <c r="E79" i="30"/>
  <c r="E52" i="30"/>
  <c r="E36" i="30"/>
  <c r="E307" i="30"/>
  <c r="E291" i="30"/>
  <c r="E271" i="30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K90" i="38" s="1"/>
  <c r="E285" i="30"/>
  <c r="E265" i="30"/>
  <c r="E263" i="30"/>
  <c r="R92" i="38" s="1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K98" i="33" s="1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K56" i="38"/>
  <c r="K42" i="38"/>
  <c r="K106" i="38"/>
  <c r="R44" i="38"/>
  <c r="R91" i="38"/>
  <c r="Q58" i="38"/>
  <c r="L124" i="48"/>
  <c r="D15" i="35"/>
  <c r="T15" i="35" s="1"/>
  <c r="K16" i="35"/>
  <c r="AH103" i="16"/>
  <c r="K40" i="33"/>
  <c r="K83" i="33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W68" i="11"/>
  <c r="L107" i="38"/>
  <c r="L105" i="38"/>
  <c r="L59" i="38"/>
  <c r="L57" i="38"/>
  <c r="L106" i="38"/>
  <c r="L89" i="38"/>
  <c r="L60" i="38"/>
  <c r="L58" i="38"/>
  <c r="L92" i="38"/>
  <c r="L76" i="38"/>
  <c r="L73" i="38"/>
  <c r="L12" i="38"/>
  <c r="L74" i="38"/>
  <c r="L44" i="38"/>
  <c r="L108" i="38"/>
  <c r="L42" i="38"/>
  <c r="L9" i="38"/>
  <c r="L90" i="38"/>
  <c r="L91" i="38"/>
  <c r="L11" i="38"/>
  <c r="L75" i="38"/>
  <c r="L41" i="38"/>
  <c r="L25" i="38" s="1"/>
  <c r="E87" i="39" s="1"/>
  <c r="L43" i="38"/>
  <c r="L10" i="38"/>
  <c r="K57" i="38"/>
  <c r="R74" i="38"/>
  <c r="Q91" i="38"/>
  <c r="R41" i="38"/>
  <c r="S59" i="38"/>
  <c r="K100" i="33"/>
  <c r="Q39" i="33"/>
  <c r="R38" i="33"/>
  <c r="W113" i="2"/>
  <c r="E113" i="2" s="1"/>
  <c r="D129" i="2" s="1"/>
  <c r="F129" i="2" s="1"/>
  <c r="K106" i="2"/>
  <c r="AE102" i="2"/>
  <c r="AE114" i="2" s="1"/>
  <c r="O41" i="9"/>
  <c r="AE108" i="16"/>
  <c r="W104" i="16"/>
  <c r="E15" i="9"/>
  <c r="K43" i="38"/>
  <c r="K59" i="38"/>
  <c r="R90" i="38"/>
  <c r="Q74" i="38"/>
  <c r="S76" i="38"/>
  <c r="J120" i="48"/>
  <c r="K102" i="33"/>
  <c r="K71" i="33"/>
  <c r="Q101" i="33"/>
  <c r="R98" i="33"/>
  <c r="AK100" i="2"/>
  <c r="AH55" i="10"/>
  <c r="H100" i="2"/>
  <c r="AC100" i="2"/>
  <c r="AC101" i="2" s="1"/>
  <c r="AC102" i="2" s="1"/>
  <c r="AC114" i="2" s="1"/>
  <c r="Q47" i="17"/>
  <c r="Q56" i="17"/>
  <c r="P32" i="9"/>
  <c r="E18" i="9"/>
  <c r="V79" i="2"/>
  <c r="V101" i="2" s="1"/>
  <c r="AJ104" i="11"/>
  <c r="AT104" i="11"/>
  <c r="R71" i="17"/>
  <c r="I34" i="9"/>
  <c r="R45" i="9"/>
  <c r="O16" i="9"/>
  <c r="O28" i="9" s="1"/>
  <c r="O38" i="9"/>
  <c r="L72" i="38"/>
  <c r="K108" i="38"/>
  <c r="Q73" i="38"/>
  <c r="R42" i="38"/>
  <c r="S41" i="38"/>
  <c r="L119" i="48"/>
  <c r="K57" i="33"/>
  <c r="Q40" i="33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K88" i="38"/>
  <c r="K89" i="38"/>
  <c r="R57" i="38"/>
  <c r="Q105" i="38"/>
  <c r="R89" i="38"/>
  <c r="S90" i="38"/>
  <c r="K55" i="33"/>
  <c r="Q69" i="33"/>
  <c r="Q100" i="33"/>
  <c r="R87" i="33"/>
  <c r="R85" i="33"/>
  <c r="R71" i="33"/>
  <c r="R42" i="33"/>
  <c r="R102" i="33"/>
  <c r="R72" i="33"/>
  <c r="R69" i="33"/>
  <c r="R12" i="33"/>
  <c r="R40" i="33"/>
  <c r="R86" i="33"/>
  <c r="R56" i="33"/>
  <c r="R57" i="33"/>
  <c r="R84" i="33"/>
  <c r="R101" i="33"/>
  <c r="R70" i="33"/>
  <c r="R10" i="33"/>
  <c r="R55" i="33"/>
  <c r="R100" i="33"/>
  <c r="R39" i="33"/>
  <c r="R99" i="33"/>
  <c r="R41" i="33"/>
  <c r="R26" i="33" s="1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V102" i="2"/>
  <c r="V114" i="2" s="1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K44" i="38"/>
  <c r="Q90" i="38"/>
  <c r="R72" i="38"/>
  <c r="Q34" i="35"/>
  <c r="M34" i="35"/>
  <c r="C170" i="11"/>
  <c r="L98" i="33"/>
  <c r="L83" i="33"/>
  <c r="L68" i="33"/>
  <c r="L53" i="33"/>
  <c r="L1" i="33"/>
  <c r="L8" i="33"/>
  <c r="L38" i="33"/>
  <c r="M5" i="33"/>
  <c r="K69" i="33"/>
  <c r="Q99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K58" i="38"/>
  <c r="R43" i="38"/>
  <c r="S42" i="38"/>
  <c r="K124" i="48"/>
  <c r="C120" i="48"/>
  <c r="K86" i="33"/>
  <c r="Q55" i="33"/>
  <c r="Q85" i="33"/>
  <c r="R83" i="33"/>
  <c r="L82" i="2"/>
  <c r="L74" i="2"/>
  <c r="L59" i="2"/>
  <c r="L91" i="2"/>
  <c r="L87" i="2"/>
  <c r="L69" i="2"/>
  <c r="L112" i="2"/>
  <c r="L89" i="2"/>
  <c r="L61" i="2"/>
  <c r="L104" i="2"/>
  <c r="L67" i="2"/>
  <c r="L27" i="2"/>
  <c r="L46" i="2"/>
  <c r="L18" i="2"/>
  <c r="L117" i="2"/>
  <c r="L31" i="2"/>
  <c r="L88" i="2"/>
  <c r="L72" i="2"/>
  <c r="L23" i="2"/>
  <c r="L34" i="2"/>
  <c r="L26" i="2"/>
  <c r="L16" i="2"/>
  <c r="L64" i="2"/>
  <c r="L47" i="2"/>
  <c r="L21" i="2"/>
  <c r="L41" i="2"/>
  <c r="L8" i="2"/>
  <c r="L63" i="2"/>
  <c r="L20" i="2"/>
  <c r="L13" i="2"/>
  <c r="L106" i="2"/>
  <c r="L15" i="2"/>
  <c r="L95" i="2"/>
  <c r="F55" i="2"/>
  <c r="F106" i="2"/>
  <c r="D139" i="2" s="1"/>
  <c r="F139" i="2" s="1"/>
  <c r="F98" i="2"/>
  <c r="F80" i="2"/>
  <c r="F57" i="2"/>
  <c r="F86" i="2"/>
  <c r="F66" i="2"/>
  <c r="F78" i="2"/>
  <c r="F73" i="2"/>
  <c r="F117" i="2"/>
  <c r="F105" i="2"/>
  <c r="F77" i="2"/>
  <c r="F71" i="2"/>
  <c r="F58" i="2"/>
  <c r="F52" i="2"/>
  <c r="F13" i="2"/>
  <c r="F24" i="2"/>
  <c r="F18" i="2"/>
  <c r="F9" i="2"/>
  <c r="F84" i="2"/>
  <c r="F38" i="2"/>
  <c r="F72" i="2"/>
  <c r="F100" i="2"/>
  <c r="F39" i="2"/>
  <c r="F34" i="2"/>
  <c r="F28" i="2"/>
  <c r="F14" i="2"/>
  <c r="F37" i="2"/>
  <c r="F64" i="2"/>
  <c r="F95" i="2"/>
  <c r="F59" i="2"/>
  <c r="K7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Q42" i="38"/>
  <c r="Q26" i="38" s="1"/>
  <c r="J88" i="39" s="1"/>
  <c r="G6" i="17"/>
  <c r="AI5" i="11"/>
  <c r="R73" i="38"/>
  <c r="S43" i="38"/>
  <c r="S108" i="38"/>
  <c r="K119" i="48"/>
  <c r="T28" i="35"/>
  <c r="K72" i="33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G86" i="17"/>
  <c r="G23" i="17" s="1"/>
  <c r="E9" i="9"/>
  <c r="K9" i="18"/>
  <c r="K9" i="8"/>
  <c r="M29" i="9"/>
  <c r="G16" i="9"/>
  <c r="H85" i="17" s="1"/>
  <c r="K107" i="38"/>
  <c r="Q89" i="38"/>
  <c r="R40" i="38"/>
  <c r="R75" i="38"/>
  <c r="S73" i="38"/>
  <c r="S89" i="38"/>
  <c r="Q72" i="33"/>
  <c r="Q87" i="33"/>
  <c r="K28" i="2"/>
  <c r="N48" i="2"/>
  <c r="U47" i="2"/>
  <c r="K47" i="2" s="1"/>
  <c r="AG101" i="2"/>
  <c r="AG102" i="2" s="1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56" i="38"/>
  <c r="N104" i="38"/>
  <c r="N1" i="38"/>
  <c r="N8" i="38"/>
  <c r="O5" i="38"/>
  <c r="R104" i="38"/>
  <c r="R108" i="38"/>
  <c r="S91" i="38"/>
  <c r="J98" i="33"/>
  <c r="J83" i="33"/>
  <c r="J38" i="33"/>
  <c r="J68" i="33"/>
  <c r="J53" i="33"/>
  <c r="J104" i="38"/>
  <c r="J88" i="38"/>
  <c r="J72" i="38"/>
  <c r="J56" i="38"/>
  <c r="J40" i="38"/>
  <c r="K56" i="33"/>
  <c r="Q41" i="33"/>
  <c r="K72" i="38"/>
  <c r="K104" i="38"/>
  <c r="K40" i="38"/>
  <c r="S5" i="46"/>
  <c r="R67" i="46"/>
  <c r="R1" i="46"/>
  <c r="R97" i="46" s="1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R82" i="46" s="1"/>
  <c r="E53" i="45"/>
  <c r="D47" i="45"/>
  <c r="D32" i="45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K73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74" i="11"/>
  <c r="E15" i="17"/>
  <c r="K26" i="18"/>
  <c r="K28" i="8"/>
  <c r="K60" i="38"/>
  <c r="K76" i="38"/>
  <c r="Q43" i="38"/>
  <c r="Q59" i="38"/>
  <c r="R59" i="38"/>
  <c r="R60" i="38"/>
  <c r="S44" i="38"/>
  <c r="S92" i="38"/>
  <c r="D120" i="48"/>
  <c r="K113" i="46"/>
  <c r="L5" i="46"/>
  <c r="K1" i="46"/>
  <c r="K83" i="46" s="1"/>
  <c r="K53" i="33"/>
  <c r="K41" i="33"/>
  <c r="Q86" i="33"/>
  <c r="H112" i="2"/>
  <c r="AP101" i="2"/>
  <c r="AP102" i="2" s="1"/>
  <c r="AP114" i="2" s="1"/>
  <c r="X113" i="2"/>
  <c r="X114" i="2" s="1"/>
  <c r="Z71" i="11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K92" i="38"/>
  <c r="Q44" i="38"/>
  <c r="Q41" i="38"/>
  <c r="Q25" i="38" s="1"/>
  <c r="J87" i="39" s="1"/>
  <c r="R76" i="38"/>
  <c r="R105" i="38"/>
  <c r="S75" i="38"/>
  <c r="S58" i="38"/>
  <c r="T98" i="33"/>
  <c r="T6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56" i="38"/>
  <c r="T88" i="38"/>
  <c r="T8" i="38"/>
  <c r="T72" i="38"/>
  <c r="U5" i="38"/>
  <c r="T40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50" i="17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N82" i="17"/>
  <c r="AN104" i="11"/>
  <c r="M56" i="17"/>
  <c r="M47" i="17"/>
  <c r="L38" i="9"/>
  <c r="AF68" i="11"/>
  <c r="E13" i="9"/>
  <c r="K13" i="8"/>
  <c r="K13" i="18"/>
  <c r="R42" i="9"/>
  <c r="K41" i="38"/>
  <c r="K25" i="38" s="1"/>
  <c r="D87" i="39" s="1"/>
  <c r="K105" i="38"/>
  <c r="Q92" i="38"/>
  <c r="S107" i="38"/>
  <c r="Q53" i="17" l="1"/>
  <c r="J76" i="17"/>
  <c r="AH68" i="11"/>
  <c r="G34" i="9"/>
  <c r="N25" i="17"/>
  <c r="R68" i="1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J91" i="11"/>
  <c r="J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R69" i="11"/>
  <c r="R74" i="11"/>
  <c r="R78" i="11" s="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K23" i="33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S125" i="46"/>
  <c r="S126" i="46"/>
  <c r="S113" i="46"/>
  <c r="S67" i="46"/>
  <c r="T5" i="46"/>
  <c r="S22" i="46"/>
  <c r="S1" i="46"/>
  <c r="S38" i="46" s="1"/>
  <c r="S53" i="46"/>
  <c r="S9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25" i="33" s="1"/>
  <c r="L39" i="33"/>
  <c r="L24" i="33" s="1"/>
  <c r="K116" i="48"/>
  <c r="K115" i="37"/>
  <c r="K27" i="38"/>
  <c r="D89" i="39" s="1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C7" i="31"/>
  <c r="C10" i="31" s="1"/>
  <c r="C13" i="31" s="1"/>
  <c r="D8" i="31"/>
  <c r="AD58" i="33"/>
  <c r="AD88" i="33"/>
  <c r="AD103" i="33"/>
  <c r="C8" i="31"/>
  <c r="AD43" i="33"/>
  <c r="D9" i="31"/>
  <c r="C9" i="31"/>
  <c r="D7" i="31"/>
  <c r="D10" i="31" s="1"/>
  <c r="D13" i="31" s="1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26" i="38" s="1"/>
  <c r="M88" i="39" s="1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27" i="38" s="1"/>
  <c r="M89" i="39" s="1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J89" i="11"/>
  <c r="J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C189" i="11"/>
  <c r="R31" i="9"/>
  <c r="K113" i="2"/>
  <c r="K97" i="39"/>
  <c r="R28" i="38"/>
  <c r="K28" i="9"/>
  <c r="E100" i="2"/>
  <c r="C11" i="19"/>
  <c r="E7" i="19"/>
  <c r="D7" i="19"/>
  <c r="P34" i="35"/>
  <c r="S34" i="35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D159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K24" i="33" s="1"/>
  <c r="R32" i="9"/>
  <c r="E48" i="2"/>
  <c r="D124" i="2" s="1"/>
  <c r="F124" i="2" s="1"/>
  <c r="AO102" i="2"/>
  <c r="AO114" i="2" s="1"/>
  <c r="I50" i="17"/>
  <c r="L98" i="46"/>
  <c r="L97" i="46"/>
  <c r="L113" i="46"/>
  <c r="L53" i="46"/>
  <c r="L125" i="46"/>
  <c r="L23" i="46"/>
  <c r="M5" i="46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48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25" i="33" s="1"/>
  <c r="T41" i="33"/>
  <c r="T69" i="33"/>
  <c r="T11" i="33"/>
  <c r="T54" i="33"/>
  <c r="T9" i="33"/>
  <c r="T84" i="33"/>
  <c r="AL48" i="2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AT79" i="11"/>
  <c r="M58" i="8" l="1"/>
  <c r="N58" i="8"/>
  <c r="M53" i="8"/>
  <c r="N53" i="8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4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N120" i="48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N91" i="11"/>
  <c r="M91" i="11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T22" i="46"/>
  <c r="T8" i="46"/>
  <c r="T37" i="46"/>
  <c r="T1" i="46"/>
  <c r="T112" i="46" s="1"/>
  <c r="T52" i="46"/>
  <c r="T38" i="46"/>
  <c r="T9" i="46"/>
  <c r="T23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102" i="11"/>
  <c r="J66" i="8" s="1"/>
  <c r="L114" i="48"/>
  <c r="L113" i="37"/>
  <c r="H58" i="33"/>
  <c r="F58" i="33"/>
  <c r="E114" i="48"/>
  <c r="E113" i="37"/>
  <c r="E56" i="38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N89" i="11"/>
  <c r="M8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N127" i="48"/>
  <c r="M119" i="48"/>
  <c r="AI79" i="11"/>
  <c r="M97" i="46"/>
  <c r="M82" i="46"/>
  <c r="M23" i="46"/>
  <c r="M52" i="46"/>
  <c r="M112" i="46"/>
  <c r="N5" i="46"/>
  <c r="M22" i="46"/>
  <c r="M38" i="46"/>
  <c r="M8" i="46"/>
  <c r="M37" i="46"/>
  <c r="M113" i="46"/>
  <c r="M53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26" i="33" s="1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N66" i="8" l="1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97" i="46"/>
  <c r="N125" i="46"/>
  <c r="N23" i="46"/>
  <c r="N98" i="46"/>
  <c r="N112" i="46"/>
  <c r="N38" i="46"/>
  <c r="C38" i="46" s="1"/>
  <c r="N68" i="46"/>
  <c r="N22" i="46"/>
  <c r="N8" i="46"/>
  <c r="N82" i="46"/>
  <c r="N67" i="46"/>
  <c r="N1" i="46"/>
  <c r="N52" i="46" s="1"/>
  <c r="N37" i="46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N115" i="37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F11" i="19"/>
  <c r="H97" i="39"/>
  <c r="O28" i="38"/>
  <c r="M24" i="33"/>
  <c r="G120" i="48"/>
  <c r="O127" i="48"/>
  <c r="N86" i="39"/>
  <c r="N92" i="39" s="1"/>
  <c r="O96" i="39"/>
  <c r="V24" i="38"/>
  <c r="C23" i="46"/>
  <c r="C22" i="46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C82" i="46"/>
  <c r="G122" i="37"/>
  <c r="N23" i="33"/>
  <c r="E72" i="38"/>
  <c r="E11" i="19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H12" i="51" l="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I127" i="48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C67" i="46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W82" i="11"/>
  <c r="AD82" i="11"/>
  <c r="AD84" i="11" s="1"/>
  <c r="AD85" i="11" s="1"/>
  <c r="U82" i="11"/>
  <c r="U84" i="11" s="1"/>
  <c r="U85" i="11" s="1"/>
  <c r="AS82" i="11"/>
  <c r="AS84" i="11" s="1"/>
  <c r="AS85" i="11" s="1"/>
  <c r="AJ82" i="11"/>
  <c r="AJ84" i="11" s="1"/>
  <c r="AJ85" i="11" s="1"/>
  <c r="AC82" i="11"/>
  <c r="AC84" i="11" s="1"/>
  <c r="AC85" i="11" s="1"/>
  <c r="AQ82" i="11"/>
  <c r="AQ84" i="11" s="1"/>
  <c r="AQ85" i="11" s="1"/>
  <c r="Z82" i="11"/>
  <c r="Z84" i="11" s="1"/>
  <c r="Z85" i="11" s="1"/>
  <c r="P82" i="11"/>
  <c r="AO82" i="11"/>
  <c r="AO84" i="11" s="1"/>
  <c r="AO85" i="11" s="1"/>
  <c r="AM82" i="11"/>
  <c r="AM84" i="11" s="1"/>
  <c r="AM85" i="11" s="1"/>
  <c r="Y82" i="11"/>
  <c r="Y84" i="11" s="1"/>
  <c r="Y85" i="11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C37" i="46"/>
  <c r="V25" i="38"/>
  <c r="U82" i="46"/>
  <c r="I97" i="39"/>
  <c r="P28" i="38"/>
  <c r="E44" i="38"/>
  <c r="N26" i="33"/>
  <c r="N9" i="46"/>
  <c r="N126" i="46"/>
  <c r="C181" i="11"/>
  <c r="C183" i="11" s="1"/>
  <c r="C185" i="11" s="1"/>
  <c r="K101" i="11" s="1"/>
  <c r="E10" i="9"/>
  <c r="K10" i="8"/>
  <c r="K10" i="18"/>
  <c r="K15" i="11"/>
  <c r="P10" i="35"/>
  <c r="Q10" i="35"/>
  <c r="K10" i="35"/>
  <c r="P98" i="33"/>
  <c r="E98" i="33" s="1"/>
  <c r="P83" i="33"/>
  <c r="P8" i="33"/>
  <c r="P68" i="33"/>
  <c r="P38" i="33"/>
  <c r="P53" i="33"/>
  <c r="P1" i="33"/>
  <c r="U68" i="46"/>
  <c r="O113" i="48"/>
  <c r="O112" i="37"/>
  <c r="O118" i="37" s="1"/>
  <c r="E8" i="33"/>
  <c r="C68" i="46"/>
  <c r="U83" i="46"/>
  <c r="P100" i="39"/>
  <c r="V25" i="33"/>
  <c r="E12" i="38"/>
  <c r="F119" i="37"/>
  <c r="N83" i="46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26" i="33" s="1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C83" i="46"/>
  <c r="V112" i="46"/>
  <c r="V125" i="46"/>
  <c r="V126" i="46"/>
  <c r="V113" i="46"/>
  <c r="V98" i="46"/>
  <c r="V68" i="46"/>
  <c r="V22" i="46"/>
  <c r="V83" i="46"/>
  <c r="V67" i="46"/>
  <c r="V37" i="46"/>
  <c r="V82" i="46"/>
  <c r="V1" i="46"/>
  <c r="V97" i="46"/>
  <c r="V52" i="46"/>
  <c r="V38" i="46"/>
  <c r="V53" i="46"/>
  <c r="V9" i="46"/>
  <c r="V23" i="46"/>
  <c r="W5" i="46"/>
  <c r="V8" i="46"/>
  <c r="P126" i="37"/>
  <c r="E92" i="38"/>
  <c r="K65" i="8" l="1"/>
  <c r="K70" i="8" s="1"/>
  <c r="K104" i="11"/>
  <c r="M65" i="8"/>
  <c r="N65" i="8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Q128" i="48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E102" i="33" s="1"/>
  <c r="P42" i="33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E87" i="33" s="1"/>
  <c r="P40" i="33"/>
  <c r="P25" i="33" s="1"/>
  <c r="P39" i="33"/>
  <c r="P24" i="33" s="1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P116" i="48"/>
  <c r="P115" i="37"/>
  <c r="O25" i="33"/>
  <c r="I122" i="37"/>
  <c r="P23" i="33"/>
  <c r="E38" i="33"/>
  <c r="P113" i="48"/>
  <c r="P112" i="37"/>
  <c r="P118" i="37" s="1"/>
  <c r="H123" i="37"/>
  <c r="O27" i="33"/>
  <c r="E42" i="33"/>
  <c r="C113" i="46"/>
  <c r="N101" i="11"/>
  <c r="M101" i="11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Q124" i="48"/>
  <c r="I120" i="48"/>
  <c r="G119" i="37"/>
  <c r="E23" i="33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E57" i="33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26" i="46"/>
  <c r="W113" i="46"/>
  <c r="W125" i="46"/>
  <c r="W112" i="46"/>
  <c r="W83" i="46"/>
  <c r="W67" i="46"/>
  <c r="W37" i="46"/>
  <c r="W53" i="46"/>
  <c r="W97" i="46"/>
  <c r="W1" i="46"/>
  <c r="W22" i="46" s="1"/>
  <c r="W82" i="46"/>
  <c r="W52" i="46"/>
  <c r="W38" i="46"/>
  <c r="W9" i="46"/>
  <c r="W68" i="46"/>
  <c r="W23" i="46"/>
  <c r="W98" i="46"/>
  <c r="W8" i="46"/>
  <c r="X5" i="46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25" i="33"/>
  <c r="B15" i="51" l="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R124" i="48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24" i="33" s="1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X23" i="46"/>
  <c r="Y5" i="46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E16" i="51" l="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X67" i="46"/>
  <c r="S100" i="39"/>
  <c r="R97" i="39"/>
  <c r="Y28" i="38"/>
  <c r="Q88" i="39"/>
  <c r="X126" i="46"/>
  <c r="Y26" i="38"/>
  <c r="Q115" i="48"/>
  <c r="Q114" i="37"/>
  <c r="D18" i="51" l="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26" i="33" s="1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Z67" i="46"/>
  <c r="Z37" i="46"/>
  <c r="Z53" i="46"/>
  <c r="AA5" i="46"/>
  <c r="Z1" i="46"/>
  <c r="Z82" i="46" s="1"/>
  <c r="Y125" i="46"/>
  <c r="Y68" i="46"/>
  <c r="Y97" i="46"/>
  <c r="R115" i="48"/>
  <c r="R114" i="37"/>
  <c r="R93" i="39"/>
  <c r="Y9" i="46"/>
  <c r="D19" i="51" l="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27" i="38" s="1"/>
  <c r="U89" i="39" s="1"/>
  <c r="AB108" i="38"/>
  <c r="AA112" i="46"/>
  <c r="AA98" i="46"/>
  <c r="AA83" i="46"/>
  <c r="AA68" i="46"/>
  <c r="AA67" i="46"/>
  <c r="AA37" i="46"/>
  <c r="AA125" i="46"/>
  <c r="AA97" i="46"/>
  <c r="AA52" i="46"/>
  <c r="AA82" i="46"/>
  <c r="AA9" i="46"/>
  <c r="AA23" i="46"/>
  <c r="AB5" i="46"/>
  <c r="AA1" i="46"/>
  <c r="AA126" i="46" s="1"/>
  <c r="AA8" i="46"/>
  <c r="AA38" i="46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J18" i="51" l="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V124" i="48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V127" i="4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27" i="38" s="1"/>
  <c r="V89" i="39" s="1"/>
  <c r="AC107" i="38"/>
  <c r="AC44" i="38"/>
  <c r="AC90" i="38"/>
  <c r="AC41" i="38"/>
  <c r="AC25" i="38" s="1"/>
  <c r="V87" i="39" s="1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25" i="33" s="1"/>
  <c r="AC85" i="33"/>
  <c r="AC70" i="33"/>
  <c r="AC39" i="33"/>
  <c r="AC11" i="33"/>
  <c r="AC71" i="33"/>
  <c r="AC56" i="33"/>
  <c r="AC41" i="33"/>
  <c r="AC26" i="33" s="1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125" i="46"/>
  <c r="AB97" i="46"/>
  <c r="AB82" i="46"/>
  <c r="AB83" i="46"/>
  <c r="AB53" i="46"/>
  <c r="AB68" i="46"/>
  <c r="AB23" i="46"/>
  <c r="AB8" i="46"/>
  <c r="D8" i="46" s="1"/>
  <c r="AB38" i="46"/>
  <c r="AB1" i="46"/>
  <c r="AB113" i="46" s="1"/>
  <c r="C82" i="11" l="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F97" i="46"/>
  <c r="D97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97" i="33" s="1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67" i="33" s="1"/>
  <c r="AD40" i="33"/>
  <c r="AD39" i="33"/>
  <c r="AD54" i="33"/>
  <c r="AD42" i="33"/>
  <c r="AD37" i="33" s="1"/>
  <c r="AD86" i="33"/>
  <c r="AD12" i="33"/>
  <c r="AD57" i="33"/>
  <c r="AD52" i="33" s="1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D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F41" i="38"/>
  <c r="U119" i="37"/>
  <c r="F83" i="46"/>
  <c r="D83" i="46"/>
  <c r="AB9" i="46"/>
  <c r="AB7" i="46" s="1"/>
  <c r="AB37" i="46"/>
  <c r="H104" i="38"/>
  <c r="F104" i="38"/>
  <c r="U115" i="48"/>
  <c r="U114" i="37"/>
  <c r="V123" i="48"/>
  <c r="AD7" i="38"/>
  <c r="H8" i="38"/>
  <c r="F8" i="38"/>
  <c r="AB126" i="46"/>
  <c r="AB124" i="46" s="1"/>
  <c r="AD106" i="38"/>
  <c r="AD89" i="38"/>
  <c r="AD75" i="38"/>
  <c r="AD73" i="38"/>
  <c r="AD44" i="38"/>
  <c r="F44" i="38" s="1"/>
  <c r="AD42" i="38"/>
  <c r="AD107" i="38"/>
  <c r="AD90" i="38"/>
  <c r="AD91" i="38"/>
  <c r="AD60" i="38"/>
  <c r="AD105" i="38"/>
  <c r="AD59" i="38"/>
  <c r="AD76" i="38"/>
  <c r="AD71" i="38" s="1"/>
  <c r="AD92" i="38"/>
  <c r="F92" i="38" s="1"/>
  <c r="AD74" i="38"/>
  <c r="AD58" i="38"/>
  <c r="AD57" i="38"/>
  <c r="AD43" i="38"/>
  <c r="AD11" i="38"/>
  <c r="AD108" i="38"/>
  <c r="AD103" i="38" s="1"/>
  <c r="AD41" i="38"/>
  <c r="AD9" i="38"/>
  <c r="AD10" i="38"/>
  <c r="AD12" i="38"/>
  <c r="AD7" i="33"/>
  <c r="AD1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G56" i="8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F57" i="8" s="1"/>
  <c r="I82" i="11"/>
  <c r="I57" i="8" s="1"/>
  <c r="J82" i="11"/>
  <c r="F68" i="33"/>
  <c r="H68" i="33"/>
  <c r="V101" i="39"/>
  <c r="AD82" i="33"/>
  <c r="AD92" i="33" s="1"/>
  <c r="H83" i="33"/>
  <c r="F83" i="33"/>
  <c r="G57" i="8" l="1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C58" i="33"/>
  <c r="AC52" i="33" s="1"/>
  <c r="AD60" i="33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0" i="38" s="1"/>
  <c r="AD82" i="38"/>
  <c r="AD111" i="38"/>
  <c r="AD112" i="38" s="1"/>
  <c r="AC109" i="38"/>
  <c r="AC103" i="38" s="1"/>
  <c r="AD114" i="38"/>
  <c r="AD45" i="33"/>
  <c r="AC43" i="33"/>
  <c r="AD47" i="33"/>
  <c r="AD105" i="33"/>
  <c r="AC103" i="33"/>
  <c r="AC97" i="33" s="1"/>
  <c r="AD107" i="33"/>
  <c r="AD75" i="33"/>
  <c r="AC73" i="33"/>
  <c r="AC67" i="33" s="1"/>
  <c r="AD77" i="33"/>
  <c r="F67" i="33"/>
  <c r="F24" i="18"/>
  <c r="F26" i="8"/>
  <c r="D66" i="11"/>
  <c r="D90" i="1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100" i="11"/>
  <c r="I67" i="8" s="1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4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99" i="11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H71" i="38"/>
  <c r="H79" i="38" s="1"/>
  <c r="H80" i="38" s="1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100" i="11"/>
  <c r="G67" i="8" s="1"/>
  <c r="G22" i="18"/>
  <c r="G24" i="8"/>
  <c r="G37" i="18"/>
  <c r="G39" i="8"/>
  <c r="F19" i="35"/>
  <c r="C25" i="18"/>
  <c r="C27" i="8"/>
  <c r="G10" i="18"/>
  <c r="G10" i="8"/>
  <c r="AB19" i="46"/>
  <c r="AC13" i="33"/>
  <c r="AC7" i="33" s="1"/>
  <c r="AD15" i="33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100" i="11"/>
  <c r="C67" i="8" s="1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100" i="11"/>
  <c r="F67" i="8" s="1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F71" i="38" s="1"/>
  <c r="D99" i="11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7" i="46"/>
  <c r="F12" i="46" s="1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99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D9" i="46"/>
  <c r="I42" i="18"/>
  <c r="I44" i="8"/>
  <c r="C69" i="17" s="1"/>
  <c r="C11" i="9"/>
  <c r="I99" i="11"/>
  <c r="I11" i="18"/>
  <c r="I11" i="8"/>
  <c r="F13" i="18"/>
  <c r="F13" i="8"/>
  <c r="G15" i="35"/>
  <c r="G16" i="35" s="1"/>
  <c r="D100" i="11"/>
  <c r="D67" i="8" s="1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6" i="38" s="1"/>
  <c r="G90" i="1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100" i="11"/>
  <c r="J67" i="8" s="1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99" i="11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D13" i="9"/>
  <c r="J13" i="18"/>
  <c r="J13" i="8"/>
  <c r="N12" i="11"/>
  <c r="M12" i="11"/>
  <c r="D21" i="9"/>
  <c r="N20" i="11"/>
  <c r="M20" i="11"/>
  <c r="H77" i="33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99" i="11"/>
  <c r="C11" i="8"/>
  <c r="C11" i="18"/>
  <c r="D9" i="8"/>
  <c r="D9" i="18"/>
  <c r="F39" i="18"/>
  <c r="F41" i="8"/>
  <c r="C148" i="11"/>
  <c r="J90" i="11"/>
  <c r="J66" i="11"/>
  <c r="J36" i="18"/>
  <c r="J38" i="8"/>
  <c r="D63" i="17" s="1"/>
  <c r="C35" i="8"/>
  <c r="C33" i="18"/>
  <c r="F8" i="35"/>
  <c r="C21" i="18"/>
  <c r="C23" i="8"/>
  <c r="F66" i="38"/>
  <c r="F55" i="38"/>
  <c r="W113" i="48"/>
  <c r="W112" i="37"/>
  <c r="W118" i="37" s="1"/>
  <c r="H23" i="33"/>
  <c r="F23" i="33"/>
  <c r="H108" i="38"/>
  <c r="F108" i="38"/>
  <c r="F103" i="38" s="1"/>
  <c r="H73" i="38"/>
  <c r="F73" i="38"/>
  <c r="D124" i="46"/>
  <c r="H56" i="33"/>
  <c r="F56" i="33"/>
  <c r="AB36" i="46"/>
  <c r="AB44" i="46" s="1"/>
  <c r="F37" i="46"/>
  <c r="D37" i="46"/>
  <c r="F124" i="46"/>
  <c r="F129" i="46" s="1"/>
  <c r="H99" i="33"/>
  <c r="F99" i="33"/>
  <c r="W123" i="48"/>
  <c r="AB29" i="46"/>
  <c r="AB21" i="46"/>
  <c r="F22" i="46"/>
  <c r="D22" i="46"/>
  <c r="H55" i="33"/>
  <c r="F55" i="33"/>
  <c r="H10" i="33"/>
  <c r="F10" i="33"/>
  <c r="H87" i="33"/>
  <c r="H82" i="33" s="1"/>
  <c r="F87" i="33"/>
  <c r="W127" i="37"/>
  <c r="H57" i="33"/>
  <c r="F57" i="33"/>
  <c r="H9" i="33"/>
  <c r="F9" i="33"/>
  <c r="F39" i="38"/>
  <c r="F50" i="38" s="1"/>
  <c r="AB132" i="46"/>
  <c r="F126" i="46"/>
  <c r="D126" i="46"/>
  <c r="F90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H7" i="33" s="1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AD22" i="33" s="1"/>
  <c r="H42" i="33"/>
  <c r="F42" i="33"/>
  <c r="F37" i="33" s="1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H97" i="33" s="1"/>
  <c r="F102" i="33"/>
  <c r="AB105" i="46"/>
  <c r="F98" i="46"/>
  <c r="D98" i="46"/>
  <c r="J69" i="8" l="1"/>
  <c r="J104" i="11"/>
  <c r="C69" i="8"/>
  <c r="C104" i="11"/>
  <c r="D69" i="8"/>
  <c r="D104" i="11"/>
  <c r="G69" i="8"/>
  <c r="G104" i="11"/>
  <c r="D70" i="8"/>
  <c r="I69" i="8"/>
  <c r="I70" i="8" s="1"/>
  <c r="I104" i="11"/>
  <c r="C70" i="8"/>
  <c r="G70" i="8"/>
  <c r="J70" i="8"/>
  <c r="F69" i="8"/>
  <c r="F70" i="8" s="1"/>
  <c r="F104" i="11"/>
  <c r="D59" i="8"/>
  <c r="D93" i="11"/>
  <c r="I59" i="8"/>
  <c r="I60" i="8" s="1"/>
  <c r="I93" i="11"/>
  <c r="J59" i="8"/>
  <c r="J93" i="11"/>
  <c r="G59" i="8"/>
  <c r="G60" i="8" s="1"/>
  <c r="G93" i="11"/>
  <c r="C59" i="8"/>
  <c r="C60" i="8" s="1"/>
  <c r="C93" i="11"/>
  <c r="F59" i="8"/>
  <c r="F60" i="8" s="1"/>
  <c r="F93" i="11"/>
  <c r="D60" i="8"/>
  <c r="J56" i="8"/>
  <c r="M46" i="11"/>
  <c r="N69" i="8"/>
  <c r="M69" i="8"/>
  <c r="C28" i="18"/>
  <c r="N67" i="8"/>
  <c r="M67" i="8"/>
  <c r="M70" i="8" s="1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E77" i="38"/>
  <c r="E71" i="38" s="1"/>
  <c r="F82" i="38"/>
  <c r="H90" i="33"/>
  <c r="H92" i="33"/>
  <c r="F19" i="46"/>
  <c r="H15" i="33"/>
  <c r="H17" i="33"/>
  <c r="E43" i="33"/>
  <c r="E37" i="33" s="1"/>
  <c r="F45" i="33"/>
  <c r="F47" i="33"/>
  <c r="AD30" i="33"/>
  <c r="AD32" i="33"/>
  <c r="H105" i="33"/>
  <c r="H107" i="33"/>
  <c r="E109" i="38"/>
  <c r="E103" i="38" s="1"/>
  <c r="F111" i="38"/>
  <c r="F114" i="38"/>
  <c r="E61" i="38"/>
  <c r="E55" i="38" s="1"/>
  <c r="F63" i="38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C15" i="33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27" i="46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H23" i="38"/>
  <c r="H31" i="38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F30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6" i="38"/>
  <c r="AB77" i="38"/>
  <c r="AB71" i="38" s="1"/>
  <c r="AC79" i="38"/>
  <c r="AC80" i="38" s="1"/>
  <c r="AC82" i="38"/>
  <c r="E45" i="38"/>
  <c r="E39" i="38" s="1"/>
  <c r="F47" i="38"/>
  <c r="F48" i="38" s="1"/>
  <c r="AB26" i="46"/>
  <c r="AB30" i="46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F28" i="38"/>
  <c r="AB74" i="46"/>
  <c r="N49" i="11"/>
  <c r="M49" i="11"/>
  <c r="K39" i="8"/>
  <c r="K37" i="18"/>
  <c r="F59" i="46"/>
  <c r="F51" i="46"/>
  <c r="F56" i="46" s="1"/>
  <c r="F60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9" i="46"/>
  <c r="D51" i="46"/>
  <c r="D40" i="9"/>
  <c r="E40" i="9"/>
  <c r="J22" i="35"/>
  <c r="M19" i="35"/>
  <c r="N19" i="35" s="1"/>
  <c r="I22" i="35"/>
  <c r="I30" i="35" s="1"/>
  <c r="AD32" i="38"/>
  <c r="F7" i="33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F40" i="35" s="1"/>
  <c r="AA54" i="46"/>
  <c r="AA51" i="46" s="1"/>
  <c r="AB56" i="46"/>
  <c r="AB60" i="46" s="1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H16" i="38"/>
  <c r="D38" i="17"/>
  <c r="E38" i="17"/>
  <c r="D44" i="9"/>
  <c r="E44" i="9"/>
  <c r="N27" i="18"/>
  <c r="M27" i="18"/>
  <c r="F52" i="33"/>
  <c r="AB59" i="46"/>
  <c r="J30" i="8"/>
  <c r="N21" i="8"/>
  <c r="M21" i="8"/>
  <c r="AC105" i="33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C16" i="38" s="1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C96" i="38" s="1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F45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B58" i="33"/>
  <c r="AB52" i="33" s="1"/>
  <c r="AC62" i="33"/>
  <c r="M9" i="8"/>
  <c r="N9" i="8"/>
  <c r="H96" i="3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W119" i="37"/>
  <c r="H27" i="33"/>
  <c r="F27" i="33"/>
  <c r="F131" i="46"/>
  <c r="AD47" i="38"/>
  <c r="AD48" i="38" s="1"/>
  <c r="AC45" i="38"/>
  <c r="AD50" i="38"/>
  <c r="AA39" i="46"/>
  <c r="AA36" i="46" s="1"/>
  <c r="AB41" i="46"/>
  <c r="AB45" i="46" s="1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2" i="38" s="1"/>
  <c r="AC114" i="38"/>
  <c r="AA129" i="46"/>
  <c r="AA132" i="46" s="1"/>
  <c r="Z127" i="46"/>
  <c r="Z124" i="46" s="1"/>
  <c r="AA131" i="46"/>
  <c r="G68" i="11" l="1"/>
  <c r="J60" i="8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D45" i="46" s="1"/>
  <c r="C39" i="46"/>
  <c r="C36" i="46" s="1"/>
  <c r="AB15" i="38"/>
  <c r="AA13" i="38"/>
  <c r="AA7" i="38" s="1"/>
  <c r="AB18" i="38"/>
  <c r="G74" i="11"/>
  <c r="G78" i="11" s="1"/>
  <c r="G71" i="11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4" i="38"/>
  <c r="E103" i="33"/>
  <c r="E97" i="33" s="1"/>
  <c r="F105" i="33"/>
  <c r="F107" i="33"/>
  <c r="D26" i="17"/>
  <c r="C31" i="9"/>
  <c r="E47" i="38"/>
  <c r="E50" i="38"/>
  <c r="AA71" i="46"/>
  <c r="AA75" i="46" s="1"/>
  <c r="Z69" i="46"/>
  <c r="Z66" i="46" s="1"/>
  <c r="AA74" i="46"/>
  <c r="AB72" i="46"/>
  <c r="J37" i="35"/>
  <c r="C30" i="9"/>
  <c r="AB42" i="46"/>
  <c r="D81" i="17"/>
  <c r="AA116" i="46"/>
  <c r="AA120" i="46" s="1"/>
  <c r="Z114" i="46"/>
  <c r="Z111" i="46" s="1"/>
  <c r="AA119" i="46"/>
  <c r="H60" i="33"/>
  <c r="H62" i="33"/>
  <c r="J68" i="11"/>
  <c r="J16" i="8"/>
  <c r="J16" i="18"/>
  <c r="D116" i="46"/>
  <c r="D120" i="46" s="1"/>
  <c r="C114" i="46"/>
  <c r="C111" i="46" s="1"/>
  <c r="D19" i="46"/>
  <c r="F15" i="33"/>
  <c r="F16" i="38" s="1"/>
  <c r="E13" i="33"/>
  <c r="E7" i="33" s="1"/>
  <c r="F17" i="33"/>
  <c r="D119" i="46"/>
  <c r="D12" i="46"/>
  <c r="D15" i="46" s="1"/>
  <c r="C10" i="46"/>
  <c r="C7" i="46" s="1"/>
  <c r="D14" i="46"/>
  <c r="F74" i="46"/>
  <c r="AB95" i="38"/>
  <c r="AB96" i="38" s="1"/>
  <c r="AA93" i="38"/>
  <c r="AA87" i="38" s="1"/>
  <c r="AB98" i="38"/>
  <c r="J10" i="35"/>
  <c r="M9" i="35"/>
  <c r="N9" i="35" s="1"/>
  <c r="E95" i="38"/>
  <c r="E98" i="38"/>
  <c r="E58" i="33"/>
  <c r="E52" i="33" s="1"/>
  <c r="F60" i="33"/>
  <c r="F62" i="33"/>
  <c r="C85" i="17"/>
  <c r="C35" i="9"/>
  <c r="AB79" i="38"/>
  <c r="AA77" i="38"/>
  <c r="AA71" i="38" s="1"/>
  <c r="AB82" i="38"/>
  <c r="AB57" i="46"/>
  <c r="Z19" i="46"/>
  <c r="AA13" i="33"/>
  <c r="AA7" i="33" s="1"/>
  <c r="AB15" i="33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AA60" i="46" s="1"/>
  <c r="Z54" i="46"/>
  <c r="Z51" i="46" s="1"/>
  <c r="AA59" i="46"/>
  <c r="N37" i="18"/>
  <c r="M37" i="18"/>
  <c r="C34" i="9"/>
  <c r="H34" i="38"/>
  <c r="C15" i="8"/>
  <c r="C49" i="8"/>
  <c r="AB60" i="33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2" i="38" s="1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AA72" i="46" s="1"/>
  <c r="E45" i="33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7" i="33"/>
  <c r="C69" i="11"/>
  <c r="C74" i="11"/>
  <c r="C78" i="11" s="1"/>
  <c r="C71" i="11"/>
  <c r="AB111" i="38"/>
  <c r="AB112" i="38" s="1"/>
  <c r="AA109" i="38"/>
  <c r="AA103" i="38" s="1"/>
  <c r="AB114" i="38"/>
  <c r="F22" i="33"/>
  <c r="D60" i="17"/>
  <c r="E60" i="17"/>
  <c r="AC30" i="33"/>
  <c r="AC32" i="33"/>
  <c r="F90" i="33"/>
  <c r="F96" i="38" s="1"/>
  <c r="E88" i="33"/>
  <c r="E82" i="33" s="1"/>
  <c r="F92" i="33"/>
  <c r="D69" i="11"/>
  <c r="D74" i="11"/>
  <c r="D78" i="11" s="1"/>
  <c r="D71" i="11"/>
  <c r="AB75" i="33"/>
  <c r="AA73" i="33"/>
  <c r="AA67" i="33" s="1"/>
  <c r="AB77" i="33"/>
  <c r="AA61" i="38"/>
  <c r="AA55" i="38" s="1"/>
  <c r="AB63" i="38"/>
  <c r="AB66" i="38"/>
  <c r="F15" i="8"/>
  <c r="F49" i="8"/>
  <c r="C69" i="46"/>
  <c r="C66" i="46" s="1"/>
  <c r="D71" i="46"/>
  <c r="D75" i="46" s="1"/>
  <c r="D82" i="17"/>
  <c r="E15" i="38"/>
  <c r="D13" i="38"/>
  <c r="D7" i="38" s="1"/>
  <c r="E18" i="38"/>
  <c r="AC45" i="33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2" i="46" s="1"/>
  <c r="F109" i="46"/>
  <c r="F117" i="46" s="1"/>
  <c r="F34" i="46"/>
  <c r="F42" i="46" s="1"/>
  <c r="F64" i="46"/>
  <c r="F72" i="46" s="1"/>
  <c r="F27" i="46"/>
  <c r="F79" i="46"/>
  <c r="F87" i="46" s="1"/>
  <c r="F49" i="46"/>
  <c r="F57" i="46" s="1"/>
  <c r="F44" i="46"/>
  <c r="I68" i="11"/>
  <c r="I16" i="8"/>
  <c r="I16" i="18"/>
  <c r="C24" i="46"/>
  <c r="C21" i="46" s="1"/>
  <c r="D26" i="46"/>
  <c r="D30" i="46" s="1"/>
  <c r="M36" i="8"/>
  <c r="F29" i="46"/>
  <c r="F74" i="11"/>
  <c r="F78" i="11" s="1"/>
  <c r="F71" i="11"/>
  <c r="F69" i="11"/>
  <c r="F64" i="38"/>
  <c r="H45" i="33"/>
  <c r="H48" i="38" s="1"/>
  <c r="H47" i="33"/>
  <c r="D29" i="46"/>
  <c r="H63" i="38"/>
  <c r="H64" i="38" s="1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6" i="38"/>
  <c r="N75" i="11"/>
  <c r="M75" i="11"/>
  <c r="E66" i="17"/>
  <c r="N41" i="8"/>
  <c r="M41" i="8"/>
  <c r="E29" i="38"/>
  <c r="E23" i="38" s="1"/>
  <c r="F31" i="38"/>
  <c r="K90" i="1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AA30" i="46" s="1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5" i="46" s="1"/>
  <c r="AA44" i="46"/>
  <c r="H22" i="33"/>
  <c r="E65" i="17"/>
  <c r="M40" i="8"/>
  <c r="N40" i="8"/>
  <c r="G15" i="18"/>
  <c r="G47" i="18"/>
  <c r="G48" i="18" s="1"/>
  <c r="AB105" i="33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0" i="38" s="1"/>
  <c r="E82" i="38"/>
  <c r="AC39" i="38"/>
  <c r="AC29" i="38"/>
  <c r="AC23" i="38" s="1"/>
  <c r="AA88" i="33"/>
  <c r="AA82" i="33" s="1"/>
  <c r="AB90" i="33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D60" i="46" s="1"/>
  <c r="F112" i="38"/>
  <c r="F80" i="38"/>
  <c r="K59" i="8" l="1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8" i="38"/>
  <c r="F30" i="33"/>
  <c r="E28" i="33"/>
  <c r="E22" i="33" s="1"/>
  <c r="F32" i="33"/>
  <c r="AA75" i="33"/>
  <c r="Z73" i="33"/>
  <c r="Z67" i="33" s="1"/>
  <c r="AA77" i="33"/>
  <c r="E35" i="17"/>
  <c r="E24" i="17"/>
  <c r="E17" i="17"/>
  <c r="E40" i="17" s="1"/>
  <c r="AA79" i="38"/>
  <c r="Z77" i="38"/>
  <c r="Z71" i="38" s="1"/>
  <c r="AA82" i="38"/>
  <c r="Z93" i="38"/>
  <c r="Z87" i="38" s="1"/>
  <c r="AA95" i="38"/>
  <c r="AA98" i="38"/>
  <c r="C19" i="46"/>
  <c r="E15" i="33"/>
  <c r="E16" i="38" s="1"/>
  <c r="D13" i="33"/>
  <c r="D7" i="33" s="1"/>
  <c r="E17" i="33"/>
  <c r="C101" i="46"/>
  <c r="C105" i="46" s="1"/>
  <c r="C104" i="46"/>
  <c r="S21" i="35"/>
  <c r="Q22" i="35"/>
  <c r="AB80" i="38"/>
  <c r="E105" i="33"/>
  <c r="Z56" i="46"/>
  <c r="Z60" i="46" s="1"/>
  <c r="Y54" i="46"/>
  <c r="Y51" i="46" s="1"/>
  <c r="Z59" i="46"/>
  <c r="D94" i="46"/>
  <c r="D102" i="46" s="1"/>
  <c r="D27" i="46"/>
  <c r="D34" i="46"/>
  <c r="D42" i="46" s="1"/>
  <c r="D79" i="46"/>
  <c r="D87" i="46" s="1"/>
  <c r="D64" i="46"/>
  <c r="D72" i="46" s="1"/>
  <c r="D109" i="46"/>
  <c r="D117" i="46" s="1"/>
  <c r="D49" i="46"/>
  <c r="D57" i="46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2" i="33"/>
  <c r="E112" i="38"/>
  <c r="M90" i="11"/>
  <c r="E31" i="38"/>
  <c r="E34" i="38"/>
  <c r="C71" i="46"/>
  <c r="C75" i="46" s="1"/>
  <c r="C74" i="46"/>
  <c r="C79" i="11"/>
  <c r="C84" i="11"/>
  <c r="E76" i="17"/>
  <c r="C116" i="46"/>
  <c r="C120" i="46" s="1"/>
  <c r="C119" i="46"/>
  <c r="AA15" i="38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Z30" i="46" s="1"/>
  <c r="Y24" i="46"/>
  <c r="Y21" i="46" s="1"/>
  <c r="Z29" i="46"/>
  <c r="F50" i="8"/>
  <c r="F62" i="8"/>
  <c r="F63" i="8" s="1"/>
  <c r="D50" i="8"/>
  <c r="D62" i="8"/>
  <c r="D63" i="8" s="1"/>
  <c r="C62" i="8"/>
  <c r="C63" i="8" s="1"/>
  <c r="C50" i="8"/>
  <c r="E60" i="33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2" i="33"/>
  <c r="Y19" i="46"/>
  <c r="Z13" i="33"/>
  <c r="Z7" i="33" s="1"/>
  <c r="AA15" i="33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2" i="38" s="1"/>
  <c r="AA114" i="38"/>
  <c r="H30" i="33"/>
  <c r="H32" i="38" s="1"/>
  <c r="H32" i="33"/>
  <c r="K24" i="11"/>
  <c r="N22" i="11"/>
  <c r="AD96" i="11"/>
  <c r="AD106" i="11"/>
  <c r="AD107" i="11" s="1"/>
  <c r="AL106" i="11"/>
  <c r="AL107" i="11" s="1"/>
  <c r="AL96" i="11"/>
  <c r="AA27" i="46"/>
  <c r="E96" i="38"/>
  <c r="J74" i="11"/>
  <c r="J78" i="11" s="1"/>
  <c r="J71" i="11"/>
  <c r="J69" i="11"/>
  <c r="C41" i="46"/>
  <c r="C45" i="46" s="1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5" i="46" s="1"/>
  <c r="Z44" i="46"/>
  <c r="Z88" i="33"/>
  <c r="Z82" i="33" s="1"/>
  <c r="AA90" i="33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6" i="38"/>
  <c r="AA57" i="46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60" i="46" s="1"/>
  <c r="C59" i="46"/>
  <c r="AR106" i="11"/>
  <c r="AR107" i="11" s="1"/>
  <c r="AR96" i="11"/>
  <c r="Y12" i="46"/>
  <c r="Y15" i="46" s="1"/>
  <c r="X10" i="46"/>
  <c r="X7" i="46" s="1"/>
  <c r="Y14" i="46"/>
  <c r="AC31" i="38"/>
  <c r="AC32" i="38" s="1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30" i="46" s="1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G62" i="8"/>
  <c r="G63" i="8" s="1"/>
  <c r="AA105" i="33"/>
  <c r="Z103" i="33"/>
  <c r="Z97" i="33" s="1"/>
  <c r="AA107" i="33"/>
  <c r="AC47" i="38"/>
  <c r="AC48" i="38" s="1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Z116" i="46"/>
  <c r="Z120" i="46" s="1"/>
  <c r="Y114" i="46"/>
  <c r="Y111" i="46" s="1"/>
  <c r="Z119" i="46"/>
  <c r="N59" i="8" l="1"/>
  <c r="K26" i="11"/>
  <c r="K93" i="11" s="1"/>
  <c r="M39" i="35"/>
  <c r="K39" i="35"/>
  <c r="D39" i="35" s="1"/>
  <c r="M93" i="11"/>
  <c r="M95" i="11" s="1"/>
  <c r="M106" i="11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30" i="46" s="1"/>
  <c r="X24" i="46"/>
  <c r="X21" i="46" s="1"/>
  <c r="Y29" i="46"/>
  <c r="D15" i="33"/>
  <c r="C13" i="33"/>
  <c r="C7" i="33" s="1"/>
  <c r="D17" i="33"/>
  <c r="Z75" i="33"/>
  <c r="Y73" i="33"/>
  <c r="Y67" i="33" s="1"/>
  <c r="Z77" i="33"/>
  <c r="Z15" i="38"/>
  <c r="Z16" i="38" s="1"/>
  <c r="Y13" i="38"/>
  <c r="Y7" i="38" s="1"/>
  <c r="Z18" i="38"/>
  <c r="N70" i="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79" i="46"/>
  <c r="C87" i="46" s="1"/>
  <c r="C49" i="46"/>
  <c r="C57" i="46" s="1"/>
  <c r="C34" i="46"/>
  <c r="C42" i="46" s="1"/>
  <c r="E75" i="17"/>
  <c r="X19" i="46"/>
  <c r="Z15" i="33"/>
  <c r="Y13" i="33"/>
  <c r="Y7" i="33" s="1"/>
  <c r="Z17" i="33"/>
  <c r="Z60" i="33"/>
  <c r="Y58" i="33"/>
  <c r="Y52" i="33" s="1"/>
  <c r="Z62" i="33"/>
  <c r="X39" i="46"/>
  <c r="X36" i="46" s="1"/>
  <c r="Y41" i="46"/>
  <c r="Y45" i="46" s="1"/>
  <c r="Y44" i="46"/>
  <c r="Y109" i="46"/>
  <c r="Y94" i="46"/>
  <c r="Y102" i="46" s="1"/>
  <c r="Y79" i="46"/>
  <c r="Y87" i="46" s="1"/>
  <c r="Y49" i="46"/>
  <c r="Y34" i="46"/>
  <c r="Y27" i="46"/>
  <c r="Y64" i="46"/>
  <c r="X69" i="46"/>
  <c r="X66" i="46" s="1"/>
  <c r="Y71" i="46"/>
  <c r="Y75" i="46" s="1"/>
  <c r="Y74" i="46"/>
  <c r="X54" i="46"/>
  <c r="X51" i="46" s="1"/>
  <c r="Y56" i="46"/>
  <c r="Y60" i="46" s="1"/>
  <c r="Y59" i="46"/>
  <c r="E30" i="33"/>
  <c r="E32" i="38" s="1"/>
  <c r="E32" i="33"/>
  <c r="X12" i="46"/>
  <c r="X15" i="46" s="1"/>
  <c r="W10" i="46"/>
  <c r="W7" i="46" s="1"/>
  <c r="X14" i="46"/>
  <c r="AA96" i="38"/>
  <c r="AA43" i="33"/>
  <c r="AA37" i="33" s="1"/>
  <c r="AB45" i="33"/>
  <c r="AB47" i="33"/>
  <c r="C85" i="11"/>
  <c r="C95" i="11"/>
  <c r="C96" i="11" s="1"/>
  <c r="D85" i="11"/>
  <c r="D95" i="11"/>
  <c r="D96" i="11" s="1"/>
  <c r="Y93" i="38"/>
  <c r="Y87" i="38" s="1"/>
  <c r="Z95" i="38"/>
  <c r="Z96" i="38" s="1"/>
  <c r="Z98" i="38"/>
  <c r="K68" i="11"/>
  <c r="K16" i="18"/>
  <c r="N24" i="11"/>
  <c r="K16" i="8"/>
  <c r="Y88" i="33"/>
  <c r="Y82" i="33" s="1"/>
  <c r="Z90" i="33"/>
  <c r="Z92" i="33"/>
  <c r="G72" i="8"/>
  <c r="G73" i="8" s="1"/>
  <c r="J62" i="8"/>
  <c r="J63" i="8" s="1"/>
  <c r="J50" i="8"/>
  <c r="F85" i="11"/>
  <c r="F95" i="11"/>
  <c r="F96" i="11" s="1"/>
  <c r="D16" i="38"/>
  <c r="K46" i="8"/>
  <c r="N47" i="8"/>
  <c r="Z105" i="33"/>
  <c r="Y103" i="33"/>
  <c r="Y97" i="33" s="1"/>
  <c r="Z107" i="33"/>
  <c r="J84" i="11"/>
  <c r="J79" i="11"/>
  <c r="Z79" i="38"/>
  <c r="Z80" i="38" s="1"/>
  <c r="Y77" i="38"/>
  <c r="Y71" i="38" s="1"/>
  <c r="Z82" i="38"/>
  <c r="C15" i="38"/>
  <c r="C18" i="38"/>
  <c r="Y109" i="38"/>
  <c r="Y103" i="38" s="1"/>
  <c r="Z111" i="38"/>
  <c r="Z114" i="38"/>
  <c r="Y61" i="38"/>
  <c r="Y55" i="38" s="1"/>
  <c r="Z63" i="38"/>
  <c r="Z66" i="38"/>
  <c r="Z72" i="46"/>
  <c r="C72" i="8"/>
  <c r="C73" i="8" s="1"/>
  <c r="G85" i="11"/>
  <c r="G95" i="11"/>
  <c r="G96" i="11" s="1"/>
  <c r="S22" i="35"/>
  <c r="S30" i="35" s="1"/>
  <c r="Q30" i="35"/>
  <c r="AA80" i="38"/>
  <c r="I50" i="8"/>
  <c r="I62" i="8"/>
  <c r="I63" i="8" s="1"/>
  <c r="AB29" i="38"/>
  <c r="AB23" i="38" s="1"/>
  <c r="AB39" i="38"/>
  <c r="AB30" i="33"/>
  <c r="AA28" i="33"/>
  <c r="AA22" i="33" s="1"/>
  <c r="AB32" i="33"/>
  <c r="AA64" i="38"/>
  <c r="X86" i="46"/>
  <c r="X90" i="46" s="1"/>
  <c r="W84" i="46"/>
  <c r="W81" i="46" s="1"/>
  <c r="X89" i="46"/>
  <c r="Z57" i="46"/>
  <c r="D72" i="8"/>
  <c r="D73" i="8" s="1"/>
  <c r="Y116" i="46"/>
  <c r="Y120" i="46" s="1"/>
  <c r="X114" i="46"/>
  <c r="X111" i="46" s="1"/>
  <c r="Y119" i="46"/>
  <c r="W99" i="46"/>
  <c r="W96" i="46" s="1"/>
  <c r="X101" i="46"/>
  <c r="X105" i="46" s="1"/>
  <c r="X104" i="46"/>
  <c r="K40" i="35"/>
  <c r="N30" i="8"/>
  <c r="P22" i="8"/>
  <c r="P27" i="8"/>
  <c r="P26" i="8"/>
  <c r="P23" i="8"/>
  <c r="P28" i="8"/>
  <c r="P29" i="8"/>
  <c r="P24" i="8"/>
  <c r="P21" i="8"/>
  <c r="N93" i="11"/>
  <c r="X129" i="46"/>
  <c r="X132" i="46" s="1"/>
  <c r="W127" i="46"/>
  <c r="W124" i="46" s="1"/>
  <c r="X131" i="46"/>
  <c r="Z27" i="46"/>
  <c r="F72" i="8"/>
  <c r="F73" i="8" s="1"/>
  <c r="K17" i="8" l="1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7" i="33"/>
  <c r="X109" i="38"/>
  <c r="X103" i="38" s="1"/>
  <c r="Y111" i="38"/>
  <c r="Y112" i="38" s="1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2" i="33"/>
  <c r="N68" i="11"/>
  <c r="K69" i="11"/>
  <c r="K74" i="11"/>
  <c r="X13" i="38"/>
  <c r="X7" i="38" s="1"/>
  <c r="Y15" i="38"/>
  <c r="Y16" i="38" s="1"/>
  <c r="Y18" i="38"/>
  <c r="W39" i="46"/>
  <c r="W36" i="46" s="1"/>
  <c r="X41" i="46"/>
  <c r="X45" i="46" s="1"/>
  <c r="X44" i="46"/>
  <c r="S33" i="35"/>
  <c r="S37" i="35" s="1"/>
  <c r="S39" i="35" s="1"/>
  <c r="C15" i="33"/>
  <c r="C16" i="38" s="1"/>
  <c r="C17" i="33"/>
  <c r="X93" i="38"/>
  <c r="X87" i="38" s="1"/>
  <c r="Y95" i="38"/>
  <c r="Y98" i="38"/>
  <c r="D106" i="11"/>
  <c r="D107" i="11" s="1"/>
  <c r="X71" i="46"/>
  <c r="X75" i="46" s="1"/>
  <c r="W69" i="46"/>
  <c r="W66" i="46" s="1"/>
  <c r="X74" i="46"/>
  <c r="Q39" i="35"/>
  <c r="Q40" i="35" s="1"/>
  <c r="X77" i="38"/>
  <c r="X71" i="38" s="1"/>
  <c r="Y79" i="38"/>
  <c r="Y80" i="38" s="1"/>
  <c r="Y82" i="38"/>
  <c r="X56" i="46"/>
  <c r="X60" i="46" s="1"/>
  <c r="W54" i="46"/>
  <c r="W51" i="46" s="1"/>
  <c r="X59" i="46"/>
  <c r="Y72" i="46"/>
  <c r="W19" i="46"/>
  <c r="Y15" i="33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7" i="33"/>
  <c r="X26" i="46"/>
  <c r="X30" i="46" s="1"/>
  <c r="W24" i="46"/>
  <c r="W21" i="46" s="1"/>
  <c r="X29" i="46"/>
  <c r="X116" i="46"/>
  <c r="X120" i="46" s="1"/>
  <c r="W114" i="46"/>
  <c r="W111" i="46" s="1"/>
  <c r="X119" i="46"/>
  <c r="J72" i="8"/>
  <c r="J73" i="8" s="1"/>
  <c r="Z64" i="38"/>
  <c r="AB47" i="38"/>
  <c r="AB48" i="38" s="1"/>
  <c r="AA45" i="38"/>
  <c r="AA39" i="38" s="1"/>
  <c r="AB50" i="38"/>
  <c r="Z43" i="33"/>
  <c r="Z37" i="33" s="1"/>
  <c r="AA45" i="33"/>
  <c r="AA47" i="33"/>
  <c r="Y42" i="46"/>
  <c r="X64" i="46"/>
  <c r="X94" i="46"/>
  <c r="X102" i="46" s="1"/>
  <c r="X109" i="46"/>
  <c r="X117" i="46" s="1"/>
  <c r="X34" i="46"/>
  <c r="X79" i="46"/>
  <c r="X87" i="46" s="1"/>
  <c r="X49" i="46"/>
  <c r="X57" i="46" s="1"/>
  <c r="X27" i="46"/>
  <c r="Y117" i="46"/>
  <c r="Y63" i="38"/>
  <c r="Y64" i="38" s="1"/>
  <c r="X61" i="38"/>
  <c r="X55" i="38" s="1"/>
  <c r="Y66" i="38"/>
  <c r="Y57" i="46"/>
  <c r="K47" i="18"/>
  <c r="N16" i="18"/>
  <c r="K15" i="18"/>
  <c r="F106" i="11"/>
  <c r="F107" i="11" s="1"/>
  <c r="C106" i="11"/>
  <c r="C107" i="11" s="1"/>
  <c r="J85" i="11"/>
  <c r="J95" i="11"/>
  <c r="J96" i="11" s="1"/>
  <c r="AA30" i="33"/>
  <c r="Z28" i="33"/>
  <c r="Z22" i="33" s="1"/>
  <c r="AA32" i="33"/>
  <c r="Y90" i="33"/>
  <c r="X88" i="33"/>
  <c r="X82" i="33" s="1"/>
  <c r="Y92" i="33"/>
  <c r="V99" i="46"/>
  <c r="V96" i="46" s="1"/>
  <c r="W101" i="46"/>
  <c r="W105" i="46" s="1"/>
  <c r="W104" i="46"/>
  <c r="AB31" i="38"/>
  <c r="AB32" i="38" s="1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N28" i="11" l="1"/>
  <c r="K18" i="8"/>
  <c r="N18" i="8" s="1"/>
  <c r="N17" i="8"/>
  <c r="M17" i="8"/>
  <c r="M60" i="8"/>
  <c r="K60" i="8"/>
  <c r="N60" i="8" s="1"/>
  <c r="V39" i="46"/>
  <c r="V36" i="46" s="1"/>
  <c r="W41" i="46"/>
  <c r="W45" i="46" s="1"/>
  <c r="W44" i="46"/>
  <c r="Z30" i="33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2" i="38" s="1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Z29" i="38"/>
  <c r="Z23" i="38" s="1"/>
  <c r="AA31" i="38"/>
  <c r="AA32" i="38" s="1"/>
  <c r="AA34" i="38"/>
  <c r="W34" i="46"/>
  <c r="W42" i="46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W13" i="38"/>
  <c r="W7" i="38" s="1"/>
  <c r="X18" i="38"/>
  <c r="V19" i="46"/>
  <c r="X15" i="33"/>
  <c r="W13" i="33"/>
  <c r="W7" i="33" s="1"/>
  <c r="X17" i="33"/>
  <c r="Y43" i="33"/>
  <c r="Y37" i="33" s="1"/>
  <c r="Z45" i="33"/>
  <c r="Z47" i="33"/>
  <c r="Y96" i="38"/>
  <c r="M15" i="18"/>
  <c r="M16" i="18" s="1"/>
  <c r="M47" i="18" s="1"/>
  <c r="M48" i="18" s="1"/>
  <c r="N15" i="18"/>
  <c r="V24" i="46"/>
  <c r="V21" i="46" s="1"/>
  <c r="W26" i="46"/>
  <c r="W30" i="46" s="1"/>
  <c r="W29" i="46"/>
  <c r="W103" i="33"/>
  <c r="W97" i="33" s="1"/>
  <c r="X105" i="33"/>
  <c r="X107" i="33"/>
  <c r="X95" i="38"/>
  <c r="X96" i="38" s="1"/>
  <c r="W93" i="38"/>
  <c r="W87" i="38" s="1"/>
  <c r="X98" i="38"/>
  <c r="W73" i="33"/>
  <c r="W67" i="33" s="1"/>
  <c r="X75" i="33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W88" i="33"/>
  <c r="W82" i="33" s="1"/>
  <c r="X92" i="33"/>
  <c r="W56" i="46"/>
  <c r="W60" i="46" s="1"/>
  <c r="V54" i="46"/>
  <c r="V51" i="46" s="1"/>
  <c r="W59" i="46"/>
  <c r="U127" i="46"/>
  <c r="U124" i="46" s="1"/>
  <c r="V129" i="46"/>
  <c r="V132" i="46" s="1"/>
  <c r="V131" i="46"/>
  <c r="K50" i="8"/>
  <c r="N49" i="8"/>
  <c r="X79" i="38"/>
  <c r="X80" i="38" s="1"/>
  <c r="W77" i="38"/>
  <c r="W71" i="38" s="1"/>
  <c r="X82" i="38"/>
  <c r="X63" i="38"/>
  <c r="W61" i="38"/>
  <c r="W55" i="38" s="1"/>
  <c r="X66" i="38"/>
  <c r="AA47" i="38"/>
  <c r="AA48" i="38" s="1"/>
  <c r="Z45" i="38"/>
  <c r="Z39" i="38" s="1"/>
  <c r="AA50" i="38"/>
  <c r="X60" i="33"/>
  <c r="W58" i="33"/>
  <c r="W52" i="33" s="1"/>
  <c r="X62" i="33"/>
  <c r="K62" i="8" l="1"/>
  <c r="K63" i="8" s="1"/>
  <c r="M18" i="8"/>
  <c r="U54" i="46"/>
  <c r="U51" i="46" s="1"/>
  <c r="V56" i="46"/>
  <c r="V60" i="46" s="1"/>
  <c r="V59" i="46"/>
  <c r="U69" i="46"/>
  <c r="U66" i="46" s="1"/>
  <c r="V71" i="46"/>
  <c r="V75" i="46" s="1"/>
  <c r="V74" i="46"/>
  <c r="V109" i="38"/>
  <c r="V103" i="38" s="1"/>
  <c r="W111" i="38"/>
  <c r="W112" i="38" s="1"/>
  <c r="W114" i="38"/>
  <c r="V58" i="33"/>
  <c r="V52" i="33" s="1"/>
  <c r="W60" i="33"/>
  <c r="W62" i="33"/>
  <c r="N62" i="8"/>
  <c r="K72" i="8"/>
  <c r="K73" i="8" s="1"/>
  <c r="V103" i="33"/>
  <c r="V97" i="33" s="1"/>
  <c r="W105" i="33"/>
  <c r="W107" i="33"/>
  <c r="Z31" i="38"/>
  <c r="Z32" i="38" s="1"/>
  <c r="Y29" i="38"/>
  <c r="Y23" i="38" s="1"/>
  <c r="Z34" i="38"/>
  <c r="V13" i="38"/>
  <c r="V7" i="38" s="1"/>
  <c r="W15" i="38"/>
  <c r="W16" i="38" s="1"/>
  <c r="W18" i="38"/>
  <c r="M62" i="8"/>
  <c r="M50" i="8"/>
  <c r="W72" i="46"/>
  <c r="Y30" i="33"/>
  <c r="X28" i="33"/>
  <c r="X22" i="33" s="1"/>
  <c r="Y32" i="33"/>
  <c r="V94" i="46"/>
  <c r="V102" i="46" s="1"/>
  <c r="V109" i="46"/>
  <c r="V117" i="46" s="1"/>
  <c r="V34" i="46"/>
  <c r="V42" i="46" s="1"/>
  <c r="V49" i="46"/>
  <c r="V57" i="46" s="1"/>
  <c r="V79" i="46"/>
  <c r="V87" i="46" s="1"/>
  <c r="V64" i="46"/>
  <c r="V72" i="46" s="1"/>
  <c r="Z47" i="38"/>
  <c r="Z48" i="38" s="1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30" i="46" s="1"/>
  <c r="V29" i="46"/>
  <c r="T10" i="46"/>
  <c r="T7" i="46" s="1"/>
  <c r="U12" i="46"/>
  <c r="U15" i="46" s="1"/>
  <c r="U14" i="46"/>
  <c r="W27" i="46"/>
  <c r="K84" i="11"/>
  <c r="N78" i="11"/>
  <c r="K79" i="11"/>
  <c r="T99" i="46"/>
  <c r="T96" i="46" s="1"/>
  <c r="U101" i="46"/>
  <c r="U105" i="46" s="1"/>
  <c r="U104" i="46"/>
  <c r="W63" i="38"/>
  <c r="V61" i="38"/>
  <c r="V55" i="38" s="1"/>
  <c r="W66" i="38"/>
  <c r="W90" i="33"/>
  <c r="V88" i="33"/>
  <c r="V82" i="33" s="1"/>
  <c r="W92" i="33"/>
  <c r="X43" i="33"/>
  <c r="X37" i="33" s="1"/>
  <c r="Y45" i="33"/>
  <c r="Y47" i="33"/>
  <c r="W57" i="46"/>
  <c r="U19" i="46"/>
  <c r="W15" i="33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7" i="33"/>
  <c r="W79" i="38"/>
  <c r="W80" i="38" s="1"/>
  <c r="V77" i="38"/>
  <c r="V71" i="38" s="1"/>
  <c r="W82" i="38"/>
  <c r="V93" i="38"/>
  <c r="V87" i="38" s="1"/>
  <c r="W95" i="38"/>
  <c r="W98" i="38"/>
  <c r="U39" i="46"/>
  <c r="U36" i="46" s="1"/>
  <c r="V41" i="46"/>
  <c r="V45" i="46" s="1"/>
  <c r="V44" i="46"/>
  <c r="V79" i="38" l="1"/>
  <c r="U77" i="38"/>
  <c r="U71" i="38" s="1"/>
  <c r="V82" i="38"/>
  <c r="S127" i="46"/>
  <c r="S124" i="46" s="1"/>
  <c r="T129" i="46"/>
  <c r="T132" i="46" s="1"/>
  <c r="T131" i="46"/>
  <c r="V111" i="38"/>
  <c r="V112" i="38" s="1"/>
  <c r="U109" i="38"/>
  <c r="U103" i="38" s="1"/>
  <c r="V114" i="38"/>
  <c r="K85" i="11"/>
  <c r="N84" i="11"/>
  <c r="K95" i="11"/>
  <c r="K96" i="11" s="1"/>
  <c r="V75" i="33"/>
  <c r="U73" i="33"/>
  <c r="U67" i="33" s="1"/>
  <c r="V77" i="33"/>
  <c r="W43" i="33"/>
  <c r="W37" i="33" s="1"/>
  <c r="X45" i="33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2" i="38" s="1"/>
  <c r="Y34" i="38"/>
  <c r="W64" i="38"/>
  <c r="U71" i="46"/>
  <c r="U75" i="46" s="1"/>
  <c r="T69" i="46"/>
  <c r="T66" i="46" s="1"/>
  <c r="U74" i="46"/>
  <c r="U58" i="33"/>
  <c r="U52" i="33" s="1"/>
  <c r="V60" i="33"/>
  <c r="V62" i="33"/>
  <c r="U88" i="33"/>
  <c r="U82" i="33" s="1"/>
  <c r="V90" i="33"/>
  <c r="V92" i="33"/>
  <c r="U26" i="46"/>
  <c r="U30" i="46" s="1"/>
  <c r="T24" i="46"/>
  <c r="T21" i="46" s="1"/>
  <c r="U29" i="46"/>
  <c r="T39" i="46"/>
  <c r="T36" i="46" s="1"/>
  <c r="U41" i="46"/>
  <c r="U45" i="46" s="1"/>
  <c r="U44" i="46"/>
  <c r="T19" i="46"/>
  <c r="V15" i="33"/>
  <c r="U13" i="33"/>
  <c r="U7" i="33" s="1"/>
  <c r="V17" i="33"/>
  <c r="U13" i="38"/>
  <c r="U7" i="38" s="1"/>
  <c r="V15" i="38"/>
  <c r="V16" i="38" s="1"/>
  <c r="V18" i="38"/>
  <c r="V27" i="46"/>
  <c r="X30" i="33"/>
  <c r="W28" i="33"/>
  <c r="W22" i="33" s="1"/>
  <c r="X32" i="33"/>
  <c r="U103" i="33"/>
  <c r="U97" i="33" s="1"/>
  <c r="V105" i="33"/>
  <c r="V107" i="33"/>
  <c r="X45" i="38"/>
  <c r="X39" i="38" s="1"/>
  <c r="Y47" i="38"/>
  <c r="Y48" i="38" s="1"/>
  <c r="Y50" i="38"/>
  <c r="V63" i="38"/>
  <c r="V64" i="38" s="1"/>
  <c r="U61" i="38"/>
  <c r="U55" i="38" s="1"/>
  <c r="V66" i="38"/>
  <c r="T114" i="46"/>
  <c r="T111" i="46" s="1"/>
  <c r="U116" i="46"/>
  <c r="U120" i="46" s="1"/>
  <c r="U119" i="46"/>
  <c r="W96" i="38"/>
  <c r="V95" i="38"/>
  <c r="V96" i="38" s="1"/>
  <c r="U93" i="38"/>
  <c r="U87" i="38" s="1"/>
  <c r="V98" i="38"/>
  <c r="U94" i="46"/>
  <c r="U102" i="46" s="1"/>
  <c r="U64" i="46"/>
  <c r="U72" i="46" s="1"/>
  <c r="U109" i="46"/>
  <c r="U49" i="46"/>
  <c r="U57" i="46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60" i="46" s="1"/>
  <c r="U59" i="46"/>
  <c r="S39" i="46" l="1"/>
  <c r="S36" i="46" s="1"/>
  <c r="T41" i="46"/>
  <c r="T45" i="46" s="1"/>
  <c r="T44" i="46"/>
  <c r="S114" i="46"/>
  <c r="S111" i="46" s="1"/>
  <c r="T116" i="46"/>
  <c r="T120" i="46" s="1"/>
  <c r="T119" i="46"/>
  <c r="T73" i="33"/>
  <c r="T67" i="33" s="1"/>
  <c r="U75" i="33"/>
  <c r="U77" i="33"/>
  <c r="U117" i="46"/>
  <c r="X31" i="38"/>
  <c r="X32" i="38" s="1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4" i="38"/>
  <c r="U90" i="33"/>
  <c r="T88" i="33"/>
  <c r="T82" i="33" s="1"/>
  <c r="U92" i="33"/>
  <c r="S129" i="46"/>
  <c r="S132" i="46" s="1"/>
  <c r="R127" i="46"/>
  <c r="R124" i="46" s="1"/>
  <c r="S131" i="46"/>
  <c r="N95" i="11"/>
  <c r="K106" i="11"/>
  <c r="K107" i="11" s="1"/>
  <c r="T13" i="38"/>
  <c r="T7" i="38" s="1"/>
  <c r="U15" i="38"/>
  <c r="U18" i="38"/>
  <c r="W45" i="38"/>
  <c r="W39" i="38" s="1"/>
  <c r="X47" i="38"/>
  <c r="X48" i="38" s="1"/>
  <c r="X50" i="38"/>
  <c r="U60" i="33"/>
  <c r="T58" i="33"/>
  <c r="T52" i="33" s="1"/>
  <c r="U62" i="33"/>
  <c r="T26" i="46"/>
  <c r="T30" i="46" s="1"/>
  <c r="S24" i="46"/>
  <c r="S21" i="46" s="1"/>
  <c r="T29" i="46"/>
  <c r="R99" i="46"/>
  <c r="R96" i="46" s="1"/>
  <c r="S101" i="46"/>
  <c r="S105" i="46" s="1"/>
  <c r="S104" i="46"/>
  <c r="U42" i="46"/>
  <c r="V43" i="33"/>
  <c r="V37" i="33" s="1"/>
  <c r="W45" i="33"/>
  <c r="W47" i="33"/>
  <c r="U105" i="33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117" i="46" s="1"/>
  <c r="T49" i="46"/>
  <c r="T34" i="46"/>
  <c r="T42" i="46" s="1"/>
  <c r="T64" i="46"/>
  <c r="T79" i="46"/>
  <c r="T87" i="46" s="1"/>
  <c r="S69" i="46"/>
  <c r="S66" i="46" s="1"/>
  <c r="T71" i="46"/>
  <c r="T75" i="46" s="1"/>
  <c r="T74" i="46"/>
  <c r="U79" i="38"/>
  <c r="U80" i="38" s="1"/>
  <c r="T77" i="38"/>
  <c r="T71" i="38" s="1"/>
  <c r="U82" i="38"/>
  <c r="W30" i="33"/>
  <c r="V28" i="33"/>
  <c r="V22" i="33" s="1"/>
  <c r="W32" i="33"/>
  <c r="T61" i="38"/>
  <c r="T55" i="38" s="1"/>
  <c r="U63" i="38"/>
  <c r="U66" i="38"/>
  <c r="U27" i="46"/>
  <c r="S19" i="46"/>
  <c r="T13" i="33"/>
  <c r="T7" i="33" s="1"/>
  <c r="U15" i="33"/>
  <c r="U17" i="33"/>
  <c r="S54" i="46"/>
  <c r="S51" i="46" s="1"/>
  <c r="T56" i="46"/>
  <c r="T60" i="46" s="1"/>
  <c r="T59" i="46"/>
  <c r="T93" i="38"/>
  <c r="T87" i="38" s="1"/>
  <c r="U95" i="38"/>
  <c r="U96" i="38" s="1"/>
  <c r="U98" i="38"/>
  <c r="V80" i="38"/>
  <c r="R101" i="46" l="1"/>
  <c r="R105" i="46" s="1"/>
  <c r="Q99" i="46"/>
  <c r="Q96" i="46" s="1"/>
  <c r="R104" i="46"/>
  <c r="V30" i="33"/>
  <c r="U28" i="33"/>
  <c r="U22" i="33" s="1"/>
  <c r="V32" i="33"/>
  <c r="S93" i="38"/>
  <c r="S87" i="38" s="1"/>
  <c r="T95" i="38"/>
  <c r="T96" i="38" s="1"/>
  <c r="T98" i="38"/>
  <c r="S73" i="33"/>
  <c r="S67" i="33" s="1"/>
  <c r="T75" i="33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60" i="46" s="1"/>
  <c r="S59" i="46"/>
  <c r="T79" i="38"/>
  <c r="S77" i="38"/>
  <c r="S71" i="38" s="1"/>
  <c r="T82" i="38"/>
  <c r="S58" i="33"/>
  <c r="S52" i="33" s="1"/>
  <c r="T60" i="33"/>
  <c r="T62" i="33"/>
  <c r="T105" i="33"/>
  <c r="S103" i="33"/>
  <c r="S97" i="33" s="1"/>
  <c r="T107" i="33"/>
  <c r="T90" i="33"/>
  <c r="S88" i="33"/>
  <c r="S82" i="33" s="1"/>
  <c r="T92" i="33"/>
  <c r="W31" i="38"/>
  <c r="W32" i="38" s="1"/>
  <c r="V29" i="38"/>
  <c r="V23" i="38" s="1"/>
  <c r="W34" i="38"/>
  <c r="U43" i="33"/>
  <c r="U37" i="33" s="1"/>
  <c r="V45" i="33"/>
  <c r="V47" i="33"/>
  <c r="U112" i="38"/>
  <c r="R114" i="46"/>
  <c r="R111" i="46" s="1"/>
  <c r="S116" i="46"/>
  <c r="S120" i="46" s="1"/>
  <c r="S119" i="46"/>
  <c r="N106" i="11"/>
  <c r="R19" i="46"/>
  <c r="S13" i="33"/>
  <c r="S7" i="33" s="1"/>
  <c r="T15" i="33"/>
  <c r="T17" i="33"/>
  <c r="T111" i="38"/>
  <c r="T112" i="38" s="1"/>
  <c r="S109" i="38"/>
  <c r="S103" i="38" s="1"/>
  <c r="T114" i="38"/>
  <c r="S64" i="46"/>
  <c r="S72" i="46" s="1"/>
  <c r="S94" i="46"/>
  <c r="S102" i="46" s="1"/>
  <c r="S109" i="46"/>
  <c r="S117" i="46" s="1"/>
  <c r="S49" i="46"/>
  <c r="S34" i="46"/>
  <c r="S42" i="46" s="1"/>
  <c r="S79" i="46"/>
  <c r="S87" i="46" s="1"/>
  <c r="V45" i="38"/>
  <c r="V39" i="38" s="1"/>
  <c r="W47" i="38"/>
  <c r="W48" i="38" s="1"/>
  <c r="W50" i="38"/>
  <c r="U16" i="38"/>
  <c r="R24" i="46"/>
  <c r="R21" i="46" s="1"/>
  <c r="S26" i="46"/>
  <c r="S30" i="46" s="1"/>
  <c r="S29" i="46"/>
  <c r="R129" i="46"/>
  <c r="R132" i="46" s="1"/>
  <c r="Q127" i="46"/>
  <c r="Q124" i="46" s="1"/>
  <c r="R131" i="46"/>
  <c r="T72" i="46"/>
  <c r="T27" i="46"/>
  <c r="U64" i="38"/>
  <c r="T63" i="38"/>
  <c r="S61" i="38"/>
  <c r="S55" i="38" s="1"/>
  <c r="T66" i="38"/>
  <c r="T57" i="46"/>
  <c r="S13" i="38"/>
  <c r="S7" i="38" s="1"/>
  <c r="T15" i="38"/>
  <c r="T16" i="38" s="1"/>
  <c r="T18" i="38"/>
  <c r="Q84" i="46"/>
  <c r="Q81" i="46" s="1"/>
  <c r="R86" i="46"/>
  <c r="R90" i="46" s="1"/>
  <c r="R89" i="46"/>
  <c r="S41" i="46"/>
  <c r="S45" i="46" s="1"/>
  <c r="R39" i="46"/>
  <c r="R36" i="46" s="1"/>
  <c r="S44" i="46"/>
  <c r="S111" i="38" l="1"/>
  <c r="R109" i="38"/>
  <c r="R103" i="38" s="1"/>
  <c r="S114" i="38"/>
  <c r="R94" i="46"/>
  <c r="R102" i="46" s="1"/>
  <c r="R27" i="46"/>
  <c r="R109" i="46"/>
  <c r="R49" i="46"/>
  <c r="R34" i="46"/>
  <c r="R79" i="46"/>
  <c r="R87" i="46" s="1"/>
  <c r="R64" i="46"/>
  <c r="R72" i="46" s="1"/>
  <c r="P84" i="46"/>
  <c r="P81" i="46" s="1"/>
  <c r="Q86" i="46"/>
  <c r="Q90" i="46" s="1"/>
  <c r="Q89" i="46"/>
  <c r="R73" i="33"/>
  <c r="R67" i="33" s="1"/>
  <c r="S75" i="33"/>
  <c r="S77" i="33"/>
  <c r="R77" i="38"/>
  <c r="R71" i="38" s="1"/>
  <c r="S79" i="38"/>
  <c r="S82" i="38"/>
  <c r="U30" i="33"/>
  <c r="T28" i="33"/>
  <c r="T22" i="33" s="1"/>
  <c r="U32" i="33"/>
  <c r="Q129" i="46"/>
  <c r="Q132" i="46" s="1"/>
  <c r="P127" i="46"/>
  <c r="P124" i="46" s="1"/>
  <c r="Q131" i="46"/>
  <c r="U45" i="33"/>
  <c r="T43" i="33"/>
  <c r="T37" i="33" s="1"/>
  <c r="U47" i="33"/>
  <c r="Q69" i="46"/>
  <c r="Q66" i="46" s="1"/>
  <c r="R71" i="46"/>
  <c r="R75" i="46" s="1"/>
  <c r="R74" i="46"/>
  <c r="R13" i="38"/>
  <c r="R7" i="38" s="1"/>
  <c r="S15" i="38"/>
  <c r="S18" i="38"/>
  <c r="Q19" i="46"/>
  <c r="R13" i="33"/>
  <c r="R7" i="33" s="1"/>
  <c r="S15" i="33"/>
  <c r="S17" i="33"/>
  <c r="T64" i="38"/>
  <c r="P10" i="46"/>
  <c r="P7" i="46" s="1"/>
  <c r="Q12" i="46"/>
  <c r="Q15" i="46" s="1"/>
  <c r="Q14" i="46"/>
  <c r="Q24" i="46"/>
  <c r="Q21" i="46" s="1"/>
  <c r="R26" i="46"/>
  <c r="R30" i="46" s="1"/>
  <c r="R29" i="46"/>
  <c r="V31" i="38"/>
  <c r="V32" i="38" s="1"/>
  <c r="U29" i="38"/>
  <c r="U23" i="38" s="1"/>
  <c r="V34" i="38"/>
  <c r="R93" i="38"/>
  <c r="R87" i="38" s="1"/>
  <c r="S95" i="38"/>
  <c r="S96" i="38" s="1"/>
  <c r="S98" i="38"/>
  <c r="V47" i="38"/>
  <c r="V48" i="38" s="1"/>
  <c r="U45" i="38"/>
  <c r="U39" i="38" s="1"/>
  <c r="V50" i="38"/>
  <c r="S63" i="38"/>
  <c r="R61" i="38"/>
  <c r="R55" i="38" s="1"/>
  <c r="S66" i="38"/>
  <c r="S90" i="33"/>
  <c r="R88" i="33"/>
  <c r="R82" i="33" s="1"/>
  <c r="S92" i="33"/>
  <c r="S57" i="46"/>
  <c r="R116" i="46"/>
  <c r="R120" i="46" s="1"/>
  <c r="Q114" i="46"/>
  <c r="Q111" i="46" s="1"/>
  <c r="R119" i="46"/>
  <c r="S105" i="33"/>
  <c r="R103" i="33"/>
  <c r="R97" i="33" s="1"/>
  <c r="S107" i="33"/>
  <c r="Q101" i="46"/>
  <c r="Q105" i="46" s="1"/>
  <c r="P99" i="46"/>
  <c r="P96" i="46" s="1"/>
  <c r="Q104" i="46"/>
  <c r="R58" i="33"/>
  <c r="R52" i="33" s="1"/>
  <c r="S60" i="33"/>
  <c r="S62" i="33"/>
  <c r="T80" i="38"/>
  <c r="R56" i="46"/>
  <c r="R60" i="46" s="1"/>
  <c r="Q54" i="46"/>
  <c r="Q51" i="46" s="1"/>
  <c r="R59" i="46"/>
  <c r="R41" i="46"/>
  <c r="R45" i="46" s="1"/>
  <c r="Q39" i="46"/>
  <c r="Q36" i="46" s="1"/>
  <c r="R44" i="46"/>
  <c r="S27" i="46"/>
  <c r="S43" i="33" l="1"/>
  <c r="S37" i="33" s="1"/>
  <c r="T45" i="33"/>
  <c r="T47" i="33"/>
  <c r="R105" i="33"/>
  <c r="Q103" i="33"/>
  <c r="Q9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60" i="46" s="1"/>
  <c r="Q59" i="46"/>
  <c r="T29" i="38"/>
  <c r="T23" i="38" s="1"/>
  <c r="U31" i="38"/>
  <c r="U32" i="38" s="1"/>
  <c r="U34" i="38"/>
  <c r="Q79" i="46"/>
  <c r="Q87" i="46" s="1"/>
  <c r="Q64" i="46"/>
  <c r="Q94" i="46"/>
  <c r="Q102" i="46" s="1"/>
  <c r="Q49" i="46"/>
  <c r="Q34" i="46"/>
  <c r="Q42" i="46" s="1"/>
  <c r="Q109" i="46"/>
  <c r="Q117" i="46" s="1"/>
  <c r="R57" i="46"/>
  <c r="U47" i="38"/>
  <c r="U48" i="38" s="1"/>
  <c r="T45" i="38"/>
  <c r="T39" i="38" s="1"/>
  <c r="U50" i="38"/>
  <c r="R95" i="38"/>
  <c r="Q93" i="38"/>
  <c r="Q87" i="38" s="1"/>
  <c r="R98" i="38"/>
  <c r="S28" i="33"/>
  <c r="S22" i="33" s="1"/>
  <c r="T30" i="33"/>
  <c r="T32" i="33"/>
  <c r="S80" i="38"/>
  <c r="Q116" i="46"/>
  <c r="Q120" i="46" s="1"/>
  <c r="P114" i="46"/>
  <c r="P111" i="46" s="1"/>
  <c r="Q119" i="46"/>
  <c r="R42" i="46"/>
  <c r="S16" i="38"/>
  <c r="R79" i="38"/>
  <c r="R80" i="38" s="1"/>
  <c r="Q77" i="38"/>
  <c r="Q71" i="38" s="1"/>
  <c r="R82" i="38"/>
  <c r="Q73" i="33"/>
  <c r="Q67" i="33" s="1"/>
  <c r="R75" i="33"/>
  <c r="R77" i="33"/>
  <c r="Q41" i="46"/>
  <c r="Q45" i="46" s="1"/>
  <c r="P39" i="46"/>
  <c r="P36" i="46" s="1"/>
  <c r="Q44" i="46"/>
  <c r="R117" i="46"/>
  <c r="R90" i="33"/>
  <c r="Q88" i="33"/>
  <c r="Q82" i="33" s="1"/>
  <c r="R92" i="33"/>
  <c r="R60" i="33"/>
  <c r="Q58" i="33"/>
  <c r="Q52" i="33" s="1"/>
  <c r="R62" i="33"/>
  <c r="P101" i="46"/>
  <c r="P105" i="46" s="1"/>
  <c r="O99" i="46"/>
  <c r="O96" i="46" s="1"/>
  <c r="P104" i="46"/>
  <c r="Q26" i="46"/>
  <c r="Q30" i="46" s="1"/>
  <c r="P24" i="46"/>
  <c r="P21" i="46" s="1"/>
  <c r="Q29" i="46"/>
  <c r="P69" i="46"/>
  <c r="P66" i="46" s="1"/>
  <c r="Q71" i="46"/>
  <c r="Q75" i="46" s="1"/>
  <c r="Q74" i="46"/>
  <c r="R111" i="38"/>
  <c r="R112" i="38" s="1"/>
  <c r="Q109" i="38"/>
  <c r="Q103" i="38" s="1"/>
  <c r="R114" i="38"/>
  <c r="O84" i="46"/>
  <c r="O81" i="46" s="1"/>
  <c r="P86" i="46"/>
  <c r="P90" i="46" s="1"/>
  <c r="P89" i="46"/>
  <c r="P19" i="46"/>
  <c r="R15" i="33"/>
  <c r="Q13" i="33"/>
  <c r="Q7" i="33" s="1"/>
  <c r="R17" i="33"/>
  <c r="R15" i="38"/>
  <c r="R16" i="38" s="1"/>
  <c r="Q13" i="38"/>
  <c r="Q7" i="38" s="1"/>
  <c r="R18" i="38"/>
  <c r="R63" i="38"/>
  <c r="Q61" i="38"/>
  <c r="Q55" i="38" s="1"/>
  <c r="R66" i="38"/>
  <c r="S64" i="38"/>
  <c r="S112" i="38"/>
  <c r="P13" i="38" l="1"/>
  <c r="P7" i="38" s="1"/>
  <c r="Q15" i="38"/>
  <c r="Q18" i="38"/>
  <c r="P103" i="33"/>
  <c r="P97" i="33" s="1"/>
  <c r="Q105" i="33"/>
  <c r="O54" i="46"/>
  <c r="O51" i="46" s="1"/>
  <c r="P56" i="46"/>
  <c r="P60" i="46" s="1"/>
  <c r="P59" i="46"/>
  <c r="N127" i="46"/>
  <c r="N124" i="46" s="1"/>
  <c r="O129" i="46"/>
  <c r="O132" i="46" s="1"/>
  <c r="O131" i="46"/>
  <c r="Q27" i="46"/>
  <c r="S45" i="38"/>
  <c r="S39" i="38" s="1"/>
  <c r="T47" i="38"/>
  <c r="T48" i="38" s="1"/>
  <c r="T50" i="38"/>
  <c r="Q90" i="33"/>
  <c r="P88" i="33"/>
  <c r="P82" i="33" s="1"/>
  <c r="Q92" i="33"/>
  <c r="P116" i="46"/>
  <c r="P120" i="46" s="1"/>
  <c r="O114" i="46"/>
  <c r="O111" i="46" s="1"/>
  <c r="P119" i="46"/>
  <c r="Q57" i="46"/>
  <c r="O19" i="46"/>
  <c r="P13" i="33"/>
  <c r="P7" i="33" s="1"/>
  <c r="Q15" i="33"/>
  <c r="Q17" i="33"/>
  <c r="Q63" i="38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P45" i="46" s="1"/>
  <c r="O39" i="46"/>
  <c r="O36" i="46" s="1"/>
  <c r="P44" i="46"/>
  <c r="P26" i="46"/>
  <c r="P30" i="46" s="1"/>
  <c r="O24" i="46"/>
  <c r="O21" i="46" s="1"/>
  <c r="P29" i="46"/>
  <c r="Q72" i="46"/>
  <c r="S30" i="33"/>
  <c r="R28" i="33"/>
  <c r="R22" i="33" s="1"/>
  <c r="S32" i="33"/>
  <c r="Q95" i="38"/>
  <c r="Q96" i="38" s="1"/>
  <c r="P93" i="38"/>
  <c r="P87" i="38" s="1"/>
  <c r="Q98" i="38"/>
  <c r="R96" i="38"/>
  <c r="T31" i="38"/>
  <c r="T32" i="38" s="1"/>
  <c r="S29" i="38"/>
  <c r="S23" i="38" s="1"/>
  <c r="T34" i="38"/>
  <c r="Q111" i="38"/>
  <c r="Q112" i="38" s="1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72" i="46" s="1"/>
  <c r="P34" i="46"/>
  <c r="P42" i="46" s="1"/>
  <c r="Q75" i="33"/>
  <c r="P73" i="33"/>
  <c r="P67" i="33" s="1"/>
  <c r="Q77" i="33"/>
  <c r="N84" i="46"/>
  <c r="N81" i="46" s="1"/>
  <c r="O86" i="46"/>
  <c r="O90" i="46" s="1"/>
  <c r="O89" i="46"/>
  <c r="Q60" i="33"/>
  <c r="P58" i="33"/>
  <c r="P52" i="33" s="1"/>
  <c r="Q62" i="33"/>
  <c r="P77" i="38"/>
  <c r="P71" i="38" s="1"/>
  <c r="Q79" i="38"/>
  <c r="Q82" i="38"/>
  <c r="S45" i="33"/>
  <c r="R43" i="33"/>
  <c r="R37" i="33" s="1"/>
  <c r="S47" i="33"/>
  <c r="S47" i="38" l="1"/>
  <c r="S48" i="38" s="1"/>
  <c r="R45" i="38"/>
  <c r="R39" i="38" s="1"/>
  <c r="S50" i="38"/>
  <c r="N129" i="46"/>
  <c r="N132" i="46" s="1"/>
  <c r="M127" i="46"/>
  <c r="M124" i="46" s="1"/>
  <c r="N131" i="46"/>
  <c r="Q80" i="38"/>
  <c r="P95" i="38"/>
  <c r="P96" i="38" s="1"/>
  <c r="O93" i="38"/>
  <c r="O87" i="38" s="1"/>
  <c r="P98" i="38"/>
  <c r="O64" i="46"/>
  <c r="O72" i="46" s="1"/>
  <c r="O79" i="46"/>
  <c r="O87" i="46" s="1"/>
  <c r="O49" i="46"/>
  <c r="O57" i="46" s="1"/>
  <c r="O94" i="46"/>
  <c r="O102" i="46" s="1"/>
  <c r="O109" i="46"/>
  <c r="O34" i="46"/>
  <c r="O109" i="38"/>
  <c r="O103" i="38" s="1"/>
  <c r="P111" i="38"/>
  <c r="P114" i="38"/>
  <c r="O73" i="33"/>
  <c r="O67" i="33" s="1"/>
  <c r="P75" i="33"/>
  <c r="P77" i="33"/>
  <c r="R45" i="33"/>
  <c r="Q43" i="33"/>
  <c r="Q37" i="33" s="1"/>
  <c r="R47" i="33"/>
  <c r="P27" i="46"/>
  <c r="O77" i="38"/>
  <c r="O71" i="38" s="1"/>
  <c r="P79" i="38"/>
  <c r="P82" i="38"/>
  <c r="N69" i="46"/>
  <c r="N66" i="46" s="1"/>
  <c r="O71" i="46"/>
  <c r="O75" i="46" s="1"/>
  <c r="O74" i="46"/>
  <c r="O88" i="33"/>
  <c r="O82" i="33" s="1"/>
  <c r="P90" i="33"/>
  <c r="P92" i="33"/>
  <c r="P105" i="33"/>
  <c r="O103" i="33"/>
  <c r="O97" i="33" s="1"/>
  <c r="O41" i="46"/>
  <c r="O45" i="46" s="1"/>
  <c r="N39" i="46"/>
  <c r="N36" i="46" s="1"/>
  <c r="O44" i="46"/>
  <c r="P57" i="46"/>
  <c r="N114" i="46"/>
  <c r="N111" i="46" s="1"/>
  <c r="O116" i="46"/>
  <c r="O120" i="46" s="1"/>
  <c r="O119" i="46"/>
  <c r="P117" i="46"/>
  <c r="P60" i="33"/>
  <c r="O58" i="33"/>
  <c r="O52" i="33" s="1"/>
  <c r="P62" i="33"/>
  <c r="N101" i="46"/>
  <c r="N105" i="46" s="1"/>
  <c r="M99" i="46"/>
  <c r="M96" i="46" s="1"/>
  <c r="N104" i="46"/>
  <c r="O26" i="46"/>
  <c r="O30" i="46" s="1"/>
  <c r="N24" i="46"/>
  <c r="N21" i="46" s="1"/>
  <c r="O29" i="46"/>
  <c r="N19" i="46"/>
  <c r="P15" i="33"/>
  <c r="O13" i="33"/>
  <c r="O7" i="33" s="1"/>
  <c r="P17" i="33"/>
  <c r="O56" i="46"/>
  <c r="O60" i="46" s="1"/>
  <c r="N54" i="46"/>
  <c r="N51" i="46" s="1"/>
  <c r="O59" i="46"/>
  <c r="P63" i="38"/>
  <c r="P64" i="38" s="1"/>
  <c r="O61" i="38"/>
  <c r="O55" i="38" s="1"/>
  <c r="P66" i="38"/>
  <c r="Q16" i="38"/>
  <c r="R29" i="38"/>
  <c r="R23" i="38" s="1"/>
  <c r="S31" i="38"/>
  <c r="S32" i="38" s="1"/>
  <c r="S34" i="38"/>
  <c r="M10" i="46"/>
  <c r="M7" i="46" s="1"/>
  <c r="N12" i="46"/>
  <c r="N15" i="46" s="1"/>
  <c r="N14" i="46"/>
  <c r="Q28" i="33"/>
  <c r="Q22" i="33" s="1"/>
  <c r="R30" i="33"/>
  <c r="R32" i="33"/>
  <c r="N86" i="46"/>
  <c r="N90" i="46" s="1"/>
  <c r="M84" i="46"/>
  <c r="M81" i="46" s="1"/>
  <c r="N89" i="46"/>
  <c r="Q64" i="38"/>
  <c r="O13" i="38"/>
  <c r="O7" i="38" s="1"/>
  <c r="P15" i="38"/>
  <c r="P16" i="38" s="1"/>
  <c r="P18" i="38"/>
  <c r="N26" i="46" l="1"/>
  <c r="N30" i="46" s="1"/>
  <c r="M24" i="46"/>
  <c r="M21" i="46" s="1"/>
  <c r="N29" i="46"/>
  <c r="N13" i="38"/>
  <c r="N7" i="38" s="1"/>
  <c r="O15" i="38"/>
  <c r="O18" i="38"/>
  <c r="R31" i="38"/>
  <c r="R32" i="38" s="1"/>
  <c r="Q29" i="38"/>
  <c r="Q23" i="38" s="1"/>
  <c r="R34" i="38"/>
  <c r="N93" i="38"/>
  <c r="N87" i="38" s="1"/>
  <c r="O95" i="38"/>
  <c r="O96" i="38" s="1"/>
  <c r="O98" i="38"/>
  <c r="P28" i="33"/>
  <c r="P22" i="33" s="1"/>
  <c r="Q30" i="33"/>
  <c r="Q32" i="33"/>
  <c r="L127" i="46"/>
  <c r="L124" i="46" s="1"/>
  <c r="M129" i="46"/>
  <c r="M132" i="46" s="1"/>
  <c r="M131" i="46"/>
  <c r="O105" i="33"/>
  <c r="N103" i="33"/>
  <c r="N97" i="33" s="1"/>
  <c r="N56" i="46"/>
  <c r="N60" i="46" s="1"/>
  <c r="M54" i="46"/>
  <c r="M51" i="46" s="1"/>
  <c r="N59" i="46"/>
  <c r="P112" i="38"/>
  <c r="M101" i="46"/>
  <c r="M105" i="46" s="1"/>
  <c r="L99" i="46"/>
  <c r="L96" i="46" s="1"/>
  <c r="M104" i="46"/>
  <c r="O63" i="38"/>
  <c r="O64" i="38" s="1"/>
  <c r="N61" i="38"/>
  <c r="N55" i="38" s="1"/>
  <c r="O66" i="38"/>
  <c r="O90" i="33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2" i="38" s="1"/>
  <c r="O114" i="38"/>
  <c r="O60" i="33"/>
  <c r="N58" i="33"/>
  <c r="N52" i="33" s="1"/>
  <c r="O62" i="33"/>
  <c r="N73" i="33"/>
  <c r="N67" i="33" s="1"/>
  <c r="O75" i="33"/>
  <c r="O77" i="33"/>
  <c r="O42" i="46"/>
  <c r="Q45" i="33"/>
  <c r="P43" i="33"/>
  <c r="P37" i="33" s="1"/>
  <c r="Q47" i="33"/>
  <c r="L84" i="46"/>
  <c r="L81" i="46" s="1"/>
  <c r="M86" i="46"/>
  <c r="M90" i="46" s="1"/>
  <c r="M89" i="46"/>
  <c r="P80" i="38"/>
  <c r="O117" i="46"/>
  <c r="R47" i="38"/>
  <c r="R48" i="38" s="1"/>
  <c r="Q45" i="38"/>
  <c r="Q39" i="38" s="1"/>
  <c r="R50" i="38"/>
  <c r="N71" i="46"/>
  <c r="N75" i="46" s="1"/>
  <c r="M69" i="46"/>
  <c r="M66" i="46" s="1"/>
  <c r="N74" i="46"/>
  <c r="M19" i="46"/>
  <c r="N13" i="33"/>
  <c r="N7" i="33" s="1"/>
  <c r="O15" i="33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27" i="46"/>
  <c r="N41" i="46"/>
  <c r="N45" i="46" s="1"/>
  <c r="M39" i="46"/>
  <c r="M36" i="46" s="1"/>
  <c r="N44" i="46"/>
  <c r="N77" i="38"/>
  <c r="N71" i="38" s="1"/>
  <c r="O79" i="38"/>
  <c r="O80" i="38" s="1"/>
  <c r="O82" i="38"/>
  <c r="O27" i="46"/>
  <c r="P30" i="33" l="1"/>
  <c r="O28" i="33"/>
  <c r="O22" i="33" s="1"/>
  <c r="P32" i="33"/>
  <c r="M77" i="38"/>
  <c r="M71" i="38" s="1"/>
  <c r="N79" i="38"/>
  <c r="N80" i="38" s="1"/>
  <c r="N82" i="38"/>
  <c r="L86" i="46"/>
  <c r="L90" i="46" s="1"/>
  <c r="K84" i="46"/>
  <c r="K81" i="46" s="1"/>
  <c r="L89" i="46"/>
  <c r="P45" i="33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M60" i="46" s="1"/>
  <c r="L54" i="46"/>
  <c r="L51" i="46" s="1"/>
  <c r="M59" i="46"/>
  <c r="M41" i="46"/>
  <c r="M45" i="46" s="1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6" i="38" s="1"/>
  <c r="N18" i="38"/>
  <c r="M93" i="38"/>
  <c r="M87" i="38" s="1"/>
  <c r="N95" i="38"/>
  <c r="N96" i="38" s="1"/>
  <c r="N98" i="38"/>
  <c r="M79" i="46"/>
  <c r="M87" i="46" s="1"/>
  <c r="M109" i="46"/>
  <c r="M117" i="46" s="1"/>
  <c r="M49" i="46"/>
  <c r="M57" i="46" s="1"/>
  <c r="M64" i="46"/>
  <c r="M72" i="46" s="1"/>
  <c r="M94" i="46"/>
  <c r="M102" i="46" s="1"/>
  <c r="M27" i="46"/>
  <c r="M34" i="46"/>
  <c r="Q31" i="38"/>
  <c r="Q32" i="38" s="1"/>
  <c r="P29" i="38"/>
  <c r="P23" i="38" s="1"/>
  <c r="Q34" i="38"/>
  <c r="N105" i="33"/>
  <c r="M103" i="33"/>
  <c r="M97" i="33" s="1"/>
  <c r="N57" i="46"/>
  <c r="N72" i="46"/>
  <c r="N63" i="38"/>
  <c r="M61" i="38"/>
  <c r="M55" i="38" s="1"/>
  <c r="N66" i="38"/>
  <c r="K10" i="46"/>
  <c r="K7" i="46" s="1"/>
  <c r="L12" i="46"/>
  <c r="L15" i="46" s="1"/>
  <c r="L14" i="46"/>
  <c r="N90" i="33"/>
  <c r="M88" i="33"/>
  <c r="M82" i="33" s="1"/>
  <c r="N92" i="33"/>
  <c r="N42" i="46"/>
  <c r="M26" i="46"/>
  <c r="M30" i="46" s="1"/>
  <c r="L24" i="46"/>
  <c r="L21" i="46" s="1"/>
  <c r="M29" i="46"/>
  <c r="M109" i="38"/>
  <c r="M103" i="38" s="1"/>
  <c r="N111" i="38"/>
  <c r="N112" i="38" s="1"/>
  <c r="N114" i="38"/>
  <c r="L19" i="46"/>
  <c r="M13" i="33"/>
  <c r="M7" i="33" s="1"/>
  <c r="N15" i="33"/>
  <c r="N17" i="33"/>
  <c r="N75" i="33"/>
  <c r="M73" i="33"/>
  <c r="M67" i="33" s="1"/>
  <c r="N77" i="33"/>
  <c r="P45" i="38"/>
  <c r="P39" i="38" s="1"/>
  <c r="Q47" i="38"/>
  <c r="Q48" i="38" s="1"/>
  <c r="Q50" i="38"/>
  <c r="N117" i="46"/>
  <c r="N60" i="33"/>
  <c r="M58" i="33"/>
  <c r="M52" i="33" s="1"/>
  <c r="N62" i="33"/>
  <c r="K19" i="46" l="1"/>
  <c r="L13" i="33"/>
  <c r="L7" i="33" s="1"/>
  <c r="M15" i="33"/>
  <c r="M17" i="33"/>
  <c r="O45" i="33"/>
  <c r="N43" i="33"/>
  <c r="N37" i="33" s="1"/>
  <c r="O47" i="33"/>
  <c r="M105" i="33"/>
  <c r="L103" i="33"/>
  <c r="L97" i="33" s="1"/>
  <c r="L109" i="46"/>
  <c r="L79" i="46"/>
  <c r="L87" i="46" s="1"/>
  <c r="L64" i="46"/>
  <c r="L72" i="46" s="1"/>
  <c r="L49" i="46"/>
  <c r="L94" i="46"/>
  <c r="L102" i="46" s="1"/>
  <c r="L34" i="46"/>
  <c r="L109" i="38"/>
  <c r="L103" i="38" s="1"/>
  <c r="M111" i="38"/>
  <c r="M114" i="38"/>
  <c r="K86" i="46"/>
  <c r="K90" i="46" s="1"/>
  <c r="J84" i="46"/>
  <c r="J81" i="46" s="1"/>
  <c r="K89" i="46"/>
  <c r="K39" i="46"/>
  <c r="K36" i="46" s="1"/>
  <c r="L41" i="46"/>
  <c r="L45" i="46" s="1"/>
  <c r="L44" i="46"/>
  <c r="M79" i="38"/>
  <c r="M80" i="38" s="1"/>
  <c r="L77" i="38"/>
  <c r="L71" i="38" s="1"/>
  <c r="M82" i="38"/>
  <c r="L61" i="38"/>
  <c r="L55" i="38" s="1"/>
  <c r="M63" i="38"/>
  <c r="M66" i="38"/>
  <c r="N64" i="38"/>
  <c r="K24" i="46"/>
  <c r="K21" i="46" s="1"/>
  <c r="L26" i="46"/>
  <c r="L30" i="46" s="1"/>
  <c r="L29" i="46"/>
  <c r="P47" i="38"/>
  <c r="P48" i="38" s="1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L58" i="33"/>
  <c r="L52" i="33" s="1"/>
  <c r="M62" i="33"/>
  <c r="L56" i="46"/>
  <c r="L60" i="46" s="1"/>
  <c r="K54" i="46"/>
  <c r="K51" i="46" s="1"/>
  <c r="L59" i="46"/>
  <c r="L71" i="46"/>
  <c r="L75" i="46" s="1"/>
  <c r="K69" i="46"/>
  <c r="K66" i="46" s="1"/>
  <c r="L74" i="46"/>
  <c r="L13" i="38"/>
  <c r="L7" i="38" s="1"/>
  <c r="M15" i="38"/>
  <c r="M16" i="38" s="1"/>
  <c r="M18" i="38"/>
  <c r="M95" i="38"/>
  <c r="L93" i="38"/>
  <c r="L87" i="38" s="1"/>
  <c r="M98" i="38"/>
  <c r="M75" i="33"/>
  <c r="L73" i="33"/>
  <c r="L67" i="33" s="1"/>
  <c r="M77" i="33"/>
  <c r="M90" i="33"/>
  <c r="L88" i="33"/>
  <c r="L82" i="33" s="1"/>
  <c r="M92" i="33"/>
  <c r="N28" i="33"/>
  <c r="N22" i="33" s="1"/>
  <c r="O30" i="33"/>
  <c r="O32" i="33"/>
  <c r="P31" i="38"/>
  <c r="P32" i="38" s="1"/>
  <c r="O29" i="38"/>
  <c r="O23" i="38" s="1"/>
  <c r="P34" i="38"/>
  <c r="M42" i="46"/>
  <c r="K129" i="46"/>
  <c r="K132" i="46" s="1"/>
  <c r="J127" i="46"/>
  <c r="J124" i="46" s="1"/>
  <c r="K131" i="46"/>
  <c r="J99" i="46"/>
  <c r="J96" i="46" s="1"/>
  <c r="K101" i="46"/>
  <c r="K105" i="46" s="1"/>
  <c r="K104" i="46"/>
  <c r="K77" i="38" l="1"/>
  <c r="K71" i="38" s="1"/>
  <c r="L79" i="38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2" i="33"/>
  <c r="L15" i="38"/>
  <c r="L16" i="38" s="1"/>
  <c r="K13" i="38"/>
  <c r="K7" i="38" s="1"/>
  <c r="L18" i="38"/>
  <c r="J39" i="46"/>
  <c r="J36" i="46" s="1"/>
  <c r="K41" i="46"/>
  <c r="K45" i="46" s="1"/>
  <c r="K44" i="46"/>
  <c r="O47" i="38"/>
  <c r="O48" i="38" s="1"/>
  <c r="N45" i="38"/>
  <c r="N39" i="38" s="1"/>
  <c r="O50" i="38"/>
  <c r="K109" i="38"/>
  <c r="K103" i="38" s="1"/>
  <c r="L111" i="38"/>
  <c r="L114" i="38"/>
  <c r="M28" i="33"/>
  <c r="M22" i="33" s="1"/>
  <c r="N30" i="33"/>
  <c r="N32" i="33"/>
  <c r="J86" i="46"/>
  <c r="J90" i="46" s="1"/>
  <c r="I84" i="46"/>
  <c r="I81" i="46" s="1"/>
  <c r="J89" i="46"/>
  <c r="M64" i="38"/>
  <c r="L42" i="46"/>
  <c r="L117" i="46"/>
  <c r="J101" i="46"/>
  <c r="J105" i="46" s="1"/>
  <c r="I99" i="46"/>
  <c r="I96" i="46" s="1"/>
  <c r="J104" i="46"/>
  <c r="K26" i="46"/>
  <c r="K30" i="46" s="1"/>
  <c r="J24" i="46"/>
  <c r="J21" i="46" s="1"/>
  <c r="K29" i="46"/>
  <c r="M43" i="33"/>
  <c r="M37" i="33" s="1"/>
  <c r="N45" i="33"/>
  <c r="N47" i="33"/>
  <c r="M96" i="38"/>
  <c r="K61" i="38"/>
  <c r="K55" i="38" s="1"/>
  <c r="L63" i="38"/>
  <c r="L66" i="38"/>
  <c r="L27" i="46"/>
  <c r="K56" i="46"/>
  <c r="K60" i="46" s="1"/>
  <c r="J54" i="46"/>
  <c r="J51" i="46" s="1"/>
  <c r="K59" i="46"/>
  <c r="I127" i="46"/>
  <c r="I124" i="46" s="1"/>
  <c r="J129" i="46"/>
  <c r="J132" i="46" s="1"/>
  <c r="J131" i="46"/>
  <c r="L60" i="33"/>
  <c r="K58" i="33"/>
  <c r="K52" i="33" s="1"/>
  <c r="L62" i="33"/>
  <c r="L95" i="38"/>
  <c r="K93" i="38"/>
  <c r="K87" i="38" s="1"/>
  <c r="L98" i="38"/>
  <c r="J19" i="46"/>
  <c r="K13" i="33"/>
  <c r="K7" i="33" s="1"/>
  <c r="L15" i="33"/>
  <c r="L17" i="33"/>
  <c r="L105" i="33"/>
  <c r="K103" i="33"/>
  <c r="K97" i="33" s="1"/>
  <c r="L75" i="33"/>
  <c r="K73" i="33"/>
  <c r="K67" i="33" s="1"/>
  <c r="L77" i="33"/>
  <c r="M112" i="38"/>
  <c r="O31" i="38"/>
  <c r="O32" i="38" s="1"/>
  <c r="N29" i="38"/>
  <c r="N23" i="38" s="1"/>
  <c r="O34" i="38"/>
  <c r="J12" i="46"/>
  <c r="J15" i="46" s="1"/>
  <c r="I10" i="46"/>
  <c r="I7" i="46" s="1"/>
  <c r="J14" i="46"/>
  <c r="L57" i="46"/>
  <c r="K109" i="46"/>
  <c r="K117" i="46" s="1"/>
  <c r="K34" i="46"/>
  <c r="K42" i="46" s="1"/>
  <c r="K79" i="46"/>
  <c r="K87" i="46" s="1"/>
  <c r="K64" i="46"/>
  <c r="K72" i="46" s="1"/>
  <c r="K49" i="46"/>
  <c r="K57" i="46" s="1"/>
  <c r="K94" i="46"/>
  <c r="K102" i="46" s="1"/>
  <c r="K75" i="33" l="1"/>
  <c r="J73" i="33"/>
  <c r="J67" i="33" s="1"/>
  <c r="K77" i="33"/>
  <c r="N47" i="38"/>
  <c r="N48" i="38" s="1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2" i="33"/>
  <c r="L112" i="38"/>
  <c r="K111" i="38"/>
  <c r="J109" i="38"/>
  <c r="J103" i="38" s="1"/>
  <c r="K114" i="38"/>
  <c r="J56" i="46"/>
  <c r="J60" i="46" s="1"/>
  <c r="I54" i="46"/>
  <c r="I51" i="46" s="1"/>
  <c r="J59" i="46"/>
  <c r="J88" i="33"/>
  <c r="J82" i="33" s="1"/>
  <c r="K90" i="33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J13" i="38"/>
  <c r="J7" i="38" s="1"/>
  <c r="K18" i="38"/>
  <c r="L43" i="33"/>
  <c r="L37" i="33" s="1"/>
  <c r="M45" i="33"/>
  <c r="M47" i="33"/>
  <c r="J26" i="46"/>
  <c r="J30" i="46" s="1"/>
  <c r="I24" i="46"/>
  <c r="I21" i="46" s="1"/>
  <c r="J29" i="46"/>
  <c r="I69" i="46"/>
  <c r="I66" i="46" s="1"/>
  <c r="J71" i="46"/>
  <c r="J75" i="46" s="1"/>
  <c r="J74" i="46"/>
  <c r="K95" i="38"/>
  <c r="J93" i="38"/>
  <c r="J87" i="38" s="1"/>
  <c r="K98" i="38"/>
  <c r="J61" i="38"/>
  <c r="J55" i="38" s="1"/>
  <c r="K63" i="38"/>
  <c r="K66" i="38"/>
  <c r="I86" i="46"/>
  <c r="I90" i="46" s="1"/>
  <c r="H84" i="46"/>
  <c r="H81" i="46" s="1"/>
  <c r="I89" i="46"/>
  <c r="I39" i="46"/>
  <c r="I36" i="46" s="1"/>
  <c r="J41" i="46"/>
  <c r="J45" i="46" s="1"/>
  <c r="J44" i="46"/>
  <c r="L28" i="33"/>
  <c r="L22" i="33" s="1"/>
  <c r="M30" i="33"/>
  <c r="M32" i="33"/>
  <c r="J103" i="33"/>
  <c r="J97" i="33" s="1"/>
  <c r="K105" i="33"/>
  <c r="H127" i="46"/>
  <c r="H124" i="46" s="1"/>
  <c r="I129" i="46"/>
  <c r="I132" i="46" s="1"/>
  <c r="I131" i="46"/>
  <c r="I19" i="46"/>
  <c r="J13" i="33"/>
  <c r="J7" i="33" s="1"/>
  <c r="K15" i="33"/>
  <c r="K17" i="33"/>
  <c r="J109" i="46"/>
  <c r="J117" i="46" s="1"/>
  <c r="J79" i="46"/>
  <c r="J87" i="46" s="1"/>
  <c r="J34" i="46"/>
  <c r="J64" i="46"/>
  <c r="J94" i="46"/>
  <c r="J102" i="46" s="1"/>
  <c r="J49" i="46"/>
  <c r="J57" i="46" s="1"/>
  <c r="N31" i="38"/>
  <c r="N32" i="38" s="1"/>
  <c r="M29" i="38"/>
  <c r="M23" i="38" s="1"/>
  <c r="N34" i="38"/>
  <c r="K27" i="46"/>
  <c r="L96" i="38"/>
  <c r="L80" i="38"/>
  <c r="K79" i="38"/>
  <c r="K80" i="38" s="1"/>
  <c r="J77" i="38"/>
  <c r="J71" i="38" s="1"/>
  <c r="K82" i="38"/>
  <c r="L30" i="33" l="1"/>
  <c r="K28" i="33"/>
  <c r="K22" i="33" s="1"/>
  <c r="L32" i="33"/>
  <c r="H39" i="46"/>
  <c r="H36" i="46" s="1"/>
  <c r="I41" i="46"/>
  <c r="I45" i="46" s="1"/>
  <c r="I44" i="46"/>
  <c r="H69" i="46"/>
  <c r="H66" i="46" s="1"/>
  <c r="I71" i="46"/>
  <c r="I75" i="46" s="1"/>
  <c r="I74" i="46"/>
  <c r="H24" i="46"/>
  <c r="H21" i="46" s="1"/>
  <c r="I26" i="46"/>
  <c r="I30" i="46" s="1"/>
  <c r="I29" i="46"/>
  <c r="H19" i="46"/>
  <c r="J15" i="33"/>
  <c r="J17" i="33"/>
  <c r="I109" i="46"/>
  <c r="I94" i="46"/>
  <c r="I102" i="46" s="1"/>
  <c r="I79" i="46"/>
  <c r="I87" i="46" s="1"/>
  <c r="I64" i="46"/>
  <c r="I49" i="46"/>
  <c r="I34" i="46"/>
  <c r="I42" i="46" s="1"/>
  <c r="I116" i="46"/>
  <c r="I120" i="46" s="1"/>
  <c r="H114" i="46"/>
  <c r="H111" i="46" s="1"/>
  <c r="I119" i="46"/>
  <c r="I56" i="46"/>
  <c r="I60" i="46" s="1"/>
  <c r="H54" i="46"/>
  <c r="H51" i="46" s="1"/>
  <c r="I59" i="46"/>
  <c r="L45" i="38"/>
  <c r="L39" i="38" s="1"/>
  <c r="M47" i="38"/>
  <c r="M48" i="38" s="1"/>
  <c r="M50" i="38"/>
  <c r="H12" i="46"/>
  <c r="H15" i="46" s="1"/>
  <c r="AD9" i="46"/>
  <c r="H14" i="46"/>
  <c r="AD10" i="46"/>
  <c r="J63" i="38"/>
  <c r="J66" i="38"/>
  <c r="J90" i="33"/>
  <c r="J92" i="33"/>
  <c r="H129" i="46"/>
  <c r="H132" i="46" s="1"/>
  <c r="H131" i="46"/>
  <c r="K43" i="33"/>
  <c r="K37" i="33" s="1"/>
  <c r="L45" i="33"/>
  <c r="L47" i="33"/>
  <c r="K64" i="38"/>
  <c r="J27" i="46"/>
  <c r="K16" i="38"/>
  <c r="J79" i="38"/>
  <c r="J82" i="38"/>
  <c r="J60" i="33"/>
  <c r="J62" i="33"/>
  <c r="H86" i="46"/>
  <c r="H90" i="46" s="1"/>
  <c r="H89" i="46"/>
  <c r="J15" i="38"/>
  <c r="J18" i="38"/>
  <c r="J95" i="38"/>
  <c r="J98" i="38"/>
  <c r="J111" i="38"/>
  <c r="J114" i="38"/>
  <c r="J75" i="33"/>
  <c r="J77" i="33"/>
  <c r="H101" i="46"/>
  <c r="H105" i="46" s="1"/>
  <c r="H104" i="46"/>
  <c r="L29" i="38"/>
  <c r="L23" i="38" s="1"/>
  <c r="M31" i="38"/>
  <c r="M32" i="38" s="1"/>
  <c r="M34" i="38"/>
  <c r="J105" i="33"/>
  <c r="J72" i="46"/>
  <c r="J42" i="46"/>
  <c r="K96" i="38"/>
  <c r="K112" i="38"/>
  <c r="H56" i="46" l="1"/>
  <c r="H60" i="46" s="1"/>
  <c r="H59" i="46"/>
  <c r="K45" i="38"/>
  <c r="K39" i="38" s="1"/>
  <c r="L47" i="38"/>
  <c r="L48" i="38" s="1"/>
  <c r="L50" i="38"/>
  <c r="J64" i="38"/>
  <c r="H64" i="46"/>
  <c r="H79" i="46"/>
  <c r="H87" i="46" s="1"/>
  <c r="H94" i="46"/>
  <c r="H102" i="46" s="1"/>
  <c r="H34" i="46"/>
  <c r="H42" i="46" s="1"/>
  <c r="H27" i="46"/>
  <c r="H49" i="46"/>
  <c r="H57" i="46" s="1"/>
  <c r="H109" i="46"/>
  <c r="H117" i="46" s="1"/>
  <c r="J43" i="33"/>
  <c r="J37" i="33" s="1"/>
  <c r="K45" i="33"/>
  <c r="K47" i="33"/>
  <c r="I72" i="46"/>
  <c r="H41" i="46"/>
  <c r="H45" i="46" s="1"/>
  <c r="H44" i="46"/>
  <c r="L31" i="38"/>
  <c r="L32" i="38" s="1"/>
  <c r="K29" i="38"/>
  <c r="K23" i="38" s="1"/>
  <c r="L34" i="38"/>
  <c r="J112" i="38"/>
  <c r="H116" i="46"/>
  <c r="H120" i="46" s="1"/>
  <c r="H119" i="46"/>
  <c r="J16" i="38"/>
  <c r="I27" i="46"/>
  <c r="J80" i="38"/>
  <c r="I57" i="46"/>
  <c r="I117" i="46"/>
  <c r="K30" i="33"/>
  <c r="J28" i="33"/>
  <c r="J22" i="33" s="1"/>
  <c r="K32" i="33"/>
  <c r="H26" i="46"/>
  <c r="H30" i="46" s="1"/>
  <c r="H29" i="46"/>
  <c r="H71" i="46"/>
  <c r="H75" i="46" s="1"/>
  <c r="H74" i="46"/>
  <c r="J96" i="38"/>
  <c r="J45" i="33" l="1"/>
  <c r="J47" i="33"/>
  <c r="H72" i="46"/>
  <c r="J45" i="38"/>
  <c r="J39" i="38" s="1"/>
  <c r="K47" i="38"/>
  <c r="K48" i="38" s="1"/>
  <c r="K50" i="38"/>
  <c r="J30" i="33"/>
  <c r="J32" i="33"/>
  <c r="AF28" i="33"/>
  <c r="AF27" i="33"/>
  <c r="K31" i="38"/>
  <c r="K32" i="38" s="1"/>
  <c r="J29" i="38"/>
  <c r="J23" i="38" s="1"/>
  <c r="K34" i="38"/>
  <c r="J31" i="38" l="1"/>
  <c r="J32" i="38" s="1"/>
  <c r="J34" i="38"/>
  <c r="J47" i="38"/>
  <c r="J48" i="38" s="1"/>
  <c r="J5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<sst xmlns="http://schemas.openxmlformats.org/spreadsheetml/2006/main" count="24945" uniqueCount="1946">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</sst>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</numFmts>
  <fonts count="7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25" fillId="0" borderId="0"/>
    <xf numFmtId="9" fontId="31" fillId="0" borderId="0" applyFont="0" applyFill="0" applyBorder="0" applyAlignment="0" applyProtection="0"/>
    <xf numFmtId="0" fontId="51" fillId="0" borderId="0"/>
    <xf numFmtId="0" fontId="58" fillId="0" borderId="0"/>
    <xf numFmtId="9" fontId="58" fillId="0" borderId="0" applyFont="0" applyFill="0" applyBorder="0" applyAlignment="0" applyProtection="0"/>
  </cellStyleXfs>
  <cellXfs count="425">
    <xf numFmtId="0" fontId="0" fillId="0" borderId="0" xfId="0"/>
    <xf numFmtId="0" fontId="21" fillId="2" borderId="0" xfId="0" applyFont="1" applyFill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6" fillId="0" borderId="0" xfId="1" applyFont="1"/>
    <xf numFmtId="0" fontId="20" fillId="0" borderId="0" xfId="1" applyFont="1"/>
    <xf numFmtId="0" fontId="27" fillId="0" borderId="3" xfId="1" applyFont="1" applyBorder="1"/>
    <xf numFmtId="0" fontId="20" fillId="0" borderId="3" xfId="1" applyFont="1" applyBorder="1"/>
    <xf numFmtId="0" fontId="28" fillId="3" borderId="0" xfId="1" applyFont="1" applyFill="1" applyAlignment="1">
      <alignment horizontal="left" vertical="center"/>
    </xf>
    <xf numFmtId="0" fontId="28" fillId="3" borderId="0" xfId="1" applyFont="1" applyFill="1" applyAlignment="1">
      <alignment horizontal="center" vertical="center"/>
    </xf>
    <xf numFmtId="17" fontId="28" fillId="3" borderId="0" xfId="1" applyNumberFormat="1" applyFont="1" applyFill="1" applyAlignment="1">
      <alignment horizontal="center" vertical="center"/>
    </xf>
    <xf numFmtId="0" fontId="29" fillId="4" borderId="0" xfId="1" applyFont="1" applyFill="1"/>
    <xf numFmtId="0" fontId="20" fillId="4" borderId="0" xfId="1" applyFont="1" applyFill="1"/>
    <xf numFmtId="0" fontId="30" fillId="0" borderId="0" xfId="1" applyFont="1"/>
    <xf numFmtId="164" fontId="30" fillId="0" borderId="0" xfId="1" applyNumberFormat="1" applyFont="1"/>
    <xf numFmtId="164" fontId="20" fillId="0" borderId="0" xfId="1" applyNumberFormat="1" applyFont="1"/>
    <xf numFmtId="0" fontId="29" fillId="0" borderId="0" xfId="1" applyFont="1"/>
    <xf numFmtId="164" fontId="29" fillId="0" borderId="2" xfId="1" applyNumberFormat="1" applyFont="1" applyBorder="1"/>
    <xf numFmtId="0" fontId="30" fillId="0" borderId="0" xfId="1" applyFont="1" applyAlignment="1">
      <alignment horizontal="left"/>
    </xf>
    <xf numFmtId="164" fontId="20" fillId="4" borderId="0" xfId="1" applyNumberFormat="1" applyFont="1" applyFill="1"/>
    <xf numFmtId="164" fontId="29" fillId="0" borderId="4" xfId="1" applyNumberFormat="1" applyFont="1" applyBorder="1"/>
    <xf numFmtId="0" fontId="29" fillId="4" borderId="0" xfId="1" applyFont="1" applyFill="1" applyAlignment="1">
      <alignment horizontal="center"/>
    </xf>
    <xf numFmtId="165" fontId="30" fillId="0" borderId="0" xfId="1" applyNumberFormat="1" applyFont="1"/>
    <xf numFmtId="0" fontId="25" fillId="0" borderId="0" xfId="1"/>
    <xf numFmtId="0" fontId="30" fillId="0" borderId="0" xfId="1" applyFont="1" applyAlignment="1">
      <alignment indent="1"/>
    </xf>
    <xf numFmtId="166" fontId="30" fillId="0" borderId="0" xfId="1" applyNumberFormat="1" applyFont="1"/>
    <xf numFmtId="0" fontId="30" fillId="0" borderId="0" xfId="1" applyFont="1" applyAlignment="1">
      <alignment indent="2"/>
    </xf>
    <xf numFmtId="0" fontId="29" fillId="0" borderId="0" xfId="1" applyFont="1" applyAlignment="1">
      <alignment indent="1"/>
    </xf>
    <xf numFmtId="166" fontId="29" fillId="0" borderId="0" xfId="1" applyNumberFormat="1" applyFont="1"/>
    <xf numFmtId="0" fontId="30" fillId="0" borderId="0" xfId="1" applyFont="1" applyAlignment="1">
      <alignment indent="3"/>
    </xf>
    <xf numFmtId="0" fontId="29" fillId="0" borderId="0" xfId="1" applyFont="1" applyAlignment="1">
      <alignment indent="2"/>
    </xf>
    <xf numFmtId="0" fontId="0" fillId="5" borderId="0" xfId="0" applyFill="1"/>
    <xf numFmtId="14" fontId="36" fillId="0" borderId="0" xfId="1" applyNumberFormat="1" applyFont="1"/>
    <xf numFmtId="14" fontId="30" fillId="0" borderId="0" xfId="1" applyNumberFormat="1" applyFont="1"/>
    <xf numFmtId="14" fontId="38" fillId="0" borderId="0" xfId="1" applyNumberFormat="1" applyFont="1"/>
    <xf numFmtId="0" fontId="19" fillId="0" borderId="0" xfId="0" applyFont="1"/>
    <xf numFmtId="0" fontId="39" fillId="0" borderId="0" xfId="0" applyFont="1"/>
    <xf numFmtId="0" fontId="40" fillId="0" borderId="3" xfId="0" applyFont="1" applyBorder="1"/>
    <xf numFmtId="0" fontId="19" fillId="0" borderId="3" xfId="0" applyFont="1" applyBorder="1"/>
    <xf numFmtId="0" fontId="28" fillId="6" borderId="0" xfId="1" applyFont="1" applyFill="1" applyAlignment="1">
      <alignment horizontal="left" vertical="center"/>
    </xf>
    <xf numFmtId="0" fontId="28" fillId="6" borderId="0" xfId="1" applyFont="1" applyFill="1" applyAlignment="1">
      <alignment horizontal="center" vertical="center"/>
    </xf>
    <xf numFmtId="0" fontId="29" fillId="7" borderId="0" xfId="1" applyFont="1" applyFill="1"/>
    <xf numFmtId="0" fontId="20" fillId="7" borderId="0" xfId="1" applyFont="1" applyFill="1"/>
    <xf numFmtId="17" fontId="28" fillId="6" borderId="0" xfId="1" applyNumberFormat="1" applyFont="1" applyFill="1" applyAlignment="1">
      <alignment horizontal="center" vertical="center"/>
    </xf>
    <xf numFmtId="167" fontId="19" fillId="0" borderId="0" xfId="0" applyNumberFormat="1" applyFont="1"/>
    <xf numFmtId="167" fontId="36" fillId="0" borderId="0" xfId="0" applyNumberFormat="1" applyFont="1"/>
    <xf numFmtId="167" fontId="37" fillId="0" borderId="0" xfId="0" applyNumberFormat="1" applyFont="1"/>
    <xf numFmtId="167" fontId="30" fillId="0" borderId="0" xfId="1" applyNumberFormat="1" applyFont="1"/>
    <xf numFmtId="167" fontId="37" fillId="0" borderId="0" xfId="1" applyNumberFormat="1" applyFont="1"/>
    <xf numFmtId="167" fontId="38" fillId="0" borderId="0" xfId="1" applyNumberFormat="1" applyFont="1"/>
    <xf numFmtId="0" fontId="28" fillId="0" borderId="0" xfId="1" applyFont="1" applyAlignment="1">
      <alignment horizontal="center" vertical="center"/>
    </xf>
    <xf numFmtId="165" fontId="19" fillId="0" borderId="0" xfId="0" applyNumberFormat="1" applyFont="1"/>
    <xf numFmtId="165" fontId="37" fillId="0" borderId="0" xfId="0" applyNumberFormat="1" applyFont="1"/>
    <xf numFmtId="0" fontId="41" fillId="0" borderId="0" xfId="1" applyFont="1" applyAlignment="1">
      <alignment horizontal="left"/>
    </xf>
    <xf numFmtId="0" fontId="41" fillId="0" borderId="0" xfId="1" applyFont="1"/>
    <xf numFmtId="0" fontId="30" fillId="0" borderId="0" xfId="1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34" fillId="0" borderId="2" xfId="0" applyFont="1" applyBorder="1"/>
    <xf numFmtId="167" fontId="34" fillId="0" borderId="2" xfId="0" applyNumberFormat="1" applyFont="1" applyBorder="1"/>
    <xf numFmtId="0" fontId="34" fillId="8" borderId="6" xfId="0" applyFont="1" applyFill="1" applyBorder="1"/>
    <xf numFmtId="167" fontId="34" fillId="8" borderId="7" xfId="0" applyNumberFormat="1" applyFont="1" applyFill="1" applyBorder="1"/>
    <xf numFmtId="167" fontId="34" fillId="8" borderId="8" xfId="0" applyNumberFormat="1" applyFont="1" applyFill="1" applyBorder="1"/>
    <xf numFmtId="167" fontId="34" fillId="8" borderId="6" xfId="0" applyNumberFormat="1" applyFont="1" applyFill="1" applyBorder="1"/>
    <xf numFmtId="165" fontId="37" fillId="0" borderId="0" xfId="1" applyNumberFormat="1" applyFont="1"/>
    <xf numFmtId="165" fontId="38" fillId="0" borderId="0" xfId="1" applyNumberFormat="1" applyFont="1"/>
    <xf numFmtId="168" fontId="30" fillId="0" borderId="0" xfId="1" applyNumberFormat="1" applyFont="1"/>
    <xf numFmtId="168" fontId="34" fillId="8" borderId="7" xfId="0" applyNumberFormat="1" applyFont="1" applyFill="1" applyBorder="1"/>
    <xf numFmtId="168" fontId="34" fillId="8" borderId="8" xfId="0" applyNumberFormat="1" applyFont="1" applyFill="1" applyBorder="1"/>
    <xf numFmtId="168" fontId="34" fillId="8" borderId="6" xfId="0" applyNumberFormat="1" applyFont="1" applyFill="1" applyBorder="1"/>
    <xf numFmtId="165" fontId="36" fillId="0" borderId="0" xfId="1" applyNumberFormat="1" applyFont="1"/>
    <xf numFmtId="167" fontId="34" fillId="0" borderId="0" xfId="0" applyNumberFormat="1" applyFont="1"/>
    <xf numFmtId="168" fontId="34" fillId="0" borderId="0" xfId="0" applyNumberFormat="1" applyFont="1"/>
    <xf numFmtId="0" fontId="19" fillId="9" borderId="0" xfId="0" applyFont="1" applyFill="1"/>
    <xf numFmtId="0" fontId="32" fillId="9" borderId="0" xfId="0" applyFont="1" applyFill="1" applyAlignment="1">
      <alignment horizontal="centerContinuous"/>
    </xf>
    <xf numFmtId="0" fontId="35" fillId="9" borderId="0" xfId="0" applyFont="1" applyFill="1" applyAlignment="1">
      <alignment horizontal="centerContinuous"/>
    </xf>
    <xf numFmtId="0" fontId="32" fillId="9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41" fillId="0" borderId="0" xfId="1" applyFont="1" applyAlignment="1">
      <alignment horizontal="left" indent="1"/>
    </xf>
    <xf numFmtId="0" fontId="30" fillId="0" borderId="0" xfId="1" applyFont="1" applyAlignment="1">
      <alignment horizontal="left" indent="2"/>
    </xf>
    <xf numFmtId="165" fontId="36" fillId="0" borderId="0" xfId="0" applyNumberFormat="1" applyFont="1"/>
    <xf numFmtId="165" fontId="38" fillId="0" borderId="0" xfId="0" applyNumberFormat="1" applyFont="1"/>
    <xf numFmtId="165" fontId="33" fillId="0" borderId="0" xfId="1" applyNumberFormat="1" applyFont="1"/>
    <xf numFmtId="0" fontId="33" fillId="0" borderId="0" xfId="0" applyFont="1"/>
    <xf numFmtId="167" fontId="38" fillId="0" borderId="0" xfId="0" applyNumberFormat="1" applyFont="1"/>
    <xf numFmtId="168" fontId="29" fillId="8" borderId="8" xfId="1" applyNumberFormat="1" applyFont="1" applyFill="1" applyBorder="1"/>
    <xf numFmtId="168" fontId="44" fillId="0" borderId="0" xfId="1" applyNumberFormat="1" applyFont="1"/>
    <xf numFmtId="168" fontId="45" fillId="0" borderId="9" xfId="2" applyNumberFormat="1" applyFont="1" applyFill="1" applyBorder="1" applyAlignment="1"/>
    <xf numFmtId="168" fontId="29" fillId="0" borderId="2" xfId="2" applyNumberFormat="1" applyFont="1" applyBorder="1"/>
    <xf numFmtId="168" fontId="19" fillId="0" borderId="0" xfId="0" applyNumberFormat="1" applyFont="1"/>
    <xf numFmtId="0" fontId="29" fillId="0" borderId="2" xfId="0" applyFont="1" applyBorder="1"/>
    <xf numFmtId="0" fontId="18" fillId="0" borderId="0" xfId="0" applyFont="1" applyAlignment="1">
      <alignment horizontal="left" indent="1"/>
    </xf>
    <xf numFmtId="165" fontId="33" fillId="0" borderId="5" xfId="1" applyNumberFormat="1" applyFont="1" applyBorder="1"/>
    <xf numFmtId="167" fontId="27" fillId="0" borderId="0" xfId="0" applyNumberFormat="1" applyFont="1" applyAlignment="1">
      <alignment horizontal="left" indent="1"/>
    </xf>
    <xf numFmtId="0" fontId="18" fillId="0" borderId="0" xfId="0" applyFont="1"/>
    <xf numFmtId="0" fontId="40" fillId="0" borderId="0" xfId="0" applyFont="1"/>
    <xf numFmtId="164" fontId="29" fillId="0" borderId="0" xfId="1" applyNumberFormat="1" applyFont="1"/>
    <xf numFmtId="0" fontId="28" fillId="0" borderId="0" xfId="1" applyFont="1"/>
    <xf numFmtId="0" fontId="29" fillId="0" borderId="0" xfId="1" applyFont="1" applyAlignment="1">
      <alignment horizontal="center"/>
    </xf>
    <xf numFmtId="167" fontId="46" fillId="0" borderId="0" xfId="0" applyNumberFormat="1" applyFont="1"/>
    <xf numFmtId="167" fontId="47" fillId="0" borderId="0" xfId="0" applyNumberFormat="1" applyFont="1"/>
    <xf numFmtId="167" fontId="48" fillId="0" borderId="0" xfId="0" applyNumberFormat="1" applyFont="1"/>
    <xf numFmtId="0" fontId="34" fillId="8" borderId="10" xfId="0" applyFont="1" applyFill="1" applyBorder="1"/>
    <xf numFmtId="167" fontId="34" fillId="8" borderId="2" xfId="0" applyNumberFormat="1" applyFont="1" applyFill="1" applyBorder="1"/>
    <xf numFmtId="167" fontId="34" fillId="8" borderId="11" xfId="0" applyNumberFormat="1" applyFont="1" applyFill="1" applyBorder="1"/>
    <xf numFmtId="0" fontId="48" fillId="8" borderId="12" xfId="0" applyFont="1" applyFill="1" applyBorder="1"/>
    <xf numFmtId="169" fontId="48" fillId="8" borderId="3" xfId="0" applyNumberFormat="1" applyFont="1" applyFill="1" applyBorder="1"/>
    <xf numFmtId="169" fontId="48" fillId="8" borderId="13" xfId="0" applyNumberFormat="1" applyFont="1" applyFill="1" applyBorder="1"/>
    <xf numFmtId="167" fontId="34" fillId="8" borderId="10" xfId="0" applyNumberFormat="1" applyFont="1" applyFill="1" applyBorder="1"/>
    <xf numFmtId="169" fontId="48" fillId="8" borderId="12" xfId="0" applyNumberFormat="1" applyFont="1" applyFill="1" applyBorder="1"/>
    <xf numFmtId="168" fontId="29" fillId="8" borderId="11" xfId="1" applyNumberFormat="1" applyFont="1" applyFill="1" applyBorder="1"/>
    <xf numFmtId="168" fontId="49" fillId="8" borderId="13" xfId="1" applyNumberFormat="1" applyFont="1" applyFill="1" applyBorder="1"/>
    <xf numFmtId="165" fontId="50" fillId="0" borderId="0" xfId="0" applyNumberFormat="1" applyFont="1"/>
    <xf numFmtId="165" fontId="33" fillId="0" borderId="0" xfId="0" applyNumberFormat="1" applyFont="1"/>
    <xf numFmtId="0" fontId="17" fillId="0" borderId="0" xfId="0" applyFont="1"/>
    <xf numFmtId="0" fontId="32" fillId="10" borderId="0" xfId="1" applyFont="1" applyFill="1"/>
    <xf numFmtId="0" fontId="35" fillId="10" borderId="0" xfId="1" applyFont="1" applyFill="1"/>
    <xf numFmtId="0" fontId="32" fillId="10" borderId="0" xfId="1" applyFont="1" applyFill="1" applyAlignment="1">
      <alignment horizontal="centerContinuous"/>
    </xf>
    <xf numFmtId="0" fontId="35" fillId="9" borderId="0" xfId="1" applyFont="1" applyFill="1" applyAlignment="1">
      <alignment horizontal="centerContinuous"/>
    </xf>
    <xf numFmtId="0" fontId="30" fillId="7" borderId="0" xfId="1" applyFont="1" applyFill="1"/>
    <xf numFmtId="0" fontId="17" fillId="0" borderId="0" xfId="0" applyFont="1" applyAlignment="1">
      <alignment horizontal="left" indent="1"/>
    </xf>
    <xf numFmtId="0" fontId="40" fillId="0" borderId="0" xfId="0" applyFont="1" applyAlignment="1">
      <alignment horizontal="left" indent="1"/>
    </xf>
    <xf numFmtId="167" fontId="29" fillId="8" borderId="8" xfId="0" applyNumberFormat="1" applyFont="1" applyFill="1" applyBorder="1"/>
    <xf numFmtId="167" fontId="29" fillId="0" borderId="2" xfId="0" applyNumberFormat="1" applyFont="1" applyBorder="1"/>
    <xf numFmtId="0" fontId="48" fillId="0" borderId="0" xfId="0" applyFont="1"/>
    <xf numFmtId="169" fontId="48" fillId="0" borderId="0" xfId="0" applyNumberFormat="1" applyFont="1"/>
    <xf numFmtId="168" fontId="49" fillId="0" borderId="0" xfId="1" applyNumberFormat="1" applyFont="1"/>
    <xf numFmtId="0" fontId="52" fillId="0" borderId="0" xfId="3" applyFont="1"/>
    <xf numFmtId="0" fontId="51" fillId="0" borderId="0" xfId="3"/>
    <xf numFmtId="0" fontId="53" fillId="0" borderId="0" xfId="3" applyFont="1"/>
    <xf numFmtId="0" fontId="54" fillId="11" borderId="0" xfId="3" applyFont="1" applyFill="1" applyAlignment="1">
      <alignment vertical="center" wrapText="1"/>
    </xf>
    <xf numFmtId="0" fontId="55" fillId="0" borderId="0" xfId="3" applyFont="1" applyAlignment="1">
      <alignment vertical="top" wrapText="1"/>
    </xf>
    <xf numFmtId="0" fontId="51" fillId="0" borderId="0" xfId="3" applyAlignment="1">
      <alignment vertical="top" wrapText="1"/>
    </xf>
    <xf numFmtId="170" fontId="56" fillId="0" borderId="0" xfId="3" applyNumberFormat="1" applyFont="1" applyAlignment="1">
      <alignment horizontal="right"/>
    </xf>
    <xf numFmtId="4" fontId="51" fillId="0" borderId="0" xfId="3" applyNumberFormat="1" applyAlignment="1">
      <alignment horizontal="right"/>
    </xf>
    <xf numFmtId="0" fontId="57" fillId="0" borderId="0" xfId="3" applyFont="1" applyAlignment="1">
      <alignment vertical="top" wrapText="1"/>
    </xf>
    <xf numFmtId="0" fontId="55" fillId="0" borderId="14" xfId="3" applyFont="1" applyBorder="1"/>
    <xf numFmtId="0" fontId="16" fillId="0" borderId="0" xfId="0" applyFont="1"/>
    <xf numFmtId="9" fontId="19" fillId="0" borderId="0" xfId="2" applyFont="1"/>
    <xf numFmtId="0" fontId="28" fillId="6" borderId="0" xfId="1" applyFont="1" applyFill="1" applyAlignment="1">
      <alignment horizontal="centerContinuous" vertical="center"/>
    </xf>
    <xf numFmtId="168" fontId="34" fillId="0" borderId="2" xfId="0" applyNumberFormat="1" applyFont="1" applyBorder="1"/>
    <xf numFmtId="165" fontId="30" fillId="0" borderId="0" xfId="0" applyNumberFormat="1" applyFont="1"/>
    <xf numFmtId="0" fontId="16" fillId="0" borderId="0" xfId="0" applyFont="1" applyAlignment="1">
      <alignment horizontal="left" indent="1"/>
    </xf>
    <xf numFmtId="0" fontId="58" fillId="0" borderId="0" xfId="4"/>
    <xf numFmtId="3" fontId="58" fillId="0" borderId="0" xfId="4" applyNumberFormat="1"/>
    <xf numFmtId="4" fontId="58" fillId="0" borderId="0" xfId="4" applyNumberFormat="1"/>
    <xf numFmtId="0" fontId="59" fillId="0" borderId="0" xfId="0" applyFont="1"/>
    <xf numFmtId="9" fontId="30" fillId="0" borderId="0" xfId="2" applyFont="1"/>
    <xf numFmtId="169" fontId="19" fillId="0" borderId="0" xfId="0" applyNumberFormat="1" applyFont="1"/>
    <xf numFmtId="168" fontId="30" fillId="0" borderId="0" xfId="1" quotePrefix="1" applyNumberFormat="1" applyFont="1" applyAlignment="1">
      <alignment horizontal="right"/>
    </xf>
    <xf numFmtId="0" fontId="28" fillId="3" borderId="0" xfId="1" applyFont="1" applyFill="1" applyAlignment="1">
      <alignment horizontal="centerContinuous"/>
    </xf>
    <xf numFmtId="0" fontId="15" fillId="0" borderId="0" xfId="0" applyFont="1"/>
    <xf numFmtId="165" fontId="44" fillId="0" borderId="0" xfId="0" applyNumberFormat="1" applyFont="1"/>
    <xf numFmtId="171" fontId="19" fillId="0" borderId="0" xfId="0" applyNumberFormat="1" applyFont="1"/>
    <xf numFmtId="4" fontId="51" fillId="0" borderId="0" xfId="3" applyNumberFormat="1" applyAlignment="1">
      <alignment vertical="top" wrapText="1"/>
    </xf>
    <xf numFmtId="0" fontId="14" fillId="0" borderId="0" xfId="0" applyFont="1"/>
    <xf numFmtId="0" fontId="14" fillId="0" borderId="3" xfId="0" applyFont="1" applyBorder="1"/>
    <xf numFmtId="0" fontId="32" fillId="9" borderId="0" xfId="0" applyFont="1" applyFill="1"/>
    <xf numFmtId="4" fontId="55" fillId="0" borderId="14" xfId="3" applyNumberFormat="1" applyFont="1" applyBorder="1"/>
    <xf numFmtId="0" fontId="13" fillId="0" borderId="0" xfId="0" applyFont="1"/>
    <xf numFmtId="165" fontId="14" fillId="0" borderId="0" xfId="0" applyNumberFormat="1" applyFont="1"/>
    <xf numFmtId="9" fontId="14" fillId="0" borderId="0" xfId="2" applyFont="1"/>
    <xf numFmtId="9" fontId="34" fillId="0" borderId="2" xfId="2" applyFont="1" applyBorder="1"/>
    <xf numFmtId="167" fontId="60" fillId="0" borderId="2" xfId="0" applyNumberFormat="1" applyFont="1" applyBorder="1"/>
    <xf numFmtId="167" fontId="30" fillId="0" borderId="0" xfId="0" applyNumberFormat="1" applyFont="1"/>
    <xf numFmtId="0" fontId="13" fillId="0" borderId="5" xfId="0" applyFont="1" applyBorder="1" applyAlignment="1">
      <alignment horizontal="center"/>
    </xf>
    <xf numFmtId="0" fontId="14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172" fontId="58" fillId="0" borderId="0" xfId="4" applyNumberFormat="1"/>
    <xf numFmtId="0" fontId="12" fillId="0" borderId="0" xfId="0" applyFont="1"/>
    <xf numFmtId="0" fontId="12" fillId="0" borderId="3" xfId="0" applyFont="1" applyBorder="1"/>
    <xf numFmtId="0" fontId="61" fillId="0" borderId="0" xfId="0" applyFont="1"/>
    <xf numFmtId="0" fontId="62" fillId="0" borderId="3" xfId="0" applyFont="1" applyBorder="1"/>
    <xf numFmtId="0" fontId="61" fillId="0" borderId="3" xfId="0" applyFont="1" applyBorder="1"/>
    <xf numFmtId="0" fontId="32" fillId="9" borderId="0" xfId="0" applyFont="1" applyFill="1" applyAlignment="1">
      <alignment horizontal="center" wrapText="1"/>
    </xf>
    <xf numFmtId="0" fontId="29" fillId="12" borderId="0" xfId="0" applyFont="1" applyFill="1" applyAlignment="1">
      <alignment horizontal="center"/>
    </xf>
    <xf numFmtId="0" fontId="63" fillId="0" borderId="2" xfId="0" applyFont="1" applyBorder="1"/>
    <xf numFmtId="0" fontId="62" fillId="0" borderId="0" xfId="0" applyFont="1"/>
    <xf numFmtId="0" fontId="63" fillId="0" borderId="0" xfId="0" applyFont="1"/>
    <xf numFmtId="165" fontId="62" fillId="0" borderId="0" xfId="0" applyNumberFormat="1" applyFont="1"/>
    <xf numFmtId="165" fontId="61" fillId="0" borderId="0" xfId="0" applyNumberFormat="1" applyFont="1"/>
    <xf numFmtId="165" fontId="63" fillId="0" borderId="2" xfId="0" applyNumberFormat="1" applyFont="1" applyBorder="1"/>
    <xf numFmtId="165" fontId="63" fillId="0" borderId="0" xfId="0" applyNumberFormat="1" applyFont="1"/>
    <xf numFmtId="0" fontId="64" fillId="0" borderId="0" xfId="0" applyFont="1"/>
    <xf numFmtId="0" fontId="34" fillId="7" borderId="0" xfId="1" applyFont="1" applyFill="1"/>
    <xf numFmtId="17" fontId="28" fillId="0" borderId="0" xfId="1" applyNumberFormat="1" applyFont="1" applyAlignment="1">
      <alignment horizontal="center" vertical="center"/>
    </xf>
    <xf numFmtId="17" fontId="29" fillId="13" borderId="0" xfId="1" applyNumberFormat="1" applyFont="1" applyFill="1" applyAlignment="1">
      <alignment horizontal="center" vertical="center"/>
    </xf>
    <xf numFmtId="0" fontId="29" fillId="14" borderId="0" xfId="0" applyFont="1" applyFill="1" applyAlignment="1">
      <alignment horizontal="center"/>
    </xf>
    <xf numFmtId="165" fontId="12" fillId="0" borderId="0" xfId="0" applyNumberFormat="1" applyFont="1"/>
    <xf numFmtId="0" fontId="61" fillId="0" borderId="0" xfId="0" applyFont="1" applyAlignment="1">
      <alignment horizontal="left" indent="1"/>
    </xf>
    <xf numFmtId="17" fontId="28" fillId="6" borderId="0" xfId="1" applyNumberFormat="1" applyFont="1" applyFill="1" applyAlignment="1">
      <alignment horizontal="center"/>
    </xf>
    <xf numFmtId="0" fontId="32" fillId="0" borderId="0" xfId="0" applyFont="1" applyAlignment="1">
      <alignment horizontal="center" wrapText="1"/>
    </xf>
    <xf numFmtId="173" fontId="36" fillId="0" borderId="0" xfId="0" applyNumberFormat="1" applyFont="1"/>
    <xf numFmtId="165" fontId="65" fillId="0" borderId="0" xfId="0" applyNumberFormat="1" applyFont="1"/>
    <xf numFmtId="14" fontId="61" fillId="0" borderId="0" xfId="0" applyNumberFormat="1" applyFont="1"/>
    <xf numFmtId="165" fontId="66" fillId="0" borderId="0" xfId="0" applyNumberFormat="1" applyFont="1"/>
    <xf numFmtId="14" fontId="64" fillId="0" borderId="0" xfId="0" applyNumberFormat="1" applyFont="1"/>
    <xf numFmtId="14" fontId="67" fillId="0" borderId="0" xfId="0" applyNumberFormat="1" applyFont="1"/>
    <xf numFmtId="14" fontId="66" fillId="0" borderId="0" xfId="0" applyNumberFormat="1" applyFont="1"/>
    <xf numFmtId="0" fontId="35" fillId="9" borderId="15" xfId="0" applyFont="1" applyFill="1" applyBorder="1"/>
    <xf numFmtId="0" fontId="29" fillId="14" borderId="15" xfId="0" applyFont="1" applyFill="1" applyBorder="1" applyAlignment="1">
      <alignment horizontal="center"/>
    </xf>
    <xf numFmtId="0" fontId="35" fillId="9" borderId="15" xfId="0" applyFont="1" applyFill="1" applyBorder="1" applyAlignment="1">
      <alignment horizontal="centerContinuous"/>
    </xf>
    <xf numFmtId="0" fontId="35" fillId="9" borderId="16" xfId="0" applyFont="1" applyFill="1" applyBorder="1"/>
    <xf numFmtId="0" fontId="29" fillId="14" borderId="16" xfId="0" applyFont="1" applyFill="1" applyBorder="1" applyAlignment="1">
      <alignment horizontal="center"/>
    </xf>
    <xf numFmtId="0" fontId="29" fillId="14" borderId="15" xfId="0" applyFont="1" applyFill="1" applyBorder="1"/>
    <xf numFmtId="0" fontId="11" fillId="0" borderId="0" xfId="0" applyFont="1"/>
    <xf numFmtId="0" fontId="10" fillId="0" borderId="0" xfId="0" applyFont="1"/>
    <xf numFmtId="9" fontId="14" fillId="0" borderId="0" xfId="2" applyFont="1" applyFill="1" applyBorder="1"/>
    <xf numFmtId="167" fontId="14" fillId="0" borderId="0" xfId="0" applyNumberFormat="1" applyFont="1"/>
    <xf numFmtId="167" fontId="33" fillId="0" borderId="0" xfId="2" applyNumberFormat="1" applyFont="1" applyFill="1" applyBorder="1"/>
    <xf numFmtId="165" fontId="33" fillId="0" borderId="0" xfId="2" applyNumberFormat="1" applyFont="1" applyFill="1" applyBorder="1" applyAlignment="1"/>
    <xf numFmtId="0" fontId="9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174" fontId="58" fillId="0" borderId="0" xfId="4" applyNumberFormat="1"/>
    <xf numFmtId="0" fontId="9" fillId="0" borderId="0" xfId="0" applyFont="1"/>
    <xf numFmtId="0" fontId="34" fillId="0" borderId="0" xfId="0" applyFont="1"/>
    <xf numFmtId="0" fontId="9" fillId="0" borderId="3" xfId="0" applyFont="1" applyBorder="1"/>
    <xf numFmtId="167" fontId="58" fillId="0" borderId="0" xfId="4" applyNumberFormat="1"/>
    <xf numFmtId="0" fontId="36" fillId="0" borderId="0" xfId="0" applyFont="1"/>
    <xf numFmtId="0" fontId="9" fillId="7" borderId="0" xfId="1" applyFont="1" applyFill="1"/>
    <xf numFmtId="165" fontId="9" fillId="0" borderId="0" xfId="0" applyNumberFormat="1" applyFont="1"/>
    <xf numFmtId="165" fontId="34" fillId="0" borderId="2" xfId="0" applyNumberFormat="1" applyFont="1" applyBorder="1"/>
    <xf numFmtId="165" fontId="34" fillId="0" borderId="0" xfId="0" applyNumberFormat="1" applyFont="1"/>
    <xf numFmtId="165" fontId="40" fillId="0" borderId="0" xfId="0" applyNumberFormat="1" applyFont="1"/>
    <xf numFmtId="167" fontId="9" fillId="0" borderId="0" xfId="0" applyNumberFormat="1" applyFont="1"/>
    <xf numFmtId="0" fontId="9" fillId="0" borderId="0" xfId="4" applyFont="1"/>
    <xf numFmtId="174" fontId="9" fillId="0" borderId="0" xfId="4" applyNumberFormat="1" applyFont="1"/>
    <xf numFmtId="165" fontId="34" fillId="8" borderId="7" xfId="0" applyNumberFormat="1" applyFont="1" applyFill="1" applyBorder="1"/>
    <xf numFmtId="164" fontId="9" fillId="0" borderId="0" xfId="0" applyNumberFormat="1" applyFont="1"/>
    <xf numFmtId="164" fontId="34" fillId="8" borderId="8" xfId="0" applyNumberFormat="1" applyFont="1" applyFill="1" applyBorder="1"/>
    <xf numFmtId="165" fontId="68" fillId="0" borderId="0" xfId="0" applyNumberFormat="1" applyFont="1"/>
    <xf numFmtId="0" fontId="68" fillId="0" borderId="0" xfId="0" applyFont="1"/>
    <xf numFmtId="0" fontId="63" fillId="8" borderId="10" xfId="0" applyFont="1" applyFill="1" applyBorder="1"/>
    <xf numFmtId="165" fontId="68" fillId="8" borderId="2" xfId="0" applyNumberFormat="1" applyFont="1" applyFill="1" applyBorder="1"/>
    <xf numFmtId="168" fontId="69" fillId="8" borderId="2" xfId="2" applyNumberFormat="1" applyFont="1" applyFill="1" applyBorder="1"/>
    <xf numFmtId="0" fontId="63" fillId="8" borderId="12" xfId="0" applyFont="1" applyFill="1" applyBorder="1"/>
    <xf numFmtId="165" fontId="68" fillId="8" borderId="3" xfId="0" applyNumberFormat="1" applyFont="1" applyFill="1" applyBorder="1"/>
    <xf numFmtId="168" fontId="69" fillId="8" borderId="3" xfId="2" applyNumberFormat="1" applyFont="1" applyFill="1" applyBorder="1"/>
    <xf numFmtId="168" fontId="69" fillId="8" borderId="13" xfId="2" applyNumberFormat="1" applyFont="1" applyFill="1" applyBorder="1"/>
    <xf numFmtId="168" fontId="69" fillId="8" borderId="12" xfId="2" applyNumberFormat="1" applyFont="1" applyFill="1" applyBorder="1"/>
    <xf numFmtId="168" fontId="69" fillId="8" borderId="18" xfId="2" applyNumberFormat="1" applyFont="1" applyFill="1" applyBorder="1"/>
    <xf numFmtId="0" fontId="70" fillId="0" borderId="0" xfId="0" applyFont="1"/>
    <xf numFmtId="165" fontId="64" fillId="0" borderId="5" xfId="0" applyNumberFormat="1" applyFont="1" applyBorder="1" applyAlignment="1">
      <alignment horizontal="center"/>
    </xf>
    <xf numFmtId="14" fontId="36" fillId="0" borderId="0" xfId="0" applyNumberFormat="1" applyFont="1"/>
    <xf numFmtId="168" fontId="69" fillId="8" borderId="10" xfId="2" applyNumberFormat="1" applyFont="1" applyFill="1" applyBorder="1"/>
    <xf numFmtId="168" fontId="69" fillId="8" borderId="11" xfId="2" applyNumberFormat="1" applyFont="1" applyFill="1" applyBorder="1"/>
    <xf numFmtId="168" fontId="61" fillId="0" borderId="0" xfId="0" applyNumberFormat="1" applyFont="1"/>
    <xf numFmtId="168" fontId="69" fillId="8" borderId="17" xfId="2" applyNumberFormat="1" applyFont="1" applyFill="1" applyBorder="1"/>
    <xf numFmtId="14" fontId="30" fillId="13" borderId="0" xfId="1" applyNumberFormat="1" applyFont="1" applyFill="1" applyAlignment="1">
      <alignment horizontal="center" vertical="center"/>
    </xf>
    <xf numFmtId="173" fontId="36" fillId="8" borderId="5" xfId="0" applyNumberFormat="1" applyFont="1" applyFill="1" applyBorder="1"/>
    <xf numFmtId="0" fontId="33" fillId="8" borderId="5" xfId="0" applyFont="1" applyFill="1" applyBorder="1"/>
    <xf numFmtId="167" fontId="12" fillId="0" borderId="0" xfId="0" applyNumberFormat="1" applyFont="1"/>
    <xf numFmtId="0" fontId="35" fillId="9" borderId="0" xfId="0" applyFont="1" applyFill="1"/>
    <xf numFmtId="0" fontId="61" fillId="0" borderId="2" xfId="0" applyFont="1" applyBorder="1" applyAlignment="1">
      <alignment horizontal="left" indent="1"/>
    </xf>
    <xf numFmtId="165" fontId="66" fillId="0" borderId="2" xfId="0" applyNumberFormat="1" applyFont="1" applyBorder="1"/>
    <xf numFmtId="0" fontId="61" fillId="0" borderId="2" xfId="0" applyFont="1" applyBorder="1"/>
    <xf numFmtId="165" fontId="65" fillId="0" borderId="2" xfId="0" applyNumberFormat="1" applyFont="1" applyBorder="1"/>
    <xf numFmtId="0" fontId="63" fillId="8" borderId="6" xfId="0" applyFont="1" applyFill="1" applyBorder="1"/>
    <xf numFmtId="165" fontId="68" fillId="8" borderId="7" xfId="0" applyNumberFormat="1" applyFont="1" applyFill="1" applyBorder="1"/>
    <xf numFmtId="165" fontId="68" fillId="8" borderId="8" xfId="0" applyNumberFormat="1" applyFont="1" applyFill="1" applyBorder="1"/>
    <xf numFmtId="165" fontId="68" fillId="8" borderId="6" xfId="0" applyNumberFormat="1" applyFont="1" applyFill="1" applyBorder="1"/>
    <xf numFmtId="0" fontId="68" fillId="8" borderId="8" xfId="0" applyFont="1" applyFill="1" applyBorder="1"/>
    <xf numFmtId="165" fontId="68" fillId="8" borderId="5" xfId="0" applyNumberFormat="1" applyFont="1" applyFill="1" applyBorder="1"/>
    <xf numFmtId="0" fontId="61" fillId="0" borderId="0" xfId="0" applyFont="1" applyAlignment="1">
      <alignment horizontal="left" indent="2"/>
    </xf>
    <xf numFmtId="0" fontId="8" fillId="0" borderId="0" xfId="0" applyFont="1"/>
    <xf numFmtId="17" fontId="28" fillId="6" borderId="0" xfId="1" applyNumberFormat="1" applyFont="1" applyFill="1" applyAlignment="1">
      <alignment horizontal="left"/>
    </xf>
    <xf numFmtId="0" fontId="8" fillId="0" borderId="3" xfId="0" applyFont="1" applyBorder="1"/>
    <xf numFmtId="175" fontId="19" fillId="0" borderId="0" xfId="0" applyNumberFormat="1" applyFont="1"/>
    <xf numFmtId="167" fontId="61" fillId="0" borderId="0" xfId="0" applyNumberFormat="1" applyFont="1"/>
    <xf numFmtId="167" fontId="68" fillId="8" borderId="7" xfId="0" applyNumberFormat="1" applyFont="1" applyFill="1" applyBorder="1"/>
    <xf numFmtId="167" fontId="68" fillId="8" borderId="8" xfId="0" applyNumberFormat="1" applyFont="1" applyFill="1" applyBorder="1"/>
    <xf numFmtId="167" fontId="68" fillId="8" borderId="5" xfId="0" applyNumberFormat="1" applyFont="1" applyFill="1" applyBorder="1"/>
    <xf numFmtId="167" fontId="68" fillId="8" borderId="6" xfId="0" applyNumberFormat="1" applyFont="1" applyFill="1" applyBorder="1"/>
    <xf numFmtId="174" fontId="0" fillId="0" borderId="0" xfId="0" applyNumberFormat="1"/>
    <xf numFmtId="0" fontId="7" fillId="0" borderId="0" xfId="4" applyFont="1"/>
    <xf numFmtId="0" fontId="36" fillId="0" borderId="0" xfId="4" applyFont="1"/>
    <xf numFmtId="0" fontId="44" fillId="0" borderId="0" xfId="4" applyFont="1"/>
    <xf numFmtId="0" fontId="33" fillId="0" borderId="0" xfId="4" applyFont="1"/>
    <xf numFmtId="0" fontId="7" fillId="0" borderId="0" xfId="0" applyFont="1"/>
    <xf numFmtId="0" fontId="7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0" fontId="34" fillId="0" borderId="2" xfId="0" applyFont="1" applyBorder="1" applyAlignment="1">
      <alignment horizontal="left" indent="1"/>
    </xf>
    <xf numFmtId="167" fontId="36" fillId="0" borderId="0" xfId="4" applyNumberFormat="1" applyFont="1"/>
    <xf numFmtId="0" fontId="9" fillId="0" borderId="0" xfId="1" applyFont="1"/>
    <xf numFmtId="0" fontId="32" fillId="9" borderId="0" xfId="4" applyFont="1" applyFill="1"/>
    <xf numFmtId="164" fontId="34" fillId="0" borderId="0" xfId="0" applyNumberFormat="1" applyFont="1"/>
    <xf numFmtId="0" fontId="36" fillId="0" borderId="0" xfId="0" quotePrefix="1" applyFont="1" applyAlignment="1">
      <alignment horizontal="right"/>
    </xf>
    <xf numFmtId="164" fontId="36" fillId="0" borderId="0" xfId="0" applyNumberFormat="1" applyFont="1"/>
    <xf numFmtId="165" fontId="34" fillId="8" borderId="2" xfId="0" applyNumberFormat="1" applyFont="1" applyFill="1" applyBorder="1"/>
    <xf numFmtId="168" fontId="48" fillId="8" borderId="12" xfId="0" applyNumberFormat="1" applyFont="1" applyFill="1" applyBorder="1"/>
    <xf numFmtId="168" fontId="48" fillId="8" borderId="13" xfId="0" applyNumberFormat="1" applyFont="1" applyFill="1" applyBorder="1"/>
    <xf numFmtId="164" fontId="34" fillId="8" borderId="11" xfId="0" applyNumberFormat="1" applyFont="1" applyFill="1" applyBorder="1"/>
    <xf numFmtId="165" fontId="71" fillId="8" borderId="3" xfId="0" applyNumberFormat="1" applyFont="1" applyFill="1" applyBorder="1"/>
    <xf numFmtId="167" fontId="71" fillId="8" borderId="13" xfId="0" applyNumberFormat="1" applyFont="1" applyFill="1" applyBorder="1"/>
    <xf numFmtId="167" fontId="71" fillId="8" borderId="12" xfId="0" applyNumberFormat="1" applyFont="1" applyFill="1" applyBorder="1"/>
    <xf numFmtId="164" fontId="71" fillId="8" borderId="13" xfId="0" applyNumberFormat="1" applyFont="1" applyFill="1" applyBorder="1"/>
    <xf numFmtId="0" fontId="6" fillId="0" borderId="0" xfId="0" applyFont="1"/>
    <xf numFmtId="164" fontId="71" fillId="0" borderId="0" xfId="0" applyNumberFormat="1" applyFont="1"/>
    <xf numFmtId="0" fontId="6" fillId="0" borderId="0" xfId="0" applyFont="1" applyAlignment="1">
      <alignment horizontal="left" indent="1"/>
    </xf>
    <xf numFmtId="0" fontId="28" fillId="0" borderId="0" xfId="0" applyFont="1"/>
    <xf numFmtId="168" fontId="48" fillId="8" borderId="3" xfId="0" applyNumberFormat="1" applyFont="1" applyFill="1" applyBorder="1"/>
    <xf numFmtId="9" fontId="0" fillId="0" borderId="0" xfId="5" applyFont="1"/>
    <xf numFmtId="0" fontId="72" fillId="0" borderId="0" xfId="4" applyFont="1"/>
    <xf numFmtId="0" fontId="5" fillId="0" borderId="0" xfId="0" applyFont="1"/>
    <xf numFmtId="0" fontId="5" fillId="0" borderId="3" xfId="0" applyFont="1" applyBorder="1"/>
    <xf numFmtId="0" fontId="32" fillId="9" borderId="0" xfId="4" applyFont="1" applyFill="1" applyAlignment="1">
      <alignment horizontal="center"/>
    </xf>
    <xf numFmtId="176" fontId="36" fillId="0" borderId="0" xfId="0" applyNumberFormat="1" applyFont="1"/>
    <xf numFmtId="176" fontId="5" fillId="0" borderId="0" xfId="0" applyNumberFormat="1" applyFont="1"/>
    <xf numFmtId="0" fontId="73" fillId="8" borderId="8" xfId="0" applyFont="1" applyFill="1" applyBorder="1"/>
    <xf numFmtId="0" fontId="34" fillId="0" borderId="0" xfId="1" applyFont="1"/>
    <xf numFmtId="0" fontId="4" fillId="0" borderId="0" xfId="1" applyFont="1"/>
    <xf numFmtId="165" fontId="69" fillId="8" borderId="3" xfId="0" applyNumberFormat="1" applyFont="1" applyFill="1" applyBorder="1"/>
    <xf numFmtId="165" fontId="69" fillId="8" borderId="13" xfId="0" applyNumberFormat="1" applyFont="1" applyFill="1" applyBorder="1"/>
    <xf numFmtId="165" fontId="69" fillId="8" borderId="18" xfId="0" applyNumberFormat="1" applyFont="1" applyFill="1" applyBorder="1"/>
    <xf numFmtId="165" fontId="69" fillId="8" borderId="12" xfId="0" applyNumberFormat="1" applyFont="1" applyFill="1" applyBorder="1"/>
    <xf numFmtId="0" fontId="73" fillId="0" borderId="0" xfId="0" applyFont="1"/>
    <xf numFmtId="165" fontId="69" fillId="8" borderId="2" xfId="0" applyNumberFormat="1" applyFont="1" applyFill="1" applyBorder="1"/>
    <xf numFmtId="165" fontId="69" fillId="8" borderId="11" xfId="0" applyNumberFormat="1" applyFont="1" applyFill="1" applyBorder="1"/>
    <xf numFmtId="165" fontId="69" fillId="8" borderId="17" xfId="0" applyNumberFormat="1" applyFont="1" applyFill="1" applyBorder="1"/>
    <xf numFmtId="165" fontId="69" fillId="8" borderId="10" xfId="0" applyNumberFormat="1" applyFont="1" applyFill="1" applyBorder="1"/>
    <xf numFmtId="0" fontId="71" fillId="7" borderId="0" xfId="1" applyFont="1" applyFill="1"/>
    <xf numFmtId="165" fontId="69" fillId="8" borderId="7" xfId="0" applyNumberFormat="1" applyFont="1" applyFill="1" applyBorder="1"/>
    <xf numFmtId="165" fontId="69" fillId="8" borderId="8" xfId="0" applyNumberFormat="1" applyFont="1" applyFill="1" applyBorder="1"/>
    <xf numFmtId="165" fontId="69" fillId="8" borderId="5" xfId="0" applyNumberFormat="1" applyFont="1" applyFill="1" applyBorder="1"/>
    <xf numFmtId="165" fontId="69" fillId="8" borderId="6" xfId="0" applyNumberFormat="1" applyFont="1" applyFill="1" applyBorder="1"/>
    <xf numFmtId="176" fontId="37" fillId="0" borderId="0" xfId="0" applyNumberFormat="1" applyFont="1"/>
    <xf numFmtId="0" fontId="3" fillId="0" borderId="0" xfId="0" applyFont="1"/>
    <xf numFmtId="0" fontId="3" fillId="0" borderId="3" xfId="0" applyFont="1" applyBorder="1"/>
    <xf numFmtId="0" fontId="3" fillId="0" borderId="2" xfId="0" applyFont="1" applyBorder="1"/>
    <xf numFmtId="168" fontId="3" fillId="0" borderId="0" xfId="0" applyNumberFormat="1" applyFont="1"/>
    <xf numFmtId="168" fontId="3" fillId="0" borderId="2" xfId="0" applyNumberFormat="1" applyFont="1" applyBorder="1"/>
    <xf numFmtId="0" fontId="3" fillId="15" borderId="0" xfId="0" applyFont="1" applyFill="1"/>
    <xf numFmtId="176" fontId="36" fillId="15" borderId="0" xfId="0" applyNumberFormat="1" applyFont="1" applyFill="1"/>
    <xf numFmtId="0" fontId="3" fillId="16" borderId="0" xfId="0" applyFont="1" applyFill="1"/>
    <xf numFmtId="176" fontId="36" fillId="16" borderId="0" xfId="0" applyNumberFormat="1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67" fontId="45" fillId="0" borderId="9" xfId="0" applyNumberFormat="1" applyFont="1" applyBorder="1"/>
    <xf numFmtId="9" fontId="61" fillId="0" borderId="0" xfId="2" applyFont="1"/>
    <xf numFmtId="167" fontId="68" fillId="8" borderId="2" xfId="0" applyNumberFormat="1" applyFont="1" applyFill="1" applyBorder="1"/>
    <xf numFmtId="167" fontId="68" fillId="8" borderId="11" xfId="0" applyNumberFormat="1" applyFont="1" applyFill="1" applyBorder="1"/>
    <xf numFmtId="177" fontId="68" fillId="8" borderId="3" xfId="0" applyNumberFormat="1" applyFont="1" applyFill="1" applyBorder="1"/>
    <xf numFmtId="177" fontId="68" fillId="8" borderId="13" xfId="0" applyNumberFormat="1" applyFont="1" applyFill="1" applyBorder="1"/>
    <xf numFmtId="167" fontId="68" fillId="8" borderId="17" xfId="0" applyNumberFormat="1" applyFont="1" applyFill="1" applyBorder="1"/>
    <xf numFmtId="177" fontId="68" fillId="8" borderId="18" xfId="0" applyNumberFormat="1" applyFont="1" applyFill="1" applyBorder="1"/>
    <xf numFmtId="167" fontId="68" fillId="8" borderId="10" xfId="0" applyNumberFormat="1" applyFont="1" applyFill="1" applyBorder="1"/>
    <xf numFmtId="177" fontId="68" fillId="8" borderId="12" xfId="0" applyNumberFormat="1" applyFont="1" applyFill="1" applyBorder="1"/>
    <xf numFmtId="0" fontId="0" fillId="0" borderId="2" xfId="0" applyBorder="1"/>
    <xf numFmtId="0" fontId="74" fillId="0" borderId="0" xfId="0" applyFont="1"/>
    <xf numFmtId="0" fontId="1" fillId="14" borderId="0" xfId="0" applyFont="1" applyFill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167" fontId="1" fillId="0" borderId="0" xfId="0" applyNumberFormat="1" applyFont="1"/>
    <xf numFmtId="173" fontId="40" fillId="0" borderId="0" xfId="0" applyNumberFormat="1" applyFont="1"/>
    <xf numFmtId="0" fontId="34" fillId="8" borderId="6" xfId="0" applyFont="1" applyFill="1" applyBorder="1" applyAlignment="1">
      <alignment horizontal="left"/>
    </xf>
    <xf numFmtId="165" fontId="34" fillId="8" borderId="6" xfId="0" applyNumberFormat="1" applyFont="1" applyFill="1" applyBorder="1" applyAlignment="1">
      <alignment horizontal="left"/>
    </xf>
    <xf numFmtId="0" fontId="1" fillId="0" borderId="0" xfId="0" applyFont="1" applyAlignment="1">
      <alignment horizontal="left" indent="1"/>
    </xf>
    <xf numFmtId="0" fontId="1" fillId="8" borderId="7" xfId="0" applyFont="1" applyFill="1" applyBorder="1"/>
    <xf numFmtId="0" fontId="34" fillId="8" borderId="7" xfId="0" applyFont="1" applyFill="1" applyBorder="1"/>
    <xf numFmtId="0" fontId="28" fillId="9" borderId="0" xfId="0" applyFont="1" applyFill="1" applyAlignment="1">
      <alignment horizontal="centerContinuous"/>
    </xf>
    <xf numFmtId="0" fontId="34" fillId="14" borderId="0" xfId="0" applyFont="1" applyFill="1" applyAlignment="1">
      <alignment horizontal="center"/>
    </xf>
    <xf numFmtId="0" fontId="34" fillId="14" borderId="19" xfId="0" applyFont="1" applyFill="1" applyBorder="1" applyAlignment="1">
      <alignment horizontal="center"/>
    </xf>
    <xf numFmtId="0" fontId="75" fillId="14" borderId="0" xfId="0" applyFont="1" applyFill="1" applyAlignment="1">
      <alignment horizontal="center"/>
    </xf>
    <xf numFmtId="172" fontId="1" fillId="0" borderId="0" xfId="0" applyNumberFormat="1" applyFont="1"/>
    <xf numFmtId="165" fontId="1" fillId="0" borderId="0" xfId="0" applyNumberFormat="1" applyFont="1"/>
    <xf numFmtId="173" fontId="1" fillId="0" borderId="0" xfId="0" applyNumberFormat="1" applyFont="1"/>
    <xf numFmtId="175" fontId="1" fillId="0" borderId="0" xfId="0" applyNumberFormat="1" applyFont="1"/>
    <xf numFmtId="165" fontId="76" fillId="0" borderId="0" xfId="0" applyNumberFormat="1" applyFont="1"/>
    <xf numFmtId="172" fontId="34" fillId="8" borderId="7" xfId="0" applyNumberFormat="1" applyFont="1" applyFill="1" applyBorder="1"/>
    <xf numFmtId="175" fontId="34" fillId="8" borderId="8" xfId="0" applyNumberFormat="1" applyFont="1" applyFill="1" applyBorder="1"/>
    <xf numFmtId="0" fontId="28" fillId="9" borderId="0" xfId="0" applyFont="1" applyFill="1"/>
    <xf numFmtId="0" fontId="28" fillId="9" borderId="0" xfId="0" applyFont="1" applyFill="1" applyAlignment="1">
      <alignment horizontal="center"/>
    </xf>
    <xf numFmtId="0" fontId="28" fillId="9" borderId="0" xfId="0" applyFont="1" applyFill="1" applyAlignment="1">
      <alignment horizontal="left"/>
    </xf>
    <xf numFmtId="17" fontId="28" fillId="9" borderId="0" xfId="0" applyNumberFormat="1" applyFont="1" applyFill="1" applyAlignment="1">
      <alignment horizontal="center"/>
    </xf>
    <xf numFmtId="0" fontId="34" fillId="14" borderId="0" xfId="0" applyFont="1" applyFill="1"/>
    <xf numFmtId="177" fontId="1" fillId="0" borderId="0" xfId="0" applyNumberFormat="1" applyFont="1"/>
    <xf numFmtId="164" fontId="1" fillId="0" borderId="0" xfId="0" applyNumberFormat="1" applyFont="1"/>
    <xf numFmtId="178" fontId="1" fillId="0" borderId="0" xfId="0" applyNumberFormat="1" applyFont="1"/>
    <xf numFmtId="177" fontId="34" fillId="8" borderId="7" xfId="0" applyNumberFormat="1" applyFont="1" applyFill="1" applyBorder="1"/>
    <xf numFmtId="178" fontId="34" fillId="8" borderId="7" xfId="0" applyNumberFormat="1" applyFont="1" applyFill="1" applyBorder="1"/>
    <xf numFmtId="177" fontId="34" fillId="0" borderId="7" xfId="0" applyNumberFormat="1" applyFont="1" applyBorder="1"/>
    <xf numFmtId="178" fontId="34" fillId="0" borderId="7" xfId="0" applyNumberFormat="1" applyFont="1" applyBorder="1"/>
    <xf numFmtId="0" fontId="28" fillId="0" borderId="0" xfId="0" applyFont="1" applyAlignment="1">
      <alignment horizontal="center"/>
    </xf>
    <xf numFmtId="177" fontId="34" fillId="8" borderId="8" xfId="0" applyNumberFormat="1" applyFont="1" applyFill="1" applyBorder="1"/>
    <xf numFmtId="178" fontId="34" fillId="8" borderId="8" xfId="0" applyNumberFormat="1" applyFont="1" applyFill="1" applyBorder="1"/>
    <xf numFmtId="164" fontId="37" fillId="0" borderId="0" xfId="0" applyNumberFormat="1" applyFont="1"/>
    <xf numFmtId="177" fontId="30" fillId="0" borderId="0" xfId="0" applyNumberFormat="1" applyFont="1"/>
    <xf numFmtId="9" fontId="36" fillId="0" borderId="0" xfId="0" applyNumberFormat="1" applyFont="1"/>
    <xf numFmtId="169" fontId="38" fillId="0" borderId="0" xfId="0" applyNumberFormat="1" applyFont="1"/>
    <xf numFmtId="179" fontId="61" fillId="0" borderId="0" xfId="0" applyNumberFormat="1" applyFont="1"/>
    <xf numFmtId="179" fontId="1" fillId="0" borderId="0" xfId="0" applyNumberFormat="1" applyFont="1"/>
    <xf numFmtId="179" fontId="34" fillId="8" borderId="8" xfId="0" applyNumberFormat="1" applyFont="1" applyFill="1" applyBorder="1"/>
    <xf numFmtId="180" fontId="1" fillId="0" borderId="0" xfId="0" applyNumberFormat="1" applyFont="1"/>
    <xf numFmtId="179" fontId="1" fillId="14" borderId="0" xfId="0" applyNumberFormat="1" applyFont="1" applyFill="1"/>
    <xf numFmtId="0" fontId="34" fillId="0" borderId="0" xfId="0" applyFont="1" applyAlignment="1">
      <alignment horizontal="center"/>
    </xf>
    <xf numFmtId="165" fontId="34" fillId="8" borderId="6" xfId="0" applyNumberFormat="1" applyFont="1" applyFill="1" applyBorder="1"/>
    <xf numFmtId="181" fontId="36" fillId="0" borderId="0" xfId="0" applyNumberFormat="1" applyFont="1"/>
    <xf numFmtId="167" fontId="34" fillId="17" borderId="5" xfId="0" applyNumberFormat="1" applyFont="1" applyFill="1" applyBorder="1"/>
    <xf numFmtId="164" fontId="34" fillId="14" borderId="2" xfId="0" applyNumberFormat="1" applyFont="1" applyFill="1" applyBorder="1" applyAlignment="1">
      <alignment horizontal="center"/>
    </xf>
    <xf numFmtId="167" fontId="1" fillId="0" borderId="3" xfId="0" applyNumberFormat="1" applyFont="1" applyBorder="1"/>
    <xf numFmtId="0" fontId="34" fillId="14" borderId="10" xfId="0" applyFont="1" applyFill="1" applyBorder="1" applyAlignment="1">
      <alignment horizontal="left"/>
    </xf>
    <xf numFmtId="181" fontId="1" fillId="0" borderId="19" xfId="0" applyNumberFormat="1" applyFont="1" applyBorder="1"/>
    <xf numFmtId="181" fontId="1" fillId="0" borderId="12" xfId="0" applyNumberFormat="1" applyFont="1" applyBorder="1"/>
    <xf numFmtId="164" fontId="34" fillId="14" borderId="11" xfId="0" applyNumberFormat="1" applyFont="1" applyFill="1" applyBorder="1" applyAlignment="1">
      <alignment horizontal="center"/>
    </xf>
    <xf numFmtId="167" fontId="1" fillId="0" borderId="15" xfId="0" applyNumberFormat="1" applyFont="1" applyBorder="1"/>
    <xf numFmtId="167" fontId="1" fillId="0" borderId="13" xfId="0" applyNumberFormat="1" applyFont="1" applyBorder="1"/>
    <xf numFmtId="177" fontId="1" fillId="0" borderId="19" xfId="0" applyNumberFormat="1" applyFont="1" applyBorder="1"/>
    <xf numFmtId="177" fontId="1" fillId="0" borderId="12" xfId="0" applyNumberFormat="1" applyFont="1" applyBorder="1"/>
    <xf numFmtId="164" fontId="40" fillId="0" borderId="0" xfId="0" applyNumberFormat="1" applyFont="1"/>
    <xf numFmtId="180" fontId="0" fillId="0" borderId="0" xfId="0" applyNumberFormat="1"/>
    <xf numFmtId="165" fontId="68" fillId="8" borderId="10" xfId="0" applyNumberFormat="1" applyFont="1" applyFill="1" applyBorder="1"/>
    <xf numFmtId="0" fontId="73" fillId="8" borderId="11" xfId="0" applyFont="1" applyFill="1" applyBorder="1"/>
    <xf numFmtId="165" fontId="68" fillId="0" borderId="12" xfId="0" applyNumberFormat="1" applyFont="1" applyBorder="1"/>
    <xf numFmtId="165" fontId="68" fillId="0" borderId="3" xfId="0" applyNumberFormat="1" applyFont="1" applyBorder="1"/>
    <xf numFmtId="0" fontId="73" fillId="0" borderId="13" xfId="0" applyFont="1" applyBorder="1"/>
    <xf numFmtId="0" fontId="22" fillId="0" borderId="0" xfId="0" applyFont="1" applyAlignment="1">
      <alignment horizontal="center"/>
    </xf>
    <xf numFmtId="0" fontId="0" fillId="0" borderId="0" xfId="0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8" fillId="9" borderId="0" xfId="0" applyFont="1" applyFill="1" applyAlignment="1">
      <alignment horizontal="center"/>
    </xf>
    <xf numFmtId="0" fontId="34" fillId="14" borderId="0" xfId="0" applyFont="1" applyFill="1" applyAlignment="1">
      <alignment horizontal="center"/>
    </xf>
    <xf numFmtId="0" fontId="28" fillId="3" borderId="0" xfId="1" applyFont="1" applyFill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77"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418" t="s">
        <v>0</v>
      </c>
      <c r="C24" s="419"/>
      <c r="D24" s="419"/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</row>
    <row r="25" spans="2:17" ht="25.5">
      <c r="B25" s="420" t="s">
        <v>1945</v>
      </c>
      <c r="C25" s="419"/>
      <c r="D25" s="419"/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</row>
    <row r="26" spans="2:17" ht="23.25">
      <c r="B26" s="421" t="str">
        <f ca="1">"As of "&amp;TEXT(TODAY(),"mm/dd/yy")</f>
        <v>As of 09/15/26</v>
      </c>
      <c r="C26" s="419"/>
      <c r="D26" s="419"/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1892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1891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1893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1895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96.800000000000011</v>
      </c>
      <c r="K53" s="53">
        <f>+'P&amp;L Forecast'!K91</f>
        <v>96.800000000000011</v>
      </c>
      <c r="M53" s="23">
        <f t="shared" ref="M53:M59" si="12">K53-J53</f>
        <v>0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1900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1602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-116.25</v>
      </c>
      <c r="K58" s="53">
        <f>+'P&amp;L Forecast'!K89</f>
        <v>-116.25</v>
      </c>
      <c r="M58" s="23">
        <f t="shared" si="12"/>
        <v>0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-47.770639999999986</v>
      </c>
      <c r="K60" s="59">
        <f>SUM(K53:K59)</f>
        <v>2.9326728005609652</v>
      </c>
      <c r="L60" s="71"/>
      <c r="M60" s="59">
        <f>SUM(M53:M59)</f>
        <v>50.703312800560958</v>
      </c>
      <c r="N60" s="142">
        <f>K60/J60-1</f>
        <v>-1.0613906952169987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55.517179999999968</v>
      </c>
      <c r="K62" s="106">
        <f>+K49+K60</f>
        <v>53.597222800561099</v>
      </c>
      <c r="L62" s="71"/>
      <c r="M62" s="110">
        <f>+M49+M60</f>
        <v>-1.9199571994384854</v>
      </c>
      <c r="N62" s="112">
        <f t="shared" ref="N62" si="14">IFERROR(K62/J62-1,0)</f>
        <v>-3.4583118224644549E-2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2.174985337985462E-2</v>
      </c>
      <c r="K63" s="109">
        <f>K62/K$18</f>
        <v>1.7331224479843636E-2</v>
      </c>
      <c r="L63" s="103"/>
      <c r="M63" s="111">
        <f>M62/M$16</f>
        <v>-4.3047422780528727E-3</v>
      </c>
      <c r="N63" s="113">
        <v>0</v>
      </c>
    </row>
    <row r="64" spans="2:46" ht="3.95" customHeight="1"/>
    <row r="65" spans="2:16">
      <c r="B65" s="144" t="s">
        <v>1848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>IFERROR(K65/J65-1,0)</f>
        <v>0</v>
      </c>
      <c r="P65" s="208"/>
    </row>
    <row r="66" spans="2:16">
      <c r="B66" s="144" t="s">
        <v>1896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179.04965555555555</v>
      </c>
      <c r="K66" s="53">
        <f>+'P&amp;L Forecast'!K102</f>
        <v>179.04965555555555</v>
      </c>
      <c r="M66" s="23">
        <f>K66-J66</f>
        <v>0</v>
      </c>
      <c r="N66" s="66">
        <f>IFERROR(K66/J66-1,0)</f>
        <v>0</v>
      </c>
      <c r="P66" s="208"/>
    </row>
    <row r="67" spans="2:16">
      <c r="B67" s="144" t="s">
        <v>37</v>
      </c>
      <c r="C67" s="53">
        <f>+'P&amp;L Forecast'!C100</f>
        <v>122.81254999999999</v>
      </c>
      <c r="D67" s="53">
        <f>+'P&amp;L Forecast'!D100</f>
        <v>152.16972000000001</v>
      </c>
      <c r="F67" s="53">
        <f>+'P&amp;L Forecast'!F100</f>
        <v>73.949619999999996</v>
      </c>
      <c r="G67" s="53">
        <f>+'P&amp;L Forecast'!G100</f>
        <v>111.27999</v>
      </c>
      <c r="I67" s="53">
        <f>+'P&amp;L Forecast'!I100</f>
        <v>121.30735</v>
      </c>
      <c r="J67" s="53">
        <f>+'P&amp;L Forecast'!J100</f>
        <v>189.50009</v>
      </c>
      <c r="K67" s="53">
        <f>+'P&amp;L Forecast'!K100</f>
        <v>147.86207999999999</v>
      </c>
      <c r="M67" s="23">
        <f>K67-J67</f>
        <v>-41.638010000000008</v>
      </c>
      <c r="N67" s="66">
        <f>IFERROR(K67/J67-1,0)</f>
        <v>-0.219725542082856</v>
      </c>
      <c r="P67" s="280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28.2</v>
      </c>
      <c r="K68" s="53">
        <f>+'P&amp;L Forecast'!K103</f>
        <v>28.2</v>
      </c>
      <c r="M68" s="23">
        <f>K68-J68</f>
        <v>0</v>
      </c>
      <c r="N68" s="66">
        <f>IFERROR(K68/J68-1,0)</f>
        <v>0</v>
      </c>
      <c r="P68" s="207"/>
    </row>
    <row r="69" spans="2:16">
      <c r="B69" s="144" t="s">
        <v>17</v>
      </c>
      <c r="C69" s="53">
        <f>+'P&amp;L Forecast'!C99</f>
        <v>-44.058500000000002</v>
      </c>
      <c r="D69" s="53">
        <f>+'P&amp;L Forecast'!D99</f>
        <v>-74.519299999999987</v>
      </c>
      <c r="F69" s="53">
        <f>+'P&amp;L Forecast'!F99</f>
        <v>-42.254049999999999</v>
      </c>
      <c r="G69" s="53">
        <f>+'P&amp;L Forecast'!G99</f>
        <v>-59.055000000000007</v>
      </c>
      <c r="I69" s="53">
        <f>+'P&amp;L Forecast'!I99</f>
        <v>-57.492550000000001</v>
      </c>
      <c r="J69" s="53">
        <f>+'P&amp;L Forecast'!J99</f>
        <v>-91.320250000000001</v>
      </c>
      <c r="K69" s="53">
        <f>+'P&amp;L Forecast'!K99</f>
        <v>-77.675624999999997</v>
      </c>
      <c r="M69" s="23">
        <f>K69-J69</f>
        <v>13.644625000000005</v>
      </c>
      <c r="N69" s="66">
        <f>IFERROR(K69/J69-1,0)</f>
        <v>-0.14941510782110212</v>
      </c>
      <c r="P69" s="207"/>
    </row>
    <row r="70" spans="2:16">
      <c r="B70" s="58" t="s">
        <v>314</v>
      </c>
      <c r="C70" s="59">
        <f>SUM(C65:C69)</f>
        <v>78.754049999999978</v>
      </c>
      <c r="D70" s="59">
        <f>SUM(D65:D69)</f>
        <v>77.650420000000025</v>
      </c>
      <c r="F70" s="59">
        <f>SUM(F65:F69)</f>
        <v>31.695569999999996</v>
      </c>
      <c r="G70" s="59">
        <f>SUM(G65:G69)</f>
        <v>52.224989999999991</v>
      </c>
      <c r="I70" s="59">
        <f>SUM(I65:I69)</f>
        <v>63.814799999999998</v>
      </c>
      <c r="J70" s="59">
        <f>SUM(J65:J69)</f>
        <v>305.42949555555555</v>
      </c>
      <c r="K70" s="59">
        <f>SUM(K65:K69)</f>
        <v>497.56673555555562</v>
      </c>
      <c r="M70" s="59">
        <f>SUM(M65:M69)</f>
        <v>192.13724000000002</v>
      </c>
      <c r="N70" s="142">
        <f>K70/J70-1</f>
        <v>0.6290723155290403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29.524620000000084</v>
      </c>
      <c r="D72" s="106">
        <f>+D70+D62</f>
        <v>122.16851999999983</v>
      </c>
      <c r="F72" s="110">
        <f>+F70+F62</f>
        <v>-26.235960000000297</v>
      </c>
      <c r="G72" s="106">
        <f>+G70+G62</f>
        <v>24.74254000000029</v>
      </c>
      <c r="I72" s="110">
        <f>+I70+I62</f>
        <v>52.75150999999989</v>
      </c>
      <c r="J72" s="105">
        <f>+J70+J62</f>
        <v>360.94667555555554</v>
      </c>
      <c r="K72" s="106">
        <f>+K70+K62</f>
        <v>551.16395835611672</v>
      </c>
      <c r="L72" s="71"/>
      <c r="M72" s="110">
        <f>+M70+M62</f>
        <v>190.21728280056152</v>
      </c>
      <c r="N72" s="112">
        <f t="shared" ref="N72" si="15">IFERROR(K72/J72-1,0)</f>
        <v>0.5269955250530729</v>
      </c>
    </row>
    <row r="73" spans="2:16">
      <c r="B73" s="107" t="s">
        <v>305</v>
      </c>
      <c r="C73" s="108">
        <f>C72/C$18</f>
        <v>2.6013663759134324E-2</v>
      </c>
      <c r="D73" s="109">
        <f>D72/D$18</f>
        <v>6.5004584775643817E-2</v>
      </c>
      <c r="E73" s="97"/>
      <c r="F73" s="111">
        <f>F72/F$18</f>
        <v>-2.6291880199997675E-2</v>
      </c>
      <c r="G73" s="109">
        <f>G72/G$18</f>
        <v>1.480683787853816E-2</v>
      </c>
      <c r="H73" s="97"/>
      <c r="I73" s="111">
        <f>I72/I$18</f>
        <v>3.4604527329955274E-2</v>
      </c>
      <c r="J73" s="108">
        <f>J72/J$18</f>
        <v>0.14140734942371519</v>
      </c>
      <c r="K73" s="109">
        <f>K72/K$18</f>
        <v>0.17822465024006892</v>
      </c>
      <c r="L73" s="103"/>
      <c r="M73" s="111">
        <f>M72/M$16</f>
        <v>0.42648678810516982</v>
      </c>
      <c r="N73" s="113">
        <v>0</v>
      </c>
    </row>
    <row r="75" spans="2:16">
      <c r="K75" s="269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6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Normal="130" zoomScaleSheetLayoutView="100" workbookViewId="0"/>
  </sheetViews>
  <sheetFormatPr defaultRowHeight="12"/>
  <cols>
    <col min="1" max="1" width="1.28515625" style="352" customWidth="1"/>
    <col min="2" max="2" width="16.42578125" style="352" customWidth="1"/>
    <col min="3" max="3" width="7.7109375" style="352" customWidth="1"/>
    <col min="4" max="4" width="9.5703125" style="352" bestFit="1" customWidth="1"/>
    <col min="5" max="5" width="14.5703125" style="352" bestFit="1" customWidth="1"/>
    <col min="6" max="6" width="0.85546875" style="352" customWidth="1"/>
    <col min="7" max="7" width="7.7109375" style="352" customWidth="1"/>
    <col min="8" max="8" width="9.5703125" style="352" bestFit="1" customWidth="1"/>
    <col min="9" max="9" width="14.5703125" style="352" bestFit="1" customWidth="1"/>
    <col min="10" max="10" width="0.85546875" style="352" customWidth="1"/>
    <col min="11" max="11" width="7.7109375" style="352" customWidth="1"/>
    <col min="12" max="12" width="9.5703125" style="352" bestFit="1" customWidth="1"/>
    <col min="13" max="13" width="11.42578125" style="352" customWidth="1"/>
    <col min="14" max="14" width="10.28515625" style="352" bestFit="1" customWidth="1"/>
    <col min="15" max="16384" width="9.140625" style="352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1916</v>
      </c>
      <c r="D3" s="354"/>
      <c r="E3" s="354"/>
      <c r="F3" s="354"/>
      <c r="G3" s="354"/>
      <c r="H3" s="354"/>
      <c r="I3" s="354"/>
      <c r="J3" s="354"/>
      <c r="K3" s="354"/>
      <c r="L3" s="354"/>
    </row>
    <row r="4" spans="2:52">
      <c r="B4" s="353"/>
      <c r="C4" s="353"/>
      <c r="M4" s="353"/>
    </row>
    <row r="5" spans="2:52">
      <c r="B5" s="375" t="s">
        <v>1901</v>
      </c>
      <c r="C5" s="422" t="s">
        <v>1902</v>
      </c>
      <c r="D5" s="422"/>
      <c r="E5" s="422"/>
      <c r="F5" s="385"/>
      <c r="G5" s="422" t="s">
        <v>1903</v>
      </c>
      <c r="H5" s="422"/>
      <c r="I5" s="422"/>
      <c r="J5" s="385"/>
      <c r="K5" s="422" t="s">
        <v>134</v>
      </c>
      <c r="L5" s="422"/>
      <c r="M5" s="422"/>
    </row>
    <row r="6" spans="2:52">
      <c r="B6" s="377" t="s">
        <v>485</v>
      </c>
      <c r="C6" s="363" t="s">
        <v>1259</v>
      </c>
      <c r="D6" s="363" t="s">
        <v>1865</v>
      </c>
      <c r="E6" s="363" t="s">
        <v>1904</v>
      </c>
      <c r="F6" s="397"/>
      <c r="G6" s="363" t="s">
        <v>1259</v>
      </c>
      <c r="H6" s="363" t="s">
        <v>1865</v>
      </c>
      <c r="I6" s="363" t="s">
        <v>1904</v>
      </c>
      <c r="J6" s="397"/>
      <c r="K6" s="363" t="s">
        <v>1259</v>
      </c>
      <c r="L6" s="363" t="s">
        <v>1865</v>
      </c>
      <c r="M6" s="363" t="s">
        <v>1905</v>
      </c>
    </row>
    <row r="7" spans="2:52">
      <c r="B7" s="352" t="s">
        <v>504</v>
      </c>
      <c r="C7" s="367">
        <f>COUNTIFS('Customer List w Software'!$B$4:$B$310,"&lt;&gt;Former client",'Customer List w Software'!$V$4:$V$310,$B7)</f>
        <v>41</v>
      </c>
      <c r="D7" s="367">
        <f>SUMIFS('Customer List w Software'!$K$4:$K$310,'Customer List w Software'!$B$4:$B$310,"&lt;&gt;Former client",'Customer List w Software'!$V$4:$V$310,$B7)</f>
        <v>1285</v>
      </c>
      <c r="E7" s="355">
        <f>IFERROR(AVERAGEIFS('Customer List w Software'!$J$4:$J$310,'Customer List w Software'!$B$4:$B$310,"&lt;&gt;Former client",'Customer List w Software'!$V$4:$V$310,$B7),0)</f>
        <v>2011.8226829268294</v>
      </c>
      <c r="G7" s="367">
        <f>COUNTIFS('Customer List w Software'!$B$4:$B$310,"Former client",'Customer List w Software'!$V$4:$V$310,$B7)</f>
        <v>4</v>
      </c>
      <c r="H7" s="367">
        <f>SUMIFS('Customer List w Software'!$K$4:$K$310,'Customer List w Software'!$B$4:$B$310,"Former client",'Customer List w Software'!$V$4:$V$310,$B7)</f>
        <v>72</v>
      </c>
      <c r="I7" s="355">
        <f>IFERROR(AVERAGEIFS('Customer List w Software'!$J$4:$J$310,'Customer List w Software'!$B$4:$B$310,"Former client",'Customer List w Software'!$V$4:$V$310,$B7),0)</f>
        <v>1602.6666666666665</v>
      </c>
      <c r="K7" s="367">
        <f t="shared" ref="K7:L10" si="0">C7+G7</f>
        <v>45</v>
      </c>
      <c r="L7" s="367">
        <f t="shared" si="0"/>
        <v>1357</v>
      </c>
      <c r="M7" s="393">
        <f>K7/K$10</f>
        <v>0.1465798045602606</v>
      </c>
    </row>
    <row r="8" spans="2:52">
      <c r="B8" s="352" t="s">
        <v>505</v>
      </c>
      <c r="C8" s="367">
        <f>COUNTIFS('Customer List w Software'!$B$4:$B$310,"&lt;&gt;Former client",'Customer List w Software'!$V$4:$V$310,$B8)</f>
        <v>133</v>
      </c>
      <c r="D8" s="367">
        <f>SUMIFS('Customer List w Software'!$K$4:$K$310,'Customer List w Software'!$B$4:$B$310,"&lt;&gt;Former client",'Customer List w Software'!$V$4:$V$310,$B8)</f>
        <v>2472</v>
      </c>
      <c r="E8" s="367">
        <f>IFERROR(AVERAGEIFS('Customer List w Software'!$J$4:$J$310,'Customer List w Software'!$B$4:$B$310,"&lt;&gt;Former client",'Customer List w Software'!$V$4:$V$310,$B8),0)</f>
        <v>1186.0576190476188</v>
      </c>
      <c r="G8" s="367">
        <f>COUNTIFS('Customer List w Software'!$B$4:$B$310,"Former client",'Customer List w Software'!$V$4:$V$310,$B8)</f>
        <v>52</v>
      </c>
      <c r="H8" s="367">
        <f>SUMIFS('Customer List w Software'!$K$4:$K$310,'Customer List w Software'!$B$4:$B$310,"Former client",'Customer List w Software'!$V$4:$V$310,$B8)</f>
        <v>352</v>
      </c>
      <c r="I8" s="367">
        <f>IFERROR(AVERAGEIFS('Customer List w Software'!$J$4:$J$310,'Customer List w Software'!$B$4:$B$310,"Former client",'Customer List w Software'!$V$4:$V$310,$B8),0)</f>
        <v>631.64102564102564</v>
      </c>
      <c r="K8" s="367">
        <f t="shared" si="0"/>
        <v>185</v>
      </c>
      <c r="L8" s="367">
        <f t="shared" si="0"/>
        <v>2824</v>
      </c>
      <c r="M8" s="393">
        <f>K8/K$10</f>
        <v>0.60260586319218246</v>
      </c>
    </row>
    <row r="9" spans="2:52">
      <c r="B9" s="352" t="s">
        <v>1906</v>
      </c>
      <c r="C9" s="367">
        <f>COUNTIFS('Customer List w Software'!$B$4:$B$310,"&lt;&gt;Former client",'Customer List w Software'!$V$4:$V$310,"")</f>
        <v>0</v>
      </c>
      <c r="D9" s="367">
        <f>SUMIFS('Customer List w Software'!$K$4:$K$310,'Customer List w Software'!$B$4:$B$310,"&lt;&gt;Former client",'Customer List w Software'!$V$4:$V$310,"")</f>
        <v>0</v>
      </c>
      <c r="E9" s="367">
        <f>IFERROR(AVERAGEIFS('Customer List w Software'!$J$4:$J$310,'Customer List w Software'!$B$4:$B$310,"&lt;&gt;Former client",'Customer List w Software'!$V$4:$V$310,""),0)</f>
        <v>0</v>
      </c>
      <c r="G9" s="367">
        <f>COUNTIFS('Customer List w Software'!$B$4:$B$310,"Former client",'Customer List w Software'!$V$4:$V$310,"")</f>
        <v>77</v>
      </c>
      <c r="H9" s="367">
        <f>SUMIFS('Customer List w Software'!$K$4:$K$310,'Customer List w Software'!$B$4:$B$310,"Former client",'Customer List w Software'!$V$4:$V$310,"")</f>
        <v>30</v>
      </c>
      <c r="I9" s="367">
        <f>IFERROR(AVERAGEIFS('Customer List w Software'!$J$4:$J$310,'Customer List w Software'!$B$4:$B$310,"Former client",'Customer List w Software'!$V$4:$V$310,""),0)</f>
        <v>592.10266233766231</v>
      </c>
      <c r="K9" s="367">
        <f t="shared" si="0"/>
        <v>77</v>
      </c>
      <c r="L9" s="367">
        <f t="shared" si="0"/>
        <v>30</v>
      </c>
      <c r="M9" s="393">
        <f>K9/K$10</f>
        <v>0.250814332247557</v>
      </c>
    </row>
    <row r="10" spans="2:52">
      <c r="B10" s="60" t="s">
        <v>1907</v>
      </c>
      <c r="C10" s="229">
        <f>COUNTIFS('Customer List w Software'!$B$4:$B$310,"&lt;&gt;Former client")</f>
        <v>174</v>
      </c>
      <c r="D10" s="229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7"/>
      <c r="G10" s="398">
        <f>COUNTIFS('Customer List w Software'!$B$4:$B$310,"Former client")</f>
        <v>133</v>
      </c>
      <c r="H10" s="229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7"/>
      <c r="K10" s="398">
        <f t="shared" si="0"/>
        <v>307</v>
      </c>
      <c r="L10" s="229">
        <f t="shared" si="0"/>
        <v>4211</v>
      </c>
      <c r="M10" s="394">
        <f>K10/K$10</f>
        <v>1</v>
      </c>
      <c r="N10" s="395"/>
    </row>
    <row r="11" spans="2:52" ht="3.95" customHeight="1"/>
    <row r="12" spans="2:52">
      <c r="B12" s="377" t="s">
        <v>1908</v>
      </c>
      <c r="C12" s="351"/>
      <c r="D12" s="351"/>
      <c r="E12" s="351"/>
      <c r="G12" s="351"/>
      <c r="H12" s="351"/>
      <c r="I12" s="351"/>
      <c r="K12" s="351"/>
      <c r="L12" s="351"/>
      <c r="M12" s="351"/>
    </row>
    <row r="13" spans="2:52">
      <c r="B13" s="352" t="s">
        <v>506</v>
      </c>
      <c r="C13" s="367">
        <f>COUNTIFS('Customer List w Software'!$B$4:$B$310,"&lt;&gt;Former client",'Customer List w Software'!$W$4:$W$310,$B13)</f>
        <v>117</v>
      </c>
      <c r="D13" s="367">
        <f>SUMIFS('Customer List w Software'!$K$4:$K$310,'Customer List w Software'!$B$4:$B$310,"&lt;&gt;Former client",'Customer List w Software'!$W$4:$W$310,$B13)</f>
        <v>2999</v>
      </c>
      <c r="E13" s="355">
        <f>IFERROR(AVERAGEIFS('Customer List w Software'!$J$4:$J$310,'Customer List w Software'!$B$4:$B$310,"&lt;&gt;Former client",'Customer List w Software'!$W$4:$W$310,$B13),0)</f>
        <v>1521.7698860398859</v>
      </c>
      <c r="G13" s="367">
        <f>COUNTIFS('Customer List w Software'!$B$4:$B$310,"Former client",'Customer List w Software'!$W$4:$W$310,$B13)</f>
        <v>6</v>
      </c>
      <c r="H13" s="367">
        <f>SUMIFS('Customer List w Software'!$K$4:$K$310,'Customer List w Software'!$B$4:$B$310,"Former client",'Customer List w Software'!$W$4:$W$310,$B13)</f>
        <v>84</v>
      </c>
      <c r="I13" s="355">
        <f>IFERROR(AVERAGEIFS('Customer List w Software'!$J$4:$J$310,'Customer List w Software'!$B$4:$B$310,"Former client",'Customer List w Software'!$W$4:$W$310,$B13),0)</f>
        <v>1230.2222222222222</v>
      </c>
      <c r="K13" s="367">
        <f t="shared" ref="K13:L18" si="1">C13+G13</f>
        <v>123</v>
      </c>
      <c r="L13" s="367">
        <f t="shared" si="1"/>
        <v>3083</v>
      </c>
      <c r="M13" s="393">
        <f t="shared" ref="M13:M18" si="2">K13/K$18</f>
        <v>0.40065146579804561</v>
      </c>
    </row>
    <row r="14" spans="2:52">
      <c r="B14" s="352" t="s">
        <v>513</v>
      </c>
      <c r="C14" s="367">
        <f>COUNTIFS('Customer List w Software'!$B$4:$B$310,"&lt;&gt;Former client",'Customer List w Software'!$W$4:$W$310,$B14)</f>
        <v>36</v>
      </c>
      <c r="D14" s="367">
        <f>SUMIFS('Customer List w Software'!$K$4:$K$310,'Customer List w Software'!$B$4:$B$310,"&lt;&gt;Former client",'Customer List w Software'!$W$4:$W$310,$B14)</f>
        <v>659</v>
      </c>
      <c r="E14" s="367">
        <f>IFERROR(AVERAGEIFS('Customer List w Software'!$J$4:$J$310,'Customer List w Software'!$B$4:$B$310,"&lt;&gt;Former client",'Customer List w Software'!$W$4:$W$310,$B14),0)</f>
        <v>1378.1986111111112</v>
      </c>
      <c r="G14" s="367">
        <f>COUNTIFS('Customer List w Software'!$B$4:$B$310,"Former client",'Customer List w Software'!$W$4:$W$310,$B14)</f>
        <v>8</v>
      </c>
      <c r="H14" s="367">
        <f>SUMIFS('Customer List w Software'!$K$4:$K$310,'Customer List w Software'!$B$4:$B$310,"Former client",'Customer List w Software'!$W$4:$W$310,$B14)</f>
        <v>123</v>
      </c>
      <c r="I14" s="367">
        <f>IFERROR(AVERAGEIFS('Customer List w Software'!$J$4:$J$310,'Customer List w Software'!$B$4:$B$310,"Former client",'Customer List w Software'!$W$4:$W$310,$B14),0)</f>
        <v>1073.6041666666665</v>
      </c>
      <c r="K14" s="367">
        <f t="shared" si="1"/>
        <v>44</v>
      </c>
      <c r="L14" s="367">
        <f t="shared" si="1"/>
        <v>782</v>
      </c>
      <c r="M14" s="393">
        <f t="shared" si="2"/>
        <v>0.14332247557003258</v>
      </c>
    </row>
    <row r="15" spans="2:52">
      <c r="B15" s="352" t="s">
        <v>514</v>
      </c>
      <c r="C15" s="367">
        <f>COUNTIFS('Customer List w Software'!$B$4:$B$310,"&lt;&gt;Former client",'Customer List w Software'!$W$4:$W$310,$B15)</f>
        <v>2</v>
      </c>
      <c r="D15" s="367">
        <f>SUMIFS('Customer List w Software'!$K$4:$K$310,'Customer List w Software'!$B$4:$B$310,"&lt;&gt;Former client",'Customer List w Software'!$W$4:$W$310,$B15)</f>
        <v>47</v>
      </c>
      <c r="E15" s="367">
        <f>IFERROR(AVERAGEIFS('Customer List w Software'!$J$4:$J$310,'Customer List w Software'!$B$4:$B$310,"&lt;&gt;Former client",'Customer List w Software'!$W$4:$W$310,$B15),0)</f>
        <v>1226.1666666666665</v>
      </c>
      <c r="G15" s="367">
        <f>COUNTIFS('Customer List w Software'!$B$4:$B$310,"Former client",'Customer List w Software'!$W$4:$W$310,$B15)</f>
        <v>2</v>
      </c>
      <c r="H15" s="367">
        <f>SUMIFS('Customer List w Software'!$K$4:$K$310,'Customer List w Software'!$B$4:$B$310,"Former client",'Customer List w Software'!$W$4:$W$310,$B15)</f>
        <v>17</v>
      </c>
      <c r="I15" s="367">
        <f>IFERROR(AVERAGEIFS('Customer List w Software'!$J$4:$J$310,'Customer List w Software'!$B$4:$B$310,"Former client",'Customer List w Software'!$W$4:$W$310,$B15),0)</f>
        <v>841.83333333333326</v>
      </c>
      <c r="K15" s="367">
        <f t="shared" si="1"/>
        <v>4</v>
      </c>
      <c r="L15" s="367">
        <f t="shared" si="1"/>
        <v>64</v>
      </c>
      <c r="M15" s="393">
        <f t="shared" si="2"/>
        <v>1.3029315960912053E-2</v>
      </c>
    </row>
    <row r="16" spans="2:52">
      <c r="B16" s="352" t="s">
        <v>842</v>
      </c>
      <c r="C16" s="367">
        <f>COUNTIFS('Customer List w Software'!$B$4:$B$310,"&lt;&gt;Former client",'Customer List w Software'!$W$4:$W$310,$B16)</f>
        <v>1</v>
      </c>
      <c r="D16" s="367">
        <f>SUMIFS('Customer List w Software'!$K$4:$K$310,'Customer List w Software'!$B$4:$B$310,"&lt;&gt;Former client",'Customer List w Software'!$W$4:$W$310,$B16)</f>
        <v>15</v>
      </c>
      <c r="E16" s="367">
        <f>IFERROR(AVERAGEIFS('Customer List w Software'!$J$4:$J$310,'Customer List w Software'!$B$4:$B$310,"&lt;&gt;Former client",'Customer List w Software'!$W$4:$W$310,$B16),0)</f>
        <v>1662.5</v>
      </c>
      <c r="G16" s="367">
        <f>COUNTIFS('Customer List w Software'!$B$4:$B$310,"Former client",'Customer List w Software'!$W$4:$W$310,$B16)</f>
        <v>3</v>
      </c>
      <c r="H16" s="367">
        <f>SUMIFS('Customer List w Software'!$K$4:$K$310,'Customer List w Software'!$B$4:$B$310,"Former client",'Customer List w Software'!$W$4:$W$310,$B16)</f>
        <v>34</v>
      </c>
      <c r="I16" s="367">
        <f>IFERROR(AVERAGEIFS('Customer List w Software'!$J$4:$J$310,'Customer List w Software'!$B$4:$B$310,"Former client",'Customer List w Software'!$W$4:$W$310,$B16),0)</f>
        <v>723.22222222222217</v>
      </c>
      <c r="K16" s="367">
        <f t="shared" si="1"/>
        <v>4</v>
      </c>
      <c r="L16" s="367">
        <f t="shared" si="1"/>
        <v>49</v>
      </c>
      <c r="M16" s="393">
        <f t="shared" si="2"/>
        <v>1.3029315960912053E-2</v>
      </c>
    </row>
    <row r="17" spans="2:13">
      <c r="B17" s="352" t="s">
        <v>1909</v>
      </c>
      <c r="C17" s="367">
        <f>COUNTIFS('Customer List w Software'!$B$4:$B$310,"&lt;&gt;Former client",'Customer List w Software'!$W$4:$W$310,"")</f>
        <v>18</v>
      </c>
      <c r="D17" s="367">
        <f>SUMIFS('Customer List w Software'!$K$4:$K$310,'Customer List w Software'!$B$4:$B$310,"&lt;&gt;Former client",'Customer List w Software'!$W$4:$W$310,"")</f>
        <v>37</v>
      </c>
      <c r="E17" s="367">
        <f>IFERROR(AVERAGEIFS('Customer List w Software'!$J$4:$J$310,'Customer List w Software'!$B$4:$B$310,"&lt;&gt;Former client",'Customer List w Software'!$W$4:$W$310,""),0)</f>
        <v>469.62962962962968</v>
      </c>
      <c r="G17" s="367">
        <f>COUNTIFS('Customer List w Software'!$B$4:$B$310,"Former client",'Customer List w Software'!$W$4:$W$310,"")</f>
        <v>114</v>
      </c>
      <c r="H17" s="367">
        <f>SUMIFS('Customer List w Software'!$K$4:$K$310,'Customer List w Software'!$B$4:$B$310,"Former client",'Customer List w Software'!$W$4:$W$310,"")</f>
        <v>196</v>
      </c>
      <c r="I17" s="367">
        <f>IFERROR(AVERAGEIFS('Customer List w Software'!$J$4:$J$310,'Customer List w Software'!$B$4:$B$310,"Former client",'Customer List w Software'!$W$4:$W$310,""),0)</f>
        <v>570.3895175438596</v>
      </c>
      <c r="K17" s="367">
        <f t="shared" si="1"/>
        <v>132</v>
      </c>
      <c r="L17" s="367">
        <f t="shared" si="1"/>
        <v>233</v>
      </c>
      <c r="M17" s="393">
        <f t="shared" si="2"/>
        <v>0.42996742671009774</v>
      </c>
    </row>
    <row r="18" spans="2:13">
      <c r="B18" s="60" t="s">
        <v>1907</v>
      </c>
      <c r="C18" s="229">
        <f>COUNTIFS('Customer List w Software'!$B$4:$B$310,"&lt;&gt;Former client")</f>
        <v>174</v>
      </c>
      <c r="D18" s="229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7"/>
      <c r="G18" s="398">
        <f>COUNTIFS('Customer List w Software'!$B$4:$B$310,"Former client")</f>
        <v>133</v>
      </c>
      <c r="H18" s="229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7"/>
      <c r="K18" s="398">
        <f t="shared" si="1"/>
        <v>307</v>
      </c>
      <c r="L18" s="229">
        <f t="shared" si="1"/>
        <v>4211</v>
      </c>
      <c r="M18" s="394">
        <f t="shared" si="2"/>
        <v>1</v>
      </c>
    </row>
    <row r="19" spans="2:13" ht="3.95" customHeight="1">
      <c r="M19" s="393"/>
    </row>
    <row r="20" spans="2:13">
      <c r="B20" s="377" t="s">
        <v>1910</v>
      </c>
      <c r="C20" s="351"/>
      <c r="D20" s="351"/>
      <c r="E20" s="351"/>
      <c r="G20" s="351"/>
      <c r="H20" s="351"/>
      <c r="I20" s="351"/>
      <c r="K20" s="351"/>
      <c r="L20" s="351"/>
      <c r="M20" s="396"/>
    </row>
    <row r="21" spans="2:13">
      <c r="B21" s="352" t="s">
        <v>514</v>
      </c>
      <c r="C21" s="367">
        <f>COUNTIFS('Customer List w Software'!$B$4:$B$310,"&lt;&gt;Former client",'Customer List w Software'!$X$4:$X$310,$B21)</f>
        <v>51</v>
      </c>
      <c r="D21" s="367">
        <f>SUMIFS('Customer List w Software'!$K$4:$K$310,'Customer List w Software'!$B$4:$B$310,"&lt;&gt;Former client",'Customer List w Software'!$X$4:$X$310,$B21)</f>
        <v>1338</v>
      </c>
      <c r="E21" s="355">
        <f>IFERROR(AVERAGEIFS('Customer List w Software'!$J$4:$J$310,'Customer List w Software'!$B$4:$B$310,"&lt;&gt;Former client",'Customer List w Software'!$X$4:$X$310,$B21),0)</f>
        <v>1661.0775816993464</v>
      </c>
      <c r="G21" s="367">
        <f>COUNTIFS('Customer List w Software'!$B$4:$B$310,"Former client",'Customer List w Software'!$X$4:$X$310,$B21)</f>
        <v>6</v>
      </c>
      <c r="H21" s="367">
        <f>SUMIFS('Customer List w Software'!$K$4:$K$310,'Customer List w Software'!$B$4:$B$310,"Former client",'Customer List w Software'!$X$4:$X$310,$B21)</f>
        <v>70</v>
      </c>
      <c r="I21" s="355">
        <f>IFERROR(AVERAGEIFS('Customer List w Software'!$J$4:$J$310,'Customer List w Software'!$B$4:$B$310,"Former client",'Customer List w Software'!$X$4:$X$310,$B21),0)</f>
        <v>976.33333333333337</v>
      </c>
      <c r="K21" s="367">
        <f t="shared" ref="K21:K29" si="3">C21+G21</f>
        <v>57</v>
      </c>
      <c r="L21" s="367">
        <f t="shared" ref="L21:L29" si="4">D21+H21</f>
        <v>1408</v>
      </c>
      <c r="M21" s="393">
        <f t="shared" ref="M21:M29" si="5">K21/K$29</f>
        <v>0.18566775244299674</v>
      </c>
    </row>
    <row r="22" spans="2:13">
      <c r="B22" s="352" t="s">
        <v>530</v>
      </c>
      <c r="C22" s="367">
        <f>COUNTIFS('Customer List w Software'!$B$4:$B$310,"&lt;&gt;Former client",'Customer List w Software'!$X$4:$X$310,$B22)</f>
        <v>48</v>
      </c>
      <c r="D22" s="367">
        <f>SUMIFS('Customer List w Software'!$K$4:$K$310,'Customer List w Software'!$B$4:$B$310,"&lt;&gt;Former client",'Customer List w Software'!$X$4:$X$310,$B22)</f>
        <v>829</v>
      </c>
      <c r="E22" s="367">
        <f>IFERROR(AVERAGEIFS('Customer List w Software'!$J$4:$J$310,'Customer List w Software'!$B$4:$B$310,"&lt;&gt;Former client",'Customer List w Software'!$X$4:$X$310,$B22),0)</f>
        <v>1090.3716666666667</v>
      </c>
      <c r="G22" s="367">
        <f>COUNTIFS('Customer List w Software'!$B$4:$B$310,"Former client",'Customer List w Software'!$X$4:$X$310,$B22)</f>
        <v>2</v>
      </c>
      <c r="H22" s="367">
        <f>SUMIFS('Customer List w Software'!$K$4:$K$310,'Customer List w Software'!$B$4:$B$310,"Former client",'Customer List w Software'!$X$4:$X$310,$B22)</f>
        <v>0</v>
      </c>
      <c r="I22" s="367">
        <f>IFERROR(AVERAGEIFS('Customer List w Software'!$J$4:$J$310,'Customer List w Software'!$B$4:$B$310,"Former client",'Customer List w Software'!$X$4:$X$310,$B22),0)</f>
        <v>459</v>
      </c>
      <c r="K22" s="367">
        <f t="shared" si="3"/>
        <v>50</v>
      </c>
      <c r="L22" s="367">
        <f t="shared" si="4"/>
        <v>829</v>
      </c>
      <c r="M22" s="393">
        <f t="shared" si="5"/>
        <v>0.16286644951140064</v>
      </c>
    </row>
    <row r="23" spans="2:13">
      <c r="B23" s="352" t="s">
        <v>525</v>
      </c>
      <c r="C23" s="367">
        <f>COUNTIFS('Customer List w Software'!$B$4:$B$310,"&lt;&gt;Former client",'Customer List w Software'!$X$4:$X$310,$B23)</f>
        <v>24</v>
      </c>
      <c r="D23" s="367">
        <f>SUMIFS('Customer List w Software'!$K$4:$K$310,'Customer List w Software'!$B$4:$B$310,"&lt;&gt;Former client",'Customer List w Software'!$X$4:$X$310,$B23)</f>
        <v>438</v>
      </c>
      <c r="E23" s="367">
        <f>IFERROR(AVERAGEIFS('Customer List w Software'!$J$4:$J$310,'Customer List w Software'!$B$4:$B$310,"&lt;&gt;Former client",'Customer List w Software'!$X$4:$X$310,$B23),0)</f>
        <v>1275.3854166666667</v>
      </c>
      <c r="G23" s="367">
        <f>COUNTIFS('Customer List w Software'!$B$4:$B$310,"Former client",'Customer List w Software'!$X$4:$X$310,$B23)</f>
        <v>5</v>
      </c>
      <c r="H23" s="367">
        <f>SUMIFS('Customer List w Software'!$K$4:$K$310,'Customer List w Software'!$B$4:$B$310,"Former client",'Customer List w Software'!$X$4:$X$310,$B23)</f>
        <v>48</v>
      </c>
      <c r="I23" s="367">
        <f>IFERROR(AVERAGEIFS('Customer List w Software'!$J$4:$J$310,'Customer List w Software'!$B$4:$B$310,"Former client",'Customer List w Software'!$X$4:$X$310,$B23),0)</f>
        <v>833.16666666666663</v>
      </c>
      <c r="K23" s="367">
        <f t="shared" si="3"/>
        <v>29</v>
      </c>
      <c r="L23" s="367">
        <f t="shared" si="4"/>
        <v>486</v>
      </c>
      <c r="M23" s="393">
        <f t="shared" si="5"/>
        <v>9.4462540716612378E-2</v>
      </c>
    </row>
    <row r="24" spans="2:13">
      <c r="B24" s="352" t="s">
        <v>540</v>
      </c>
      <c r="C24" s="367">
        <f>COUNTIFS('Customer List w Software'!$B$4:$B$310,"&lt;&gt;Former client",'Customer List w Software'!$X$4:$X$310,$B24)</f>
        <v>20</v>
      </c>
      <c r="D24" s="367">
        <f>SUMIFS('Customer List w Software'!$K$4:$K$310,'Customer List w Software'!$B$4:$B$310,"&lt;&gt;Former client",'Customer List w Software'!$X$4:$X$310,$B24)</f>
        <v>544</v>
      </c>
      <c r="E24" s="367">
        <f>IFERROR(AVERAGEIFS('Customer List w Software'!$J$4:$J$310,'Customer List w Software'!$B$4:$B$310,"&lt;&gt;Former client",'Customer List w Software'!$X$4:$X$310,$B24),0)</f>
        <v>1667.55</v>
      </c>
      <c r="G24" s="367">
        <f>COUNTIFS('Customer List w Software'!$B$4:$B$310,"Former client",'Customer List w Software'!$X$4:$X$310,$B24)</f>
        <v>2</v>
      </c>
      <c r="H24" s="367">
        <f>SUMIFS('Customer List w Software'!$K$4:$K$310,'Customer List w Software'!$B$4:$B$310,"Former client",'Customer List w Software'!$X$4:$X$310,$B24)</f>
        <v>29</v>
      </c>
      <c r="I24" s="367">
        <f>IFERROR(AVERAGEIFS('Customer List w Software'!$J$4:$J$310,'Customer List w Software'!$B$4:$B$310,"Former client",'Customer List w Software'!$X$4:$X$310,$B24),0)</f>
        <v>375</v>
      </c>
      <c r="K24" s="367">
        <f t="shared" si="3"/>
        <v>22</v>
      </c>
      <c r="L24" s="367">
        <f t="shared" si="4"/>
        <v>573</v>
      </c>
      <c r="M24" s="393">
        <f t="shared" si="5"/>
        <v>7.1661237785016291E-2</v>
      </c>
    </row>
    <row r="25" spans="2:13">
      <c r="B25" s="352" t="s">
        <v>610</v>
      </c>
      <c r="C25" s="367">
        <f>COUNTIFS('Customer List w Software'!$B$4:$B$310,"&lt;&gt;Former client",'Customer List w Software'!$X$4:$X$310,$B25)</f>
        <v>8</v>
      </c>
      <c r="D25" s="367">
        <f>SUMIFS('Customer List w Software'!$K$4:$K$310,'Customer List w Software'!$B$4:$B$310,"&lt;&gt;Former client",'Customer List w Software'!$X$4:$X$310,$B25)</f>
        <v>152</v>
      </c>
      <c r="E25" s="367">
        <f>IFERROR(AVERAGEIFS('Customer List w Software'!$J$4:$J$310,'Customer List w Software'!$B$4:$B$310,"&lt;&gt;Former client",'Customer List w Software'!$X$4:$X$310,$B25),0)</f>
        <v>1303.4375</v>
      </c>
      <c r="G25" s="367">
        <f>COUNTIFS('Customer List w Software'!$B$4:$B$310,"Former client",'Customer List w Software'!$X$4:$X$310,$B25)</f>
        <v>0</v>
      </c>
      <c r="H25" s="367">
        <f>SUMIFS('Customer List w Software'!$K$4:$K$310,'Customer List w Software'!$B$4:$B$310,"Former client",'Customer List w Software'!$X$4:$X$310,$B25)</f>
        <v>0</v>
      </c>
      <c r="I25" s="367">
        <f>IFERROR(AVERAGEIFS('Customer List w Software'!$J$4:$J$310,'Customer List w Software'!$B$4:$B$310,"Former client",'Customer List w Software'!$X$4:$X$310,$B25),0)</f>
        <v>0</v>
      </c>
      <c r="K25" s="367">
        <f t="shared" si="3"/>
        <v>8</v>
      </c>
      <c r="L25" s="367">
        <f t="shared" si="4"/>
        <v>152</v>
      </c>
      <c r="M25" s="393">
        <f t="shared" si="5"/>
        <v>2.6058631921824105E-2</v>
      </c>
    </row>
    <row r="26" spans="2:13">
      <c r="B26" s="352" t="s">
        <v>718</v>
      </c>
      <c r="C26" s="367">
        <f>COUNTIFS('Customer List w Software'!$B$4:$B$310,"&lt;&gt;Former client",'Customer List w Software'!$X$4:$X$310,$B26)</f>
        <v>1</v>
      </c>
      <c r="D26" s="367">
        <f>SUMIFS('Customer List w Software'!$K$4:$K$310,'Customer List w Software'!$B$4:$B$310,"&lt;&gt;Former client",'Customer List w Software'!$X$4:$X$310,$B26)</f>
        <v>29</v>
      </c>
      <c r="E26" s="367">
        <f>IFERROR(AVERAGEIFS('Customer List w Software'!$J$4:$J$310,'Customer List w Software'!$B$4:$B$310,"&lt;&gt;Former client",'Customer List w Software'!$X$4:$X$310,$B26),0)</f>
        <v>2639</v>
      </c>
      <c r="G26" s="367">
        <f>COUNTIFS('Customer List w Software'!$B$4:$B$310,"Former client",'Customer List w Software'!$X$4:$X$310,$B26)</f>
        <v>0</v>
      </c>
      <c r="H26" s="367">
        <f>SUMIFS('Customer List w Software'!$K$4:$K$310,'Customer List w Software'!$B$4:$B$310,"Former client",'Customer List w Software'!$X$4:$X$310,$B26)</f>
        <v>0</v>
      </c>
      <c r="I26" s="367">
        <f>IFERROR(AVERAGEIFS('Customer List w Software'!$J$4:$J$310,'Customer List w Software'!$B$4:$B$310,"Former client",'Customer List w Software'!$X$4:$X$310,$B26),0)</f>
        <v>0</v>
      </c>
      <c r="K26" s="367">
        <f t="shared" si="3"/>
        <v>1</v>
      </c>
      <c r="L26" s="367">
        <f t="shared" si="4"/>
        <v>29</v>
      </c>
      <c r="M26" s="393">
        <f t="shared" si="5"/>
        <v>3.2573289902280132E-3</v>
      </c>
    </row>
    <row r="27" spans="2:13">
      <c r="B27" s="352" t="s">
        <v>1911</v>
      </c>
      <c r="C27" s="367">
        <f>COUNTIFS('Customer List w Software'!$B$4:$B$310,"&lt;&gt;Former client",'Customer List w Software'!$X$4:$X$310,"*,*")</f>
        <v>4</v>
      </c>
      <c r="D27" s="367">
        <f>SUMIFS('Customer List w Software'!$K$4:$K$310,'Customer List w Software'!$B$4:$B$310,"&lt;&gt;Former client",'Customer List w Software'!$X$4:$X$310,"*,*")</f>
        <v>98</v>
      </c>
      <c r="E27" s="367">
        <f>IFERROR(AVERAGEIFS('Customer List w Software'!$J$4:$J$310,'Customer List w Software'!$B$4:$B$310,"&lt;&gt;Former client",'Customer List w Software'!$X$4:$X$310,"*,*"),0)</f>
        <v>1695.7041666666667</v>
      </c>
      <c r="G27" s="367">
        <f>COUNTIFS('Customer List w Software'!$B$4:$B$310,"Former client",'Customer List w Software'!$X$4:$X$310,"*,*")</f>
        <v>0</v>
      </c>
      <c r="H27" s="367">
        <f>SUMIFS('Customer List w Software'!$K$4:$K$310,'Customer List w Software'!$B$4:$B$310,"Former client",'Customer List w Software'!$X$4:$X$310,"*,*")</f>
        <v>0</v>
      </c>
      <c r="I27" s="367">
        <f>IFERROR(AVERAGEIFS('Customer List w Software'!$J$4:$J$310,'Customer List w Software'!$B$4:$B$310,"Former client",'Customer List w Software'!$X$4:$X$310,"*,*"),0)</f>
        <v>0</v>
      </c>
      <c r="K27" s="367">
        <f t="shared" si="3"/>
        <v>4</v>
      </c>
      <c r="L27" s="367">
        <f t="shared" si="4"/>
        <v>98</v>
      </c>
      <c r="M27" s="393">
        <f t="shared" si="5"/>
        <v>1.3029315960912053E-2</v>
      </c>
    </row>
    <row r="28" spans="2:13">
      <c r="B28" s="352" t="s">
        <v>1909</v>
      </c>
      <c r="C28" s="367">
        <f>COUNTIFS('Customer List w Software'!$B$4:$B$310,"&lt;&gt;Former client",'Customer List w Software'!$X$4:$X$310,"")</f>
        <v>18</v>
      </c>
      <c r="D28" s="367">
        <f>SUMIFS('Customer List w Software'!$K$4:$K$310,'Customer List w Software'!$B$4:$B$310,"&lt;&gt;Former client",'Customer List w Software'!$X$4:$X$310,"")</f>
        <v>329</v>
      </c>
      <c r="E28" s="367">
        <f>IFERROR(AVERAGEIFS('Customer List w Software'!$J$4:$J$310,'Customer List w Software'!$B$4:$B$310,"&lt;&gt;Former client",'Customer List w Software'!$X$4:$X$310,""),0)</f>
        <v>1076.0016666666668</v>
      </c>
      <c r="G28" s="367">
        <f>COUNTIFS('Customer List w Software'!$B$4:$B$310,"Former client",'Customer List w Software'!$X$4:$X$310,"")</f>
        <v>118</v>
      </c>
      <c r="H28" s="367">
        <f>SUMIFS('Customer List w Software'!$K$4:$K$310,'Customer List w Software'!$B$4:$B$310,"Former client",'Customer List w Software'!$X$4:$X$310,"")</f>
        <v>307</v>
      </c>
      <c r="I28" s="367">
        <f>IFERROR(AVERAGEIFS('Customer List w Software'!$J$4:$J$310,'Customer List w Software'!$B$4:$B$310,"Former client",'Customer List w Software'!$X$4:$X$310,""),0)</f>
        <v>619.96670903954794</v>
      </c>
      <c r="K28" s="367">
        <f t="shared" si="3"/>
        <v>136</v>
      </c>
      <c r="L28" s="367">
        <f t="shared" si="4"/>
        <v>636</v>
      </c>
      <c r="M28" s="393">
        <f t="shared" si="5"/>
        <v>0.44299674267100975</v>
      </c>
    </row>
    <row r="29" spans="2:13">
      <c r="B29" s="60" t="s">
        <v>1907</v>
      </c>
      <c r="C29" s="229">
        <f>COUNTIFS('Customer List w Software'!$B$4:$B$310,"&lt;&gt;Former client")</f>
        <v>174</v>
      </c>
      <c r="D29" s="229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7"/>
      <c r="G29" s="398">
        <f>COUNTIFS('Customer List w Software'!$B$4:$B$310,"Former client")</f>
        <v>133</v>
      </c>
      <c r="H29" s="229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7"/>
      <c r="K29" s="398">
        <f t="shared" si="3"/>
        <v>307</v>
      </c>
      <c r="L29" s="229">
        <f t="shared" si="4"/>
        <v>4211</v>
      </c>
      <c r="M29" s="394">
        <f t="shared" si="5"/>
        <v>1</v>
      </c>
    </row>
    <row r="30" spans="2:13" ht="3.95" customHeight="1">
      <c r="M30" s="393"/>
    </row>
    <row r="31" spans="2:13">
      <c r="B31" s="377" t="s">
        <v>488</v>
      </c>
      <c r="C31" s="351"/>
      <c r="D31" s="351"/>
      <c r="E31" s="351"/>
      <c r="G31" s="351"/>
      <c r="H31" s="351"/>
      <c r="I31" s="351"/>
      <c r="K31" s="351"/>
      <c r="L31" s="351"/>
      <c r="M31" s="396"/>
    </row>
    <row r="32" spans="2:13">
      <c r="B32" s="352" t="s">
        <v>342</v>
      </c>
      <c r="C32" s="367">
        <f>COUNTIFS('Customer List w Software'!$B$4:$B$310,"&lt;&gt;Former client",'Customer List w Software'!$Y$4:$Y$310,$B32)</f>
        <v>48</v>
      </c>
      <c r="D32" s="367">
        <f>SUMIFS('Customer List w Software'!$K$4:$K$310,'Customer List w Software'!$B$4:$B$310,"&lt;&gt;Former client",'Customer List w Software'!$Y$4:$Y$310,$B32)</f>
        <v>1841</v>
      </c>
      <c r="E32" s="355">
        <f>IFERROR(AVERAGEIFS('Customer List w Software'!$J$4:$J$310,'Customer List w Software'!$B$4:$B$310,"&lt;&gt;Former client",'Customer List w Software'!$Y$4:$Y$310,$B32),0)</f>
        <v>2389.2050694444442</v>
      </c>
      <c r="G32" s="367">
        <f>COUNTIFS('Customer List w Software'!$B$4:$B$310,"Former client",'Customer List w Software'!$Y$4:$Y$310,$B32)</f>
        <v>4</v>
      </c>
      <c r="H32" s="367">
        <f>SUMIFS('Customer List w Software'!$K$4:$K$310,'Customer List w Software'!$B$4:$B$310,"Former client",'Customer List w Software'!$Y$4:$Y$310,$B32)</f>
        <v>120</v>
      </c>
      <c r="I32" s="355">
        <f>IFERROR(AVERAGEIFS('Customer List w Software'!$J$4:$J$310,'Customer List w Software'!$B$4:$B$310,"Former client",'Customer List w Software'!$Y$4:$Y$310,$B32),0)</f>
        <v>2159.8333333333335</v>
      </c>
      <c r="K32" s="367">
        <f t="shared" ref="K32:L36" si="6">C32+G32</f>
        <v>52</v>
      </c>
      <c r="L32" s="367">
        <f t="shared" si="6"/>
        <v>1961</v>
      </c>
      <c r="M32" s="393">
        <f>K32/K$36</f>
        <v>0.16938110749185667</v>
      </c>
    </row>
    <row r="33" spans="2:13">
      <c r="B33" s="352" t="s">
        <v>354</v>
      </c>
      <c r="C33" s="367">
        <f>COUNTIFS('Customer List w Software'!$B$4:$B$310,"&lt;&gt;Former client",'Customer List w Software'!$Y$4:$Y$310,$B33)</f>
        <v>12</v>
      </c>
      <c r="D33" s="367">
        <f>SUMIFS('Customer List w Software'!$K$4:$K$310,'Customer List w Software'!$B$4:$B$310,"&lt;&gt;Former client",'Customer List w Software'!$Y$4:$Y$310,$B33)</f>
        <v>231</v>
      </c>
      <c r="E33" s="367">
        <f>IFERROR(AVERAGEIFS('Customer List w Software'!$J$4:$J$310,'Customer List w Software'!$B$4:$B$310,"&lt;&gt;Former client",'Customer List w Software'!$Y$4:$Y$310,$B33),0)</f>
        <v>1409.9444444444443</v>
      </c>
      <c r="G33" s="367">
        <f>COUNTIFS('Customer List w Software'!$B$4:$B$310,"Former client",'Customer List w Software'!$Y$4:$Y$310,$B33)</f>
        <v>1</v>
      </c>
      <c r="H33" s="367">
        <f>SUMIFS('Customer List w Software'!$K$4:$K$310,'Customer List w Software'!$B$4:$B$310,"Former client",'Customer List w Software'!$Y$4:$Y$310,$B33)</f>
        <v>0</v>
      </c>
      <c r="I33" s="367">
        <f>IFERROR(AVERAGEIFS('Customer List w Software'!$J$4:$J$310,'Customer List w Software'!$B$4:$B$310,"Former client",'Customer List w Software'!$Y$4:$Y$310,$B33),0)</f>
        <v>540</v>
      </c>
      <c r="K33" s="367">
        <f t="shared" si="6"/>
        <v>13</v>
      </c>
      <c r="L33" s="367">
        <f t="shared" si="6"/>
        <v>231</v>
      </c>
      <c r="M33" s="393">
        <f>K33/K$36</f>
        <v>4.2345276872964167E-2</v>
      </c>
    </row>
    <row r="34" spans="2:13">
      <c r="B34" s="352" t="s">
        <v>764</v>
      </c>
      <c r="C34" s="367">
        <f>COUNTIFS('Customer List w Software'!$B$4:$B$310,"&lt;&gt;Former client",'Customer List w Software'!$Y$4:$Y$310,$B34)</f>
        <v>0</v>
      </c>
      <c r="D34" s="367">
        <f>SUMIFS('Customer List w Software'!$K$4:$K$310,'Customer List w Software'!$B$4:$B$310,"&lt;&gt;Former client",'Customer List w Software'!$Y$4:$Y$310,$B34)</f>
        <v>0</v>
      </c>
      <c r="E34" s="367">
        <f>IFERROR(AVERAGEIFS('Customer List w Software'!$J$4:$J$310,'Customer List w Software'!$B$4:$B$310,"&lt;&gt;Former client",'Customer List w Software'!$Y$4:$Y$310,$B34),0)</f>
        <v>0</v>
      </c>
      <c r="G34" s="367">
        <f>COUNTIFS('Customer List w Software'!$B$4:$B$310,"Former client",'Customer List w Software'!$Y$4:$Y$310,$B34)</f>
        <v>1</v>
      </c>
      <c r="H34" s="367">
        <f>SUMIFS('Customer List w Software'!$K$4:$K$310,'Customer List w Software'!$B$4:$B$310,"Former client",'Customer List w Software'!$Y$4:$Y$310,$B34)</f>
        <v>0</v>
      </c>
      <c r="I34" s="367">
        <f>IFERROR(AVERAGEIFS('Customer List w Software'!$J$4:$J$310,'Customer List w Software'!$B$4:$B$310,"Former client",'Customer List w Software'!$Y$4:$Y$310,$B34),0)</f>
        <v>486.33333333333331</v>
      </c>
      <c r="K34" s="367">
        <f t="shared" si="6"/>
        <v>1</v>
      </c>
      <c r="L34" s="367">
        <f t="shared" si="6"/>
        <v>0</v>
      </c>
      <c r="M34" s="393">
        <f>K34/K$36</f>
        <v>3.2573289902280132E-3</v>
      </c>
    </row>
    <row r="35" spans="2:13">
      <c r="B35" s="352" t="s">
        <v>1909</v>
      </c>
      <c r="C35" s="367">
        <f>COUNTIFS('Customer List w Software'!$B$4:$B$310,"&lt;&gt;Former client",'Customer List w Software'!$Y$4:$Y$310,"")</f>
        <v>114</v>
      </c>
      <c r="D35" s="367">
        <f>SUMIFS('Customer List w Software'!$K$4:$K$310,'Customer List w Software'!$B$4:$B$310,"&lt;&gt;Former client",'Customer List w Software'!$Y$4:$Y$310,"")</f>
        <v>1685</v>
      </c>
      <c r="E35" s="367">
        <f>IFERROR(AVERAGEIFS('Customer List w Software'!$J$4:$J$310,'Customer List w Software'!$B$4:$B$310,"&lt;&gt;Former client",'Customer List w Software'!$Y$4:$Y$310,""),0)</f>
        <v>952.88786549707595</v>
      </c>
      <c r="G35" s="367">
        <f>COUNTIFS('Customer List w Software'!$B$4:$B$310,"Former client",'Customer List w Software'!$Y$4:$Y$310,"")</f>
        <v>127</v>
      </c>
      <c r="H35" s="367">
        <f>SUMIFS('Customer List w Software'!$K$4:$K$310,'Customer List w Software'!$B$4:$B$310,"Former client",'Customer List w Software'!$Y$4:$Y$310,"")</f>
        <v>334</v>
      </c>
      <c r="I35" s="367">
        <f>IFERROR(AVERAGEIFS('Customer List w Software'!$J$4:$J$310,'Customer List w Software'!$B$4:$B$310,"Former client",'Customer List w Software'!$Y$4:$Y$310,""),0)</f>
        <v>591.98612860892388</v>
      </c>
      <c r="K35" s="367">
        <f t="shared" si="6"/>
        <v>241</v>
      </c>
      <c r="L35" s="367">
        <f t="shared" si="6"/>
        <v>2019</v>
      </c>
      <c r="M35" s="393">
        <f>K35/K$36</f>
        <v>0.78501628664495116</v>
      </c>
    </row>
    <row r="36" spans="2:13">
      <c r="B36" s="60" t="s">
        <v>1907</v>
      </c>
      <c r="C36" s="229">
        <f>COUNTIFS('Customer List w Software'!$B$4:$B$310,"&lt;&gt;Former client")</f>
        <v>174</v>
      </c>
      <c r="D36" s="229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7"/>
      <c r="G36" s="398">
        <f>COUNTIFS('Customer List w Software'!$B$4:$B$310,"Former client")</f>
        <v>133</v>
      </c>
      <c r="H36" s="229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7"/>
      <c r="K36" s="398">
        <f t="shared" si="6"/>
        <v>307</v>
      </c>
      <c r="L36" s="229">
        <f t="shared" si="6"/>
        <v>4211</v>
      </c>
      <c r="M36" s="394">
        <f>K36/K$36</f>
        <v>1</v>
      </c>
    </row>
    <row r="37" spans="2:13" s="173" customFormat="1">
      <c r="M37" s="392"/>
    </row>
    <row r="38" spans="2:13" s="173" customFormat="1">
      <c r="B38" s="179" t="s">
        <v>1306</v>
      </c>
      <c r="C38" s="179"/>
    </row>
    <row r="39" spans="2:13" s="173" customFormat="1">
      <c r="B39" s="179" t="s">
        <v>1912</v>
      </c>
      <c r="C39" s="179"/>
    </row>
    <row r="40" spans="2:13" s="173" customFormat="1">
      <c r="B40" s="179" t="s">
        <v>1913</v>
      </c>
      <c r="C40" s="181">
        <f>COUNTIFS('Customer List w Software'!$B$4:$B$310,"Active")</f>
        <v>163</v>
      </c>
    </row>
    <row r="41" spans="2:13" s="173" customFormat="1">
      <c r="B41" s="179" t="s">
        <v>1914</v>
      </c>
      <c r="C41" s="181">
        <f>COUNTIFS('Customer List w Software'!$B$4:$B$310,"Onboarding")</f>
        <v>11</v>
      </c>
    </row>
    <row r="42" spans="2:13" s="173" customFormat="1">
      <c r="B42" s="179" t="s">
        <v>1915</v>
      </c>
      <c r="C42" s="179"/>
    </row>
    <row r="43" spans="2:13" s="173" customFormat="1"/>
    <row r="44" spans="2:13" s="173" customFormat="1">
      <c r="B44" s="377" t="s">
        <v>1917</v>
      </c>
      <c r="C44" s="363" t="s">
        <v>595</v>
      </c>
      <c r="D44" s="363" t="s">
        <v>1918</v>
      </c>
      <c r="E44" s="351"/>
    </row>
    <row r="45" spans="2:13">
      <c r="B45" s="352" t="s">
        <v>1919</v>
      </c>
      <c r="C45" s="355">
        <f>+E10</f>
        <v>1380.6344444444439</v>
      </c>
      <c r="D45" s="355">
        <f>C45*12</f>
        <v>16567.613333333327</v>
      </c>
    </row>
    <row r="46" spans="2:13">
      <c r="B46" s="352" t="s">
        <v>1920</v>
      </c>
      <c r="C46" s="355">
        <f>D46/12</f>
        <v>1355.1213297872339</v>
      </c>
      <c r="D46" s="355">
        <f>+'Client Retention $'!AD16*1000</f>
        <v>16261.455957446806</v>
      </c>
    </row>
    <row r="47" spans="2:13">
      <c r="B47" s="361" t="s">
        <v>1921</v>
      </c>
      <c r="C47" s="61">
        <f>C45-C46</f>
        <v>25.513114657210053</v>
      </c>
      <c r="D47" s="61">
        <f>D45-D46</f>
        <v>306.15737588652155</v>
      </c>
      <c r="E47" s="361"/>
    </row>
    <row r="48" spans="2:13">
      <c r="B48" s="352" t="s">
        <v>1922</v>
      </c>
      <c r="D48" s="380">
        <f>D47/D46</f>
        <v>1.8827181077000623E-2</v>
      </c>
    </row>
    <row r="50" spans="2:5">
      <c r="B50" s="377" t="s">
        <v>1923</v>
      </c>
      <c r="C50" s="351"/>
      <c r="D50" s="351"/>
      <c r="E50" s="351"/>
    </row>
    <row r="51" spans="2:5">
      <c r="B51" s="352" t="s">
        <v>1924</v>
      </c>
      <c r="C51" s="367">
        <f>+C10</f>
        <v>174</v>
      </c>
    </row>
    <row r="52" spans="2:5">
      <c r="B52" s="352" t="s">
        <v>1925</v>
      </c>
      <c r="C52" s="367">
        <f>+'Client Retention'!AD15</f>
        <v>188</v>
      </c>
    </row>
    <row r="53" spans="2:5">
      <c r="B53" s="352" t="s">
        <v>1926</v>
      </c>
      <c r="C53" s="355">
        <f>SUMIFS('Customer List w Software'!$J$4:$J$310,'Customer List w Software'!$B$4:$B$310,"&lt;&gt;Former client")</f>
        <v>240230.39333333325</v>
      </c>
    </row>
    <row r="54" spans="2:5">
      <c r="B54" s="352" t="s">
        <v>1927</v>
      </c>
      <c r="C54" s="355">
        <f>+'Client Retention $'!AD15*1000</f>
        <v>254762.80999999994</v>
      </c>
    </row>
    <row r="55" spans="2:5">
      <c r="B55" s="97" t="s">
        <v>1928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1929</v>
      </c>
    </row>
    <row r="4" spans="2:9">
      <c r="B4" s="349"/>
      <c r="C4" s="349"/>
      <c r="D4" s="349"/>
      <c r="E4" s="349"/>
      <c r="F4" s="349"/>
      <c r="G4" s="349"/>
      <c r="H4" s="349"/>
      <c r="I4" s="349"/>
    </row>
    <row r="5" spans="2:9">
      <c r="B5" s="373" t="s">
        <v>1930</v>
      </c>
      <c r="C5" s="373"/>
      <c r="D5" s="373"/>
      <c r="E5" s="373"/>
      <c r="F5" s="373"/>
      <c r="G5" s="373"/>
      <c r="H5" s="373"/>
      <c r="I5" s="373"/>
    </row>
    <row r="6" spans="2:9">
      <c r="B6" s="352" t="s">
        <v>1931</v>
      </c>
      <c r="C6" s="355">
        <f>'P&amp;L Forecast'!$K$106</f>
        <v>551.16395835611661</v>
      </c>
      <c r="D6" s="352"/>
      <c r="E6" s="352"/>
      <c r="F6" s="352"/>
      <c r="G6" s="352"/>
      <c r="H6" s="352"/>
      <c r="I6" s="352"/>
    </row>
    <row r="7" spans="2:9">
      <c r="B7" s="352" t="s">
        <v>1932</v>
      </c>
      <c r="C7" s="355">
        <f>'P&amp;L Forecast'!$C$185</f>
        <v>272.46937500000001</v>
      </c>
      <c r="D7" s="352"/>
      <c r="E7" s="352"/>
      <c r="F7" s="352"/>
      <c r="G7" s="352"/>
      <c r="H7" s="352"/>
      <c r="I7" s="352"/>
    </row>
    <row r="8" spans="2:9">
      <c r="B8" s="352" t="s">
        <v>1849</v>
      </c>
      <c r="C8" s="367">
        <f>'P&amp;L Forecast'!$C$181</f>
        <v>177</v>
      </c>
      <c r="D8" s="352"/>
      <c r="E8" s="352"/>
      <c r="F8" s="352"/>
      <c r="G8" s="352"/>
      <c r="H8" s="352"/>
      <c r="I8" s="352"/>
    </row>
    <row r="9" spans="2:9">
      <c r="B9" s="352" t="s">
        <v>1933</v>
      </c>
      <c r="C9" s="379">
        <f>'P&amp;L Forecast'!$C$182</f>
        <v>8</v>
      </c>
      <c r="D9" s="352"/>
      <c r="E9" s="352"/>
      <c r="F9" s="352"/>
      <c r="G9" s="352"/>
      <c r="H9" s="352"/>
      <c r="I9" s="352"/>
    </row>
    <row r="10" spans="2:9">
      <c r="B10" s="352" t="s">
        <v>1934</v>
      </c>
      <c r="C10" s="378">
        <f>'P&amp;L Forecast'!$C$184</f>
        <v>12.315000000000001</v>
      </c>
      <c r="D10" s="352"/>
      <c r="E10" s="352"/>
      <c r="F10" s="352"/>
      <c r="G10" s="352"/>
      <c r="H10" s="352"/>
      <c r="I10" s="352"/>
    </row>
    <row r="11" spans="2:9">
      <c r="B11" s="352" t="s">
        <v>1935</v>
      </c>
      <c r="C11" s="399">
        <v>7</v>
      </c>
      <c r="D11" s="352"/>
      <c r="E11" s="352"/>
      <c r="F11" s="352"/>
      <c r="G11" s="352"/>
      <c r="H11" s="352"/>
      <c r="I11" s="352"/>
    </row>
    <row r="13" spans="2:9">
      <c r="B13" s="373" t="s">
        <v>1936</v>
      </c>
      <c r="C13" s="373"/>
      <c r="D13" s="373"/>
      <c r="E13" s="373"/>
      <c r="F13" s="373"/>
      <c r="G13" s="373"/>
      <c r="H13" s="373"/>
      <c r="I13" s="373"/>
    </row>
    <row r="14" spans="2:9">
      <c r="B14" s="351"/>
      <c r="C14" s="423" t="s">
        <v>1937</v>
      </c>
      <c r="D14" s="423"/>
      <c r="E14" s="423"/>
      <c r="F14" s="423"/>
      <c r="G14" s="423"/>
      <c r="H14" s="423"/>
      <c r="I14" s="423"/>
    </row>
    <row r="15" spans="2:9">
      <c r="B15" s="403" t="s">
        <v>1938</v>
      </c>
      <c r="C15" s="401">
        <f>$C$9-3</f>
        <v>5</v>
      </c>
      <c r="D15" s="401">
        <f>$C$9-2</f>
        <v>6</v>
      </c>
      <c r="E15" s="401">
        <f>$C$9-1</f>
        <v>7</v>
      </c>
      <c r="F15" s="401">
        <f>$C$9+0</f>
        <v>8</v>
      </c>
      <c r="G15" s="401">
        <f>$C$9+1</f>
        <v>9</v>
      </c>
      <c r="H15" s="401">
        <f>$C$9+2</f>
        <v>10</v>
      </c>
      <c r="I15" s="406">
        <f>$C$9+3</f>
        <v>11</v>
      </c>
    </row>
    <row r="16" spans="2:9">
      <c r="B16" s="404">
        <f>$C$11-2</f>
        <v>5</v>
      </c>
      <c r="C16" s="355">
        <f t="shared" ref="C16:I20" si="0">($C$6+$C$7-($C$8/C$15)*$C$10)*$B16</f>
        <v>1938.4116667805829</v>
      </c>
      <c r="D16" s="355">
        <f t="shared" si="0"/>
        <v>2301.7041667805829</v>
      </c>
      <c r="E16" s="355">
        <f t="shared" si="0"/>
        <v>2561.1988096377258</v>
      </c>
      <c r="F16" s="355">
        <f t="shared" si="0"/>
        <v>2755.8197917805828</v>
      </c>
      <c r="G16" s="355">
        <f t="shared" si="0"/>
        <v>2907.1916667805826</v>
      </c>
      <c r="H16" s="355">
        <f t="shared" si="0"/>
        <v>3028.2891667805829</v>
      </c>
      <c r="I16" s="407">
        <f t="shared" si="0"/>
        <v>3127.3689395078559</v>
      </c>
    </row>
    <row r="17" spans="2:9">
      <c r="B17" s="404">
        <f>$C$11-1</f>
        <v>6</v>
      </c>
      <c r="C17" s="355">
        <f t="shared" si="0"/>
        <v>2326.0940001366998</v>
      </c>
      <c r="D17" s="355">
        <f t="shared" si="0"/>
        <v>2762.0450001366999</v>
      </c>
      <c r="E17" s="355">
        <f t="shared" si="0"/>
        <v>3073.4385715652706</v>
      </c>
      <c r="F17" s="355">
        <f t="shared" si="0"/>
        <v>3306.9837501366997</v>
      </c>
      <c r="G17" s="355">
        <f t="shared" si="0"/>
        <v>3488.6300001366994</v>
      </c>
      <c r="H17" s="355">
        <f t="shared" si="0"/>
        <v>3633.9470001366999</v>
      </c>
      <c r="I17" s="407">
        <f t="shared" si="0"/>
        <v>3752.8427274094274</v>
      </c>
    </row>
    <row r="18" spans="2:9">
      <c r="B18" s="404">
        <f>$C$11+0</f>
        <v>7</v>
      </c>
      <c r="C18" s="355">
        <f t="shared" si="0"/>
        <v>2713.7763334928163</v>
      </c>
      <c r="D18" s="355">
        <f t="shared" si="0"/>
        <v>3222.3858334928163</v>
      </c>
      <c r="E18" s="355">
        <f t="shared" si="0"/>
        <v>3585.6783334928159</v>
      </c>
      <c r="F18" s="400">
        <f t="shared" si="0"/>
        <v>3858.1477084928165</v>
      </c>
      <c r="G18" s="355">
        <f t="shared" si="0"/>
        <v>4070.0683334928162</v>
      </c>
      <c r="H18" s="355">
        <f t="shared" si="0"/>
        <v>4239.6048334928164</v>
      </c>
      <c r="I18" s="407">
        <f t="shared" si="0"/>
        <v>4378.3165153109985</v>
      </c>
    </row>
    <row r="19" spans="2:9">
      <c r="B19" s="404">
        <f>$C$11+1</f>
        <v>8</v>
      </c>
      <c r="C19" s="355">
        <f t="shared" si="0"/>
        <v>3101.4586668489328</v>
      </c>
      <c r="D19" s="355">
        <f t="shared" si="0"/>
        <v>3682.7266668489328</v>
      </c>
      <c r="E19" s="355">
        <f t="shared" si="0"/>
        <v>4097.9180954203612</v>
      </c>
      <c r="F19" s="355">
        <f t="shared" si="0"/>
        <v>4409.3116668489329</v>
      </c>
      <c r="G19" s="355">
        <f t="shared" si="0"/>
        <v>4651.5066668489326</v>
      </c>
      <c r="H19" s="355">
        <f t="shared" si="0"/>
        <v>4845.2626668489329</v>
      </c>
      <c r="I19" s="407">
        <f t="shared" si="0"/>
        <v>5003.7903032125696</v>
      </c>
    </row>
    <row r="20" spans="2:9">
      <c r="B20" s="405">
        <f>$C$11+2</f>
        <v>9</v>
      </c>
      <c r="C20" s="402">
        <f t="shared" si="0"/>
        <v>3489.1410002050493</v>
      </c>
      <c r="D20" s="402">
        <f t="shared" si="0"/>
        <v>4143.0675002050493</v>
      </c>
      <c r="E20" s="402">
        <f t="shared" si="0"/>
        <v>4610.1578573479064</v>
      </c>
      <c r="F20" s="402">
        <f t="shared" si="0"/>
        <v>4960.4756252050493</v>
      </c>
      <c r="G20" s="402">
        <f t="shared" si="0"/>
        <v>5232.9450002050489</v>
      </c>
      <c r="H20" s="402">
        <f t="shared" si="0"/>
        <v>5450.9205002050494</v>
      </c>
      <c r="I20" s="408">
        <f t="shared" si="0"/>
        <v>5629.2640911141407</v>
      </c>
    </row>
    <row r="21" spans="2:9">
      <c r="B21" s="352"/>
      <c r="C21" s="352"/>
      <c r="D21" s="352"/>
      <c r="E21" s="352"/>
      <c r="F21" s="352"/>
      <c r="G21" s="352"/>
      <c r="H21" s="352"/>
      <c r="I21" s="352"/>
    </row>
    <row r="22" spans="2:9">
      <c r="B22" s="373" t="s">
        <v>1939</v>
      </c>
      <c r="C22" s="373"/>
      <c r="D22" s="373"/>
      <c r="E22" s="373"/>
      <c r="F22" s="373"/>
      <c r="G22" s="373"/>
      <c r="H22" s="373"/>
      <c r="I22" s="373"/>
    </row>
    <row r="23" spans="2:9">
      <c r="B23" s="363"/>
      <c r="C23" s="423" t="s">
        <v>1937</v>
      </c>
      <c r="D23" s="423"/>
      <c r="E23" s="423"/>
      <c r="F23" s="423"/>
      <c r="G23" s="423"/>
      <c r="H23" s="423"/>
      <c r="I23" s="423"/>
    </row>
    <row r="24" spans="2:9">
      <c r="B24" s="403" t="s">
        <v>1934</v>
      </c>
      <c r="C24" s="401">
        <f t="shared" ref="C24:I24" si="1">C$15</f>
        <v>5</v>
      </c>
      <c r="D24" s="401">
        <f t="shared" si="1"/>
        <v>6</v>
      </c>
      <c r="E24" s="401">
        <f t="shared" si="1"/>
        <v>7</v>
      </c>
      <c r="F24" s="401">
        <f t="shared" si="1"/>
        <v>8</v>
      </c>
      <c r="G24" s="401">
        <f t="shared" si="1"/>
        <v>9</v>
      </c>
      <c r="H24" s="401">
        <f t="shared" si="1"/>
        <v>10</v>
      </c>
      <c r="I24" s="406">
        <f t="shared" si="1"/>
        <v>11</v>
      </c>
    </row>
    <row r="25" spans="2:9">
      <c r="B25" s="409">
        <f>$C$10-2</f>
        <v>10.315000000000001</v>
      </c>
      <c r="C25" s="355">
        <f t="shared" ref="C25:I29" si="2">$C$6+$C$7-($C$8/C$24)*$B25</f>
        <v>458.48233335611661</v>
      </c>
      <c r="D25" s="355">
        <f t="shared" si="2"/>
        <v>519.3408333561166</v>
      </c>
      <c r="E25" s="355">
        <f t="shared" si="2"/>
        <v>562.8111904989737</v>
      </c>
      <c r="F25" s="355">
        <f t="shared" si="2"/>
        <v>595.41395835611661</v>
      </c>
      <c r="G25" s="355">
        <f t="shared" si="2"/>
        <v>620.77166668944994</v>
      </c>
      <c r="H25" s="355">
        <f t="shared" si="2"/>
        <v>641.05783335611659</v>
      </c>
      <c r="I25" s="407">
        <f t="shared" si="2"/>
        <v>657.65560608338933</v>
      </c>
    </row>
    <row r="26" spans="2:9">
      <c r="B26" s="409">
        <f>$C$10-1</f>
        <v>11.315000000000001</v>
      </c>
      <c r="C26" s="355">
        <f t="shared" si="2"/>
        <v>423.08233335611658</v>
      </c>
      <c r="D26" s="355">
        <f t="shared" si="2"/>
        <v>489.8408333561166</v>
      </c>
      <c r="E26" s="355">
        <f t="shared" si="2"/>
        <v>537.52547621325948</v>
      </c>
      <c r="F26" s="355">
        <f t="shared" si="2"/>
        <v>573.28895835611661</v>
      </c>
      <c r="G26" s="355">
        <f t="shared" si="2"/>
        <v>601.10500002278332</v>
      </c>
      <c r="H26" s="355">
        <f t="shared" si="2"/>
        <v>623.35783335611654</v>
      </c>
      <c r="I26" s="407">
        <f t="shared" si="2"/>
        <v>641.56469699248021</v>
      </c>
    </row>
    <row r="27" spans="2:9">
      <c r="B27" s="409">
        <f>$C$10+0</f>
        <v>12.315000000000001</v>
      </c>
      <c r="C27" s="355">
        <f t="shared" si="2"/>
        <v>387.6823333561166</v>
      </c>
      <c r="D27" s="355">
        <f t="shared" si="2"/>
        <v>460.3408333561166</v>
      </c>
      <c r="E27" s="355">
        <f t="shared" si="2"/>
        <v>512.23976192754515</v>
      </c>
      <c r="F27" s="400">
        <f t="shared" si="2"/>
        <v>551.16395835611661</v>
      </c>
      <c r="G27" s="355">
        <f t="shared" si="2"/>
        <v>581.43833335611657</v>
      </c>
      <c r="H27" s="355">
        <f t="shared" si="2"/>
        <v>605.65783335611661</v>
      </c>
      <c r="I27" s="407">
        <f t="shared" si="2"/>
        <v>625.4737879015712</v>
      </c>
    </row>
    <row r="28" spans="2:9">
      <c r="B28" s="409">
        <f>$C$10+1</f>
        <v>13.315000000000001</v>
      </c>
      <c r="C28" s="355">
        <f t="shared" si="2"/>
        <v>352.28233335611662</v>
      </c>
      <c r="D28" s="355">
        <f t="shared" si="2"/>
        <v>430.8408333561166</v>
      </c>
      <c r="E28" s="355">
        <f t="shared" si="2"/>
        <v>486.95404764183087</v>
      </c>
      <c r="F28" s="355">
        <f t="shared" si="2"/>
        <v>529.03895835611661</v>
      </c>
      <c r="G28" s="355">
        <f t="shared" si="2"/>
        <v>561.77166668944983</v>
      </c>
      <c r="H28" s="355">
        <f t="shared" si="2"/>
        <v>587.95783335611668</v>
      </c>
      <c r="I28" s="407">
        <f t="shared" si="2"/>
        <v>609.38287881066208</v>
      </c>
    </row>
    <row r="29" spans="2:9">
      <c r="B29" s="410">
        <f>$C$10+2</f>
        <v>14.315000000000001</v>
      </c>
      <c r="C29" s="402">
        <f t="shared" si="2"/>
        <v>316.88233335611659</v>
      </c>
      <c r="D29" s="402">
        <f t="shared" si="2"/>
        <v>401.3408333561166</v>
      </c>
      <c r="E29" s="402">
        <f t="shared" si="2"/>
        <v>461.66833335611659</v>
      </c>
      <c r="F29" s="402">
        <f t="shared" si="2"/>
        <v>506.91395835611661</v>
      </c>
      <c r="G29" s="402">
        <f t="shared" si="2"/>
        <v>542.10500002278332</v>
      </c>
      <c r="H29" s="402">
        <f t="shared" si="2"/>
        <v>570.25783335611663</v>
      </c>
      <c r="I29" s="408">
        <f t="shared" si="2"/>
        <v>593.29196971975296</v>
      </c>
    </row>
    <row r="30" spans="2:9">
      <c r="F30" s="412"/>
    </row>
    <row r="31" spans="2:9">
      <c r="B31" s="97" t="s">
        <v>1940</v>
      </c>
      <c r="C31" s="97"/>
    </row>
    <row r="32" spans="2:9">
      <c r="B32" s="97" t="s">
        <v>4</v>
      </c>
      <c r="C32" s="411">
        <f>'Steady-State Staffing'!C21</f>
        <v>7.3863636363636367</v>
      </c>
    </row>
    <row r="33" spans="2:3">
      <c r="B33" s="97" t="s">
        <v>1320</v>
      </c>
      <c r="C33" s="411">
        <f>'Steady-State Staffing'!D21</f>
        <v>5.056338028169014</v>
      </c>
    </row>
    <row r="34" spans="2:3">
      <c r="B34" s="97" t="s">
        <v>1530</v>
      </c>
      <c r="C34" s="411">
        <f>'Steady-State Staffing'!F21</f>
        <v>5.3134328358208958</v>
      </c>
    </row>
    <row r="35" spans="2:3">
      <c r="B35" s="97" t="s">
        <v>1941</v>
      </c>
      <c r="C35" s="411">
        <f>'Steady-State Staffing'!H21</f>
        <v>11.23076923076923</v>
      </c>
    </row>
    <row r="36" spans="2:3">
      <c r="B36" s="97" t="s">
        <v>1942</v>
      </c>
      <c r="C36" s="411">
        <f>'Steady-State Staffing'!AB21</f>
        <v>4.481012658227848</v>
      </c>
    </row>
    <row r="37" spans="2:3">
      <c r="B37" s="97" t="s">
        <v>1943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5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67" activePane="bottomLeft" state="frozen"/>
      <selection pane="bottomLeft" activeCell="K99" sqref="K9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1892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9" t="s">
        <v>1891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9"/>
      <c r="C27" s="82"/>
      <c r="D27" s="82"/>
      <c r="F27" s="82"/>
      <c r="G27" s="82"/>
      <c r="I27" s="82"/>
      <c r="J27" s="82"/>
      <c r="K27" s="52"/>
    </row>
    <row r="28" spans="2:46">
      <c r="B28" s="60" t="s">
        <v>1893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3" t="s">
        <v>1328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4" t="s">
        <v>1547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+$C$170</f>
        <v>-116.25</v>
      </c>
      <c r="K89" s="83">
        <f>+$C$170</f>
        <v>-116.25</v>
      </c>
      <c r="M89" s="23">
        <f t="shared" ref="M89" si="141">K89-J89</f>
        <v>0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4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4" t="s">
        <v>1576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+$C$174</f>
        <v>96.800000000000011</v>
      </c>
      <c r="K91" s="83">
        <f>+$C$174</f>
        <v>96.800000000000011</v>
      </c>
      <c r="M91" s="23">
        <f t="shared" si="138"/>
        <v>0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4" t="s">
        <v>1899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-66.774110000000007</v>
      </c>
      <c r="K93" s="59">
        <f>SUM(K88:K92)</f>
        <v>-16.070797199439049</v>
      </c>
      <c r="L93" s="71"/>
      <c r="M93" s="59">
        <f>SUM(M88:M91)</f>
        <v>0</v>
      </c>
      <c r="N93" s="90">
        <f t="shared" ref="N93:N95" si="144">IFERROR(K93/J93-1,0)</f>
        <v>-0.75932592438238344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55.517179999999939</v>
      </c>
      <c r="K95" s="106">
        <f>+K93+K84</f>
        <v>53.597222800561077</v>
      </c>
      <c r="L95" s="71"/>
      <c r="M95" s="110">
        <f>+M93+M84</f>
        <v>-52.623269999999891</v>
      </c>
      <c r="N95" s="112">
        <f t="shared" si="144"/>
        <v>-3.4583118224644438E-2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2.1749853379854609E-2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4" t="s">
        <v>311</v>
      </c>
      <c r="C99" s="65">
        <f>-C10</f>
        <v>-44.058500000000002</v>
      </c>
      <c r="D99" s="65">
        <f>-D10</f>
        <v>-74.519299999999987</v>
      </c>
      <c r="E99" s="23"/>
      <c r="F99" s="65">
        <f>-F10</f>
        <v>-42.254049999999999</v>
      </c>
      <c r="G99" s="65">
        <f>-G10</f>
        <v>-59.055000000000007</v>
      </c>
      <c r="H99" s="23"/>
      <c r="I99" s="65">
        <f>-I10</f>
        <v>-57.492550000000001</v>
      </c>
      <c r="J99" s="65">
        <f>-J10</f>
        <v>-91.320250000000001</v>
      </c>
      <c r="K99" s="23">
        <f>-K10*(1-$C$191)</f>
        <v>-77.675624999999997</v>
      </c>
      <c r="L99" s="65"/>
      <c r="M99" s="23">
        <f t="shared" ref="M99:M103" si="148">K99-J99</f>
        <v>13.644625000000005</v>
      </c>
      <c r="N99" s="66">
        <f t="shared" ref="N99" si="149">IFERROR(K99/J99-1,0)</f>
        <v>-0.14941510782110212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4" t="s">
        <v>312</v>
      </c>
      <c r="C100" s="83">
        <f>+C34</f>
        <v>122.81254999999999</v>
      </c>
      <c r="D100" s="83">
        <f>+D34</f>
        <v>152.16972000000001</v>
      </c>
      <c r="F100" s="83">
        <f>+F34</f>
        <v>73.949619999999996</v>
      </c>
      <c r="G100" s="83">
        <f>+G34</f>
        <v>111.27999</v>
      </c>
      <c r="I100" s="83">
        <f>+I34</f>
        <v>121.30735</v>
      </c>
      <c r="J100" s="83">
        <f>+J34</f>
        <v>189.50009</v>
      </c>
      <c r="K100" s="143">
        <f>+K34*(1-$C$191)</f>
        <v>147.86207999999999</v>
      </c>
      <c r="M100" s="23">
        <f t="shared" si="148"/>
        <v>-41.638010000000008</v>
      </c>
      <c r="N100" s="66">
        <f t="shared" ref="N100:N102" si="151">IFERROR(K100/J100-1,0)</f>
        <v>-0.219725542082856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8" t="s">
        <v>1847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83"/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4" t="s">
        <v>1575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83">
        <f>+$C$189</f>
        <v>179.04965555555555</v>
      </c>
      <c r="K102" s="83">
        <f>+$C$189</f>
        <v>179.04965555555555</v>
      </c>
      <c r="M102" s="23">
        <f t="shared" si="148"/>
        <v>0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82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>
        <f>+$C$179</f>
        <v>28.2</v>
      </c>
      <c r="K103" s="83">
        <f>+$C$179</f>
        <v>28.2</v>
      </c>
      <c r="M103" s="23">
        <f t="shared" si="148"/>
        <v>0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78.754049999999978</v>
      </c>
      <c r="D104" s="59">
        <f>SUM(D99:D103)</f>
        <v>77.650420000000025</v>
      </c>
      <c r="F104" s="59">
        <f>SUM(F99:F103)</f>
        <v>31.695569999999996</v>
      </c>
      <c r="G104" s="59">
        <f>SUM(G99:G103)</f>
        <v>52.224989999999991</v>
      </c>
      <c r="I104" s="59">
        <f>SUM(I99:I103)</f>
        <v>63.814799999999998</v>
      </c>
      <c r="J104" s="59">
        <f>SUM(J99:J103)</f>
        <v>305.42949555555555</v>
      </c>
      <c r="K104" s="59">
        <f>SUM(K99:K103)</f>
        <v>497.56673555555557</v>
      </c>
      <c r="L104" s="71"/>
      <c r="M104" s="59">
        <f>SUM(M99:M103)</f>
        <v>192.13724000000002</v>
      </c>
      <c r="N104" s="90">
        <f t="shared" ref="N104" si="157">IFERROR(K104/J104-1,0)</f>
        <v>0.6290723155290403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29.524620000000084</v>
      </c>
      <c r="D106" s="106">
        <f>+D95+D104</f>
        <v>122.16851999999986</v>
      </c>
      <c r="F106" s="110">
        <f>+F95+F104</f>
        <v>-26.235960000000283</v>
      </c>
      <c r="G106" s="106">
        <f>+G95+G104</f>
        <v>24.74254000000029</v>
      </c>
      <c r="I106" s="110">
        <f>+I95+I104</f>
        <v>52.751509999999918</v>
      </c>
      <c r="J106" s="105">
        <f>+J95+J104</f>
        <v>360.94667555555549</v>
      </c>
      <c r="K106" s="106">
        <f>+K95+K104</f>
        <v>551.16395835611661</v>
      </c>
      <c r="L106" s="71"/>
      <c r="M106" s="110">
        <f>+M95+M104</f>
        <v>139.51397000000014</v>
      </c>
      <c r="N106" s="112">
        <f t="shared" ref="N106" si="159">IFERROR(K106/J106-1,0)</f>
        <v>0.5269955250530729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2.6013663759134324E-2</v>
      </c>
      <c r="D107" s="109">
        <f>D106/D$28</f>
        <v>6.5004584775643831E-2</v>
      </c>
      <c r="F107" s="111">
        <f>F106/F$28</f>
        <v>-2.6291880199997661E-2</v>
      </c>
      <c r="G107" s="109">
        <f>G106/G$28</f>
        <v>1.480683787853816E-2</v>
      </c>
      <c r="I107" s="111">
        <f>I106/I$28</f>
        <v>3.4604527329955295E-2</v>
      </c>
      <c r="J107" s="108">
        <f>J106/J$28</f>
        <v>0.14140734942371516</v>
      </c>
      <c r="K107" s="109">
        <f>K106/K$28</f>
        <v>0.17822465024006889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1322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1323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1853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1853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3" t="s">
        <v>1329</v>
      </c>
      <c r="C169" s="83">
        <f>+C148</f>
        <v>72.576949999999997</v>
      </c>
      <c r="D169" s="95" t="s">
        <v>1330</v>
      </c>
    </row>
    <row r="170" spans="2:14">
      <c r="B170" s="300" t="s">
        <v>1602</v>
      </c>
      <c r="C170" s="53">
        <f>-'Employee Overview'!K34</f>
        <v>-116.25</v>
      </c>
      <c r="D170" s="95" t="s">
        <v>1603</v>
      </c>
    </row>
    <row r="171" spans="2:14" ht="3.95" customHeight="1">
      <c r="B171" s="300"/>
      <c r="C171" s="53"/>
      <c r="D171" s="95"/>
    </row>
    <row r="172" spans="2:14">
      <c r="B172" s="281" t="s">
        <v>1577</v>
      </c>
      <c r="C172" s="53">
        <f>+'Tech Stack'!C8+'Tech Stack'!C9+'Tech Stack'!C10</f>
        <v>108.9</v>
      </c>
    </row>
    <row r="173" spans="2:14">
      <c r="B173" s="281" t="s">
        <v>1578</v>
      </c>
      <c r="C173" s="82">
        <v>-12.1</v>
      </c>
      <c r="D173" s="123" t="s">
        <v>1580</v>
      </c>
    </row>
    <row r="174" spans="2:14">
      <c r="B174" s="283" t="s">
        <v>1579</v>
      </c>
      <c r="C174" s="59">
        <f>+C172+C173</f>
        <v>96.800000000000011</v>
      </c>
    </row>
    <row r="175" spans="2:14">
      <c r="B175" s="213"/>
      <c r="C175" s="83"/>
      <c r="D175" s="95"/>
    </row>
    <row r="176" spans="2:14">
      <c r="B176" s="283" t="s">
        <v>1897</v>
      </c>
      <c r="C176" s="391">
        <f>1-'Steady-State Staffing'!AB35</f>
        <v>0.53949623495134147</v>
      </c>
      <c r="D176" s="123" t="s">
        <v>1898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81" t="s">
        <v>1573</v>
      </c>
      <c r="C179" s="53">
        <f>+'Headcount &amp; Compensation'!L25/1000</f>
        <v>28.2</v>
      </c>
      <c r="D179" s="123" t="s">
        <v>1574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81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8" t="s">
        <v>1849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8" t="s">
        <v>1850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3" t="s">
        <v>1848</v>
      </c>
      <c r="C183" s="223">
        <f>C181/C182</f>
        <v>22.125</v>
      </c>
      <c r="D183" s="123" t="s">
        <v>1846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8" t="s">
        <v>1852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3" t="s">
        <v>1848</v>
      </c>
      <c r="C185" s="339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81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81" t="s">
        <v>1581</v>
      </c>
      <c r="C187" s="53">
        <f>+'Tech Stack'!C15</f>
        <v>161.14469</v>
      </c>
      <c r="D187" s="95"/>
    </row>
    <row r="188" spans="2:14">
      <c r="B188" s="338" t="s">
        <v>1851</v>
      </c>
      <c r="C188" s="115">
        <f>C173/C172*C187</f>
        <v>-17.904965555555552</v>
      </c>
      <c r="D188" s="123" t="s">
        <v>1582</v>
      </c>
    </row>
    <row r="189" spans="2:14">
      <c r="B189" s="283" t="s">
        <v>1579</v>
      </c>
      <c r="C189" s="59">
        <f>+C187-C188</f>
        <v>179.04965555555555</v>
      </c>
    </row>
    <row r="190" spans="2:14" ht="3.95" customHeight="1"/>
    <row r="191" spans="2:14">
      <c r="B191" s="352" t="s">
        <v>1894</v>
      </c>
      <c r="C191" s="390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01" t="s">
        <v>1595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01" t="s">
        <v>1595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01" t="s">
        <v>1595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301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1327</v>
      </c>
      <c r="C5" s="176" t="s">
        <v>994</v>
      </c>
      <c r="D5" s="176" t="s">
        <v>1324</v>
      </c>
      <c r="E5" s="176" t="s">
        <v>1325</v>
      </c>
      <c r="F5" s="176" t="s">
        <v>1326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4" priority="1">
      <formula>$K$3=1</formula>
    </cfRule>
  </conditionalFormatting>
  <conditionalFormatting sqref="A15:XFD24 A25:B25 D25:XFD25 A26:XFD26">
    <cfRule type="expression" dxfId="73" priority="11">
      <formula>$K$3=1</formula>
    </cfRule>
  </conditionalFormatting>
  <conditionalFormatting sqref="B11:D11">
    <cfRule type="expression" dxfId="72" priority="2">
      <formula>$K$3=1</formula>
    </cfRule>
  </conditionalFormatting>
  <conditionalFormatting sqref="B14:D14">
    <cfRule type="expression" dxfId="71" priority="8">
      <formula>$V$3=1</formula>
    </cfRule>
  </conditionalFormatting>
  <conditionalFormatting sqref="B6:F6">
    <cfRule type="expression" dxfId="70" priority="7">
      <formula>$V$3=1</formula>
    </cfRule>
  </conditionalFormatting>
  <conditionalFormatting sqref="C7:C10">
    <cfRule type="expression" dxfId="69" priority="4">
      <formula>$V$3=1</formula>
    </cfRule>
  </conditionalFormatting>
  <conditionalFormatting sqref="C15 B15:B27 D15:D27 K15:K27 C25:C27 A36:A47 E36:XFD47">
    <cfRule type="expression" dxfId="68" priority="18">
      <formula>$K$3=1</formula>
    </cfRule>
  </conditionalFormatting>
  <conditionalFormatting sqref="C15:C25">
    <cfRule type="expression" dxfId="67" priority="10">
      <formula>$V$3=1</formula>
    </cfRule>
  </conditionalFormatting>
  <conditionalFormatting sqref="C27">
    <cfRule type="expression" dxfId="66" priority="20">
      <formula>$V$3=1</formula>
    </cfRule>
  </conditionalFormatting>
  <conditionalFormatting sqref="C7:D10">
    <cfRule type="expression" dxfId="65" priority="5">
      <formula>$K$3=1</formula>
    </cfRule>
  </conditionalFormatting>
  <conditionalFormatting sqref="C11:D11">
    <cfRule type="expression" dxfId="64" priority="3">
      <formula>$V$3=1</formula>
    </cfRule>
  </conditionalFormatting>
  <conditionalFormatting sqref="K15:K27">
    <cfRule type="expression" dxfId="63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2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1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Normal="10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1296</v>
      </c>
      <c r="C3" s="175"/>
      <c r="D3" s="175"/>
      <c r="E3" s="175"/>
      <c r="F3" s="175"/>
      <c r="G3" s="175"/>
      <c r="H3" s="175"/>
    </row>
    <row r="5" spans="2:10" ht="24">
      <c r="B5" s="159" t="s">
        <v>1297</v>
      </c>
      <c r="C5" s="176" t="s">
        <v>1309</v>
      </c>
      <c r="D5" s="176" t="s">
        <v>1308</v>
      </c>
      <c r="E5" s="176" t="s">
        <v>483</v>
      </c>
      <c r="F5" s="76"/>
      <c r="J5" s="185" t="s">
        <v>497</v>
      </c>
    </row>
    <row r="6" spans="2:10">
      <c r="B6" s="42" t="s">
        <v>467</v>
      </c>
      <c r="C6" s="43"/>
      <c r="D6" s="43"/>
      <c r="E6" s="43"/>
      <c r="F6" s="43"/>
    </row>
    <row r="7" spans="2:10">
      <c r="B7" s="173" t="s">
        <v>1301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1178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1302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1306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1305</v>
      </c>
      <c r="C13" s="181">
        <f>C10-C12</f>
        <v>-11</v>
      </c>
      <c r="D13" s="181">
        <f>D10-D12</f>
        <v>0</v>
      </c>
    </row>
  </sheetData>
  <conditionalFormatting sqref="B6:F6">
    <cfRule type="expression" dxfId="60" priority="1">
      <formula>$W$3=1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topLeftCell="A21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1555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1311</v>
      </c>
      <c r="C5" s="176" t="s">
        <v>1319</v>
      </c>
      <c r="D5" s="176" t="s">
        <v>3</v>
      </c>
      <c r="E5" s="176" t="s">
        <v>4</v>
      </c>
      <c r="F5" s="176" t="s">
        <v>1320</v>
      </c>
      <c r="G5" s="193"/>
      <c r="H5" s="176" t="s">
        <v>1530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1316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1317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1531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504</v>
      </c>
    </row>
    <row r="10" spans="2:34">
      <c r="B10" s="265" t="s">
        <v>1532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505</v>
      </c>
    </row>
    <row r="11" spans="2:34">
      <c r="B11" s="265" t="s">
        <v>1533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1534</v>
      </c>
    </row>
    <row r="12" spans="2:34" ht="12" customHeight="1">
      <c r="B12" s="255" t="s">
        <v>1535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>
      <c r="B13" s="259" t="s">
        <v>1318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  <c r="AF13" s="182"/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>
      <c r="B15" s="259" t="s">
        <v>1854</v>
      </c>
      <c r="C15" s="260">
        <f>AVERAGE(C7,C13)</f>
        <v>87</v>
      </c>
      <c r="D15" s="260">
        <f>AVERAGE(D7,D13)</f>
        <v>118</v>
      </c>
      <c r="E15" s="260">
        <f>AVERAGE(E7,E13)</f>
        <v>166.5</v>
      </c>
      <c r="F15" s="261">
        <f>AVERAGE(F7,F13)</f>
        <v>189</v>
      </c>
      <c r="H15" s="264">
        <f>AVERAGE(H7,H13)</f>
        <v>184</v>
      </c>
      <c r="J15" s="262">
        <f>AVERAGE(J7,J13)</f>
        <v>146</v>
      </c>
      <c r="K15" s="260">
        <f t="shared" ref="K15:AD15" si="29">AVERAGE(K7,K13)</f>
        <v>147.5</v>
      </c>
      <c r="L15" s="260">
        <f t="shared" si="29"/>
        <v>151</v>
      </c>
      <c r="M15" s="260">
        <f t="shared" si="29"/>
        <v>156.5</v>
      </c>
      <c r="N15" s="260">
        <f t="shared" si="29"/>
        <v>162</v>
      </c>
      <c r="O15" s="260">
        <f t="shared" si="29"/>
        <v>165</v>
      </c>
      <c r="P15" s="260">
        <f t="shared" si="29"/>
        <v>167</v>
      </c>
      <c r="Q15" s="260">
        <f t="shared" si="29"/>
        <v>172</v>
      </c>
      <c r="R15" s="260">
        <f t="shared" si="29"/>
        <v>176.5</v>
      </c>
      <c r="S15" s="262">
        <f t="shared" si="29"/>
        <v>184.5</v>
      </c>
      <c r="T15" s="260">
        <f t="shared" si="29"/>
        <v>190</v>
      </c>
      <c r="U15" s="260">
        <f t="shared" si="29"/>
        <v>188.5</v>
      </c>
      <c r="V15" s="260">
        <f t="shared" si="29"/>
        <v>191.5</v>
      </c>
      <c r="W15" s="260">
        <f t="shared" si="29"/>
        <v>199.5</v>
      </c>
      <c r="X15" s="260">
        <f t="shared" si="29"/>
        <v>203.5</v>
      </c>
      <c r="Y15" s="260">
        <f t="shared" si="29"/>
        <v>206</v>
      </c>
      <c r="Z15" s="260">
        <f t="shared" si="29"/>
        <v>204.5</v>
      </c>
      <c r="AA15" s="260">
        <f t="shared" si="29"/>
        <v>200</v>
      </c>
      <c r="AB15" s="260">
        <f t="shared" si="29"/>
        <v>192.5</v>
      </c>
      <c r="AC15" s="260">
        <f t="shared" si="29"/>
        <v>185.5</v>
      </c>
      <c r="AD15" s="263">
        <f t="shared" si="29"/>
        <v>188</v>
      </c>
    </row>
    <row r="16" spans="2:34" ht="3.95" customHeight="1">
      <c r="B16" s="180"/>
      <c r="C16" s="232"/>
      <c r="D16" s="232"/>
      <c r="E16" s="232"/>
      <c r="F16" s="232"/>
      <c r="H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3"/>
      <c r="AC16" s="233"/>
      <c r="AD16" s="233"/>
    </row>
    <row r="17" spans="2:34" ht="12" customHeight="1">
      <c r="B17" s="234" t="s">
        <v>1521</v>
      </c>
      <c r="C17" s="236">
        <f>(C8+C7)/C7-1</f>
        <v>0.33734939759036142</v>
      </c>
      <c r="D17" s="236">
        <f>(D8+D7)/D7-1</f>
        <v>0.96703296703296693</v>
      </c>
      <c r="E17" s="236">
        <f>(E8+E7)/E7-1</f>
        <v>0.70344827586206904</v>
      </c>
      <c r="F17" s="247">
        <f>(F8+F7)/F7-1</f>
        <v>0.32978723404255317</v>
      </c>
      <c r="G17" s="248"/>
      <c r="H17" s="249">
        <f>(H8+H7)/H7-1</f>
        <v>0.5280898876404494</v>
      </c>
      <c r="J17" s="246">
        <f t="shared" ref="J17:AB17" si="30">(J8+J7)/J7-1</f>
        <v>6.2068965517241281E-2</v>
      </c>
      <c r="K17" s="236">
        <f t="shared" si="30"/>
        <v>3.4013605442176909E-2</v>
      </c>
      <c r="L17" s="236">
        <f t="shared" si="30"/>
        <v>5.4054054054053946E-2</v>
      </c>
      <c r="M17" s="236">
        <f t="shared" si="30"/>
        <v>5.8441558441558517E-2</v>
      </c>
      <c r="N17" s="236">
        <f t="shared" si="30"/>
        <v>5.6603773584905648E-2</v>
      </c>
      <c r="O17" s="236">
        <f t="shared" si="30"/>
        <v>4.2424242424242475E-2</v>
      </c>
      <c r="P17" s="236">
        <f t="shared" si="30"/>
        <v>4.2424242424242475E-2</v>
      </c>
      <c r="Q17" s="236">
        <f t="shared" si="30"/>
        <v>4.7337278106508895E-2</v>
      </c>
      <c r="R17" s="236">
        <f t="shared" si="30"/>
        <v>4.5714285714285818E-2</v>
      </c>
      <c r="S17" s="246">
        <f t="shared" si="30"/>
        <v>7.8651685393258397E-2</v>
      </c>
      <c r="T17" s="236">
        <f t="shared" si="30"/>
        <v>3.6649214659685958E-2</v>
      </c>
      <c r="U17" s="236">
        <f t="shared" si="30"/>
        <v>5.8201058201058142E-2</v>
      </c>
      <c r="V17" s="236">
        <f t="shared" si="30"/>
        <v>5.8510638297872397E-2</v>
      </c>
      <c r="W17" s="236">
        <f t="shared" si="30"/>
        <v>5.6410256410256432E-2</v>
      </c>
      <c r="X17" s="236">
        <f t="shared" si="30"/>
        <v>2.9411764705882248E-2</v>
      </c>
      <c r="Y17" s="236">
        <f t="shared" si="30"/>
        <v>5.4187192118226646E-2</v>
      </c>
      <c r="Z17" s="236">
        <f t="shared" si="30"/>
        <v>3.3492822966507241E-2</v>
      </c>
      <c r="AA17" s="236">
        <f t="shared" si="30"/>
        <v>2.0000000000000018E-2</v>
      </c>
      <c r="AB17" s="236">
        <f t="shared" si="30"/>
        <v>2.4999999999999911E-2</v>
      </c>
      <c r="AC17" s="236">
        <f t="shared" ref="AC17:AD17" si="31">(AC8+AC7)/AC7-1</f>
        <v>1.6216216216216273E-2</v>
      </c>
      <c r="AD17" s="247">
        <f t="shared" si="31"/>
        <v>2.1505376344086002E-2</v>
      </c>
    </row>
    <row r="18" spans="2:34">
      <c r="B18" s="237" t="s">
        <v>1522</v>
      </c>
      <c r="C18" s="239">
        <f>(C12+C15)/C15-1</f>
        <v>-0.22988505747126442</v>
      </c>
      <c r="D18" s="239">
        <f>(D12+D15)/D15-1</f>
        <v>-0.28813559322033899</v>
      </c>
      <c r="E18" s="239">
        <f>(E12+E15)/E15-1</f>
        <v>-0.35435435435435436</v>
      </c>
      <c r="F18" s="240">
        <f>(F12+F15)/F15-1</f>
        <v>-0.31746031746031744</v>
      </c>
      <c r="G18" s="248"/>
      <c r="H18" s="242">
        <f>(H12+H15)/H15-1</f>
        <v>-0.44565217391304346</v>
      </c>
      <c r="J18" s="241">
        <f t="shared" ref="J18:AD18" si="32">(J12+J15)/J15-1</f>
        <v>-4.7945205479452024E-2</v>
      </c>
      <c r="K18" s="239">
        <f t="shared" si="32"/>
        <v>-2.7118644067796627E-2</v>
      </c>
      <c r="L18" s="239">
        <f t="shared" si="32"/>
        <v>-1.3245033112582738E-2</v>
      </c>
      <c r="M18" s="239">
        <f t="shared" si="32"/>
        <v>-2.5559105431309903E-2</v>
      </c>
      <c r="N18" s="239">
        <f t="shared" si="32"/>
        <v>-1.851851851851849E-2</v>
      </c>
      <c r="O18" s="239">
        <f t="shared" si="32"/>
        <v>-4.2424242424242475E-2</v>
      </c>
      <c r="P18" s="239">
        <f t="shared" si="32"/>
        <v>-1.7964071856287456E-2</v>
      </c>
      <c r="Q18" s="239">
        <f t="shared" si="32"/>
        <v>-1.1627906976744207E-2</v>
      </c>
      <c r="R18" s="239">
        <f t="shared" si="32"/>
        <v>-2.8328611898016942E-2</v>
      </c>
      <c r="S18" s="241">
        <f t="shared" si="32"/>
        <v>-5.4200542005420349E-3</v>
      </c>
      <c r="T18" s="239">
        <f t="shared" si="32"/>
        <v>-4.7368421052631615E-2</v>
      </c>
      <c r="U18" s="239">
        <f t="shared" si="32"/>
        <v>-6.3660477453580944E-2</v>
      </c>
      <c r="V18" s="239">
        <f t="shared" si="32"/>
        <v>-2.0887728459530019E-2</v>
      </c>
      <c r="W18" s="239">
        <f t="shared" si="32"/>
        <v>-1.0025062656641603E-2</v>
      </c>
      <c r="X18" s="239">
        <f t="shared" si="32"/>
        <v>-3.4398034398034349E-2</v>
      </c>
      <c r="Y18" s="239">
        <f t="shared" si="32"/>
        <v>-2.4271844660194164E-2</v>
      </c>
      <c r="Z18" s="239">
        <f t="shared" si="32"/>
        <v>-7.8239608801956018E-2</v>
      </c>
      <c r="AA18" s="239">
        <f t="shared" si="32"/>
        <v>-2.0000000000000018E-2</v>
      </c>
      <c r="AB18" s="239">
        <f t="shared" si="32"/>
        <v>-0.10389610389610393</v>
      </c>
      <c r="AC18" s="239">
        <f t="shared" si="32"/>
        <v>-1.0781671159029615E-2</v>
      </c>
      <c r="AD18" s="240">
        <f t="shared" si="32"/>
        <v>0</v>
      </c>
    </row>
    <row r="19" spans="2:34" ht="3.95" customHeight="1">
      <c r="B19" s="180"/>
      <c r="C19" s="184"/>
      <c r="D19" s="184"/>
    </row>
    <row r="20" spans="2:34" ht="24">
      <c r="B20" s="159" t="s">
        <v>1311</v>
      </c>
      <c r="C20" s="176" t="s">
        <v>1319</v>
      </c>
      <c r="D20" s="176" t="s">
        <v>3</v>
      </c>
      <c r="E20" s="176" t="s">
        <v>4</v>
      </c>
      <c r="F20" s="176" t="s">
        <v>1320</v>
      </c>
      <c r="G20" s="193"/>
      <c r="H20" s="176" t="s">
        <v>1530</v>
      </c>
      <c r="J20" s="192">
        <v>45658</v>
      </c>
      <c r="K20" s="192">
        <f t="shared" ref="K20" si="33">EOMONTH(J20,0)+1</f>
        <v>45689</v>
      </c>
      <c r="L20" s="192">
        <f t="shared" ref="L20" si="34">EOMONTH(K20,0)+1</f>
        <v>45717</v>
      </c>
      <c r="M20" s="192">
        <f t="shared" ref="M20" si="35">EOMONTH(L20,0)+1</f>
        <v>45748</v>
      </c>
      <c r="N20" s="192">
        <f t="shared" ref="N20" si="36">EOMONTH(M20,0)+1</f>
        <v>45778</v>
      </c>
      <c r="O20" s="192">
        <f t="shared" ref="O20" si="37">EOMONTH(N20,0)+1</f>
        <v>45809</v>
      </c>
      <c r="P20" s="192">
        <f t="shared" ref="P20" si="38">EOMONTH(O20,0)+1</f>
        <v>45839</v>
      </c>
      <c r="Q20" s="192">
        <v>45870</v>
      </c>
      <c r="R20" s="192">
        <f t="shared" ref="R20" si="39">EOMONTH(Q20,0)+1</f>
        <v>45901</v>
      </c>
      <c r="S20" s="192">
        <f t="shared" ref="S20" si="40">EOMONTH(R20,0)+1</f>
        <v>45931</v>
      </c>
      <c r="T20" s="192">
        <f t="shared" ref="T20" si="41">EOMONTH(S20,0)+1</f>
        <v>45962</v>
      </c>
      <c r="U20" s="192">
        <f t="shared" ref="U20" si="42">EOMONTH(T20,0)+1</f>
        <v>45992</v>
      </c>
      <c r="V20" s="192">
        <f t="shared" ref="V20" si="43">EOMONTH(U20,0)+1</f>
        <v>46023</v>
      </c>
      <c r="W20" s="192">
        <f t="shared" ref="W20" si="44">EOMONTH(V20,0)+1</f>
        <v>46054</v>
      </c>
      <c r="X20" s="192">
        <f t="shared" ref="X20" si="45">EOMONTH(W20,0)+1</f>
        <v>46082</v>
      </c>
      <c r="Y20" s="192">
        <f t="shared" ref="Y20" si="46">EOMONTH(X20,0)+1</f>
        <v>46113</v>
      </c>
      <c r="Z20" s="192">
        <f t="shared" ref="Z20" si="47">EOMONTH(Y20,0)+1</f>
        <v>46143</v>
      </c>
      <c r="AA20" s="192">
        <f t="shared" ref="AA20" si="48">EOMONTH(Z20,0)+1</f>
        <v>46174</v>
      </c>
      <c r="AB20" s="192">
        <f t="shared" ref="AB20" si="49">EOMONTH(AA20,0)+1</f>
        <v>46204</v>
      </c>
      <c r="AC20" s="192">
        <f t="shared" ref="AC20" si="50">EOMONTH(AB20,0)+1</f>
        <v>46235</v>
      </c>
      <c r="AD20" s="192">
        <f t="shared" ref="AD20" si="51">EOMONTH(AC20,0)+1</f>
        <v>46266</v>
      </c>
      <c r="AE20" s="187"/>
      <c r="AF20" s="187"/>
      <c r="AG20" s="187"/>
      <c r="AH20" s="187"/>
    </row>
    <row r="21" spans="2:34">
      <c r="B21" s="186" t="s">
        <v>1544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1316</v>
      </c>
      <c r="C22" s="182"/>
      <c r="D22" s="182"/>
      <c r="E22" s="182">
        <f>+E28-E23-E27</f>
        <v>113</v>
      </c>
      <c r="F22" s="182">
        <f>+F28-F23-F27</f>
        <v>157</v>
      </c>
      <c r="H22" s="182">
        <f t="shared" ref="H22" si="52">+H28-H23-H27</f>
        <v>151</v>
      </c>
      <c r="J22" s="182">
        <f t="shared" ref="J22:Z22" si="53">+J28-J23-J27</f>
        <v>113</v>
      </c>
      <c r="K22" s="182">
        <f t="shared" si="53"/>
        <v>118</v>
      </c>
      <c r="L22" s="182">
        <f t="shared" si="53"/>
        <v>120</v>
      </c>
      <c r="M22" s="182">
        <f t="shared" si="53"/>
        <v>126</v>
      </c>
      <c r="N22" s="182">
        <f t="shared" si="53"/>
        <v>131</v>
      </c>
      <c r="O22" s="182">
        <f t="shared" si="53"/>
        <v>138</v>
      </c>
      <c r="P22" s="182">
        <f t="shared" si="53"/>
        <v>138</v>
      </c>
      <c r="Q22" s="182">
        <f t="shared" si="53"/>
        <v>143</v>
      </c>
      <c r="R22" s="182">
        <f t="shared" si="53"/>
        <v>148</v>
      </c>
      <c r="S22" s="182">
        <f t="shared" si="53"/>
        <v>151</v>
      </c>
      <c r="T22" s="182">
        <f t="shared" si="53"/>
        <v>156</v>
      </c>
      <c r="U22" s="182">
        <f t="shared" si="53"/>
        <v>155</v>
      </c>
      <c r="V22" s="182">
        <f t="shared" si="53"/>
        <v>157</v>
      </c>
      <c r="W22" s="182">
        <f t="shared" si="53"/>
        <v>164</v>
      </c>
      <c r="X22" s="182">
        <f t="shared" si="53"/>
        <v>172</v>
      </c>
      <c r="Y22" s="182">
        <f t="shared" si="53"/>
        <v>173</v>
      </c>
      <c r="Z22" s="182">
        <f t="shared" si="53"/>
        <v>179</v>
      </c>
      <c r="AA22" s="182">
        <f>+AA28-AA23-AA27</f>
        <v>171</v>
      </c>
      <c r="AB22" s="182">
        <f>+AB28-AB23-AB27</f>
        <v>171</v>
      </c>
      <c r="AC22" s="182">
        <f t="shared" ref="AC22:AD22" si="54">+AC28-AC23-AC27</f>
        <v>172</v>
      </c>
      <c r="AD22" s="182">
        <f t="shared" si="54"/>
        <v>173</v>
      </c>
    </row>
    <row r="23" spans="2:34">
      <c r="B23" s="191" t="s">
        <v>1317</v>
      </c>
      <c r="E23" s="197">
        <f>SUM(J23:U23)</f>
        <v>90</v>
      </c>
      <c r="F23" s="197">
        <f>SUM(V23:AD23)</f>
        <v>59</v>
      </c>
      <c r="H23" s="197">
        <f>SUM(S23:AD23)</f>
        <v>83</v>
      </c>
      <c r="J23" s="195">
        <f t="shared" ref="J23:AD23" si="55">+J38+J53+J83</f>
        <v>9</v>
      </c>
      <c r="K23" s="195">
        <f t="shared" si="55"/>
        <v>5</v>
      </c>
      <c r="L23" s="195">
        <f t="shared" si="55"/>
        <v>8</v>
      </c>
      <c r="M23" s="195">
        <f t="shared" si="55"/>
        <v>9</v>
      </c>
      <c r="N23" s="195">
        <f t="shared" si="55"/>
        <v>9</v>
      </c>
      <c r="O23" s="195">
        <f t="shared" si="55"/>
        <v>6</v>
      </c>
      <c r="P23" s="195">
        <f t="shared" si="55"/>
        <v>7</v>
      </c>
      <c r="Q23" s="195">
        <f t="shared" si="55"/>
        <v>7</v>
      </c>
      <c r="R23" s="195">
        <f t="shared" si="55"/>
        <v>6</v>
      </c>
      <c r="S23" s="195">
        <f t="shared" si="55"/>
        <v>6</v>
      </c>
      <c r="T23" s="195">
        <f t="shared" si="55"/>
        <v>7</v>
      </c>
      <c r="U23" s="195">
        <f t="shared" si="55"/>
        <v>11</v>
      </c>
      <c r="V23" s="195">
        <f t="shared" si="55"/>
        <v>10</v>
      </c>
      <c r="W23" s="195">
        <f t="shared" si="55"/>
        <v>9</v>
      </c>
      <c r="X23" s="195">
        <f t="shared" si="55"/>
        <v>6</v>
      </c>
      <c r="Y23" s="195">
        <f t="shared" si="55"/>
        <v>11</v>
      </c>
      <c r="Z23" s="195">
        <f t="shared" si="55"/>
        <v>7</v>
      </c>
      <c r="AA23" s="195">
        <f t="shared" si="55"/>
        <v>4</v>
      </c>
      <c r="AB23" s="195">
        <f t="shared" si="55"/>
        <v>5</v>
      </c>
      <c r="AC23" s="195">
        <f t="shared" si="55"/>
        <v>3</v>
      </c>
      <c r="AD23" s="195">
        <f t="shared" si="55"/>
        <v>4</v>
      </c>
    </row>
    <row r="24" spans="2:34">
      <c r="B24" s="265" t="s">
        <v>1531</v>
      </c>
      <c r="E24" s="197">
        <f t="shared" ref="E24:E26" si="56">SUM(J24:U24)</f>
        <v>-26</v>
      </c>
      <c r="F24" s="197">
        <f t="shared" ref="F24:F26" si="57">SUM(V24:AD24)</f>
        <v>-25</v>
      </c>
      <c r="H24" s="197">
        <f t="shared" ref="H24:H26" si="58">SUM(S24:AD24)</f>
        <v>-34</v>
      </c>
      <c r="J24" s="195">
        <f t="shared" ref="J24:AD24" si="59">+J39+J54+J84</f>
        <v>0</v>
      </c>
      <c r="K24" s="195">
        <f t="shared" si="59"/>
        <v>-2</v>
      </c>
      <c r="L24" s="195">
        <f t="shared" si="59"/>
        <v>-1</v>
      </c>
      <c r="M24" s="195">
        <f t="shared" si="59"/>
        <v>-3</v>
      </c>
      <c r="N24" s="195">
        <f t="shared" si="59"/>
        <v>0</v>
      </c>
      <c r="O24" s="195">
        <f t="shared" si="59"/>
        <v>-5</v>
      </c>
      <c r="P24" s="195">
        <f t="shared" si="59"/>
        <v>-2</v>
      </c>
      <c r="Q24" s="195">
        <f t="shared" si="59"/>
        <v>-2</v>
      </c>
      <c r="R24" s="195">
        <f t="shared" si="59"/>
        <v>-2</v>
      </c>
      <c r="S24" s="195">
        <f t="shared" si="59"/>
        <v>-1</v>
      </c>
      <c r="T24" s="195">
        <f t="shared" si="59"/>
        <v>-3</v>
      </c>
      <c r="U24" s="195">
        <f t="shared" si="59"/>
        <v>-5</v>
      </c>
      <c r="V24" s="195">
        <f t="shared" si="59"/>
        <v>-1</v>
      </c>
      <c r="W24" s="195">
        <f t="shared" si="59"/>
        <v>-1</v>
      </c>
      <c r="X24" s="195">
        <f t="shared" si="59"/>
        <v>-2</v>
      </c>
      <c r="Y24" s="195">
        <f t="shared" si="59"/>
        <v>-3</v>
      </c>
      <c r="Z24" s="195">
        <f t="shared" si="59"/>
        <v>-12</v>
      </c>
      <c r="AA24" s="195">
        <f t="shared" si="59"/>
        <v>-4</v>
      </c>
      <c r="AB24" s="195">
        <f t="shared" si="59"/>
        <v>-2</v>
      </c>
      <c r="AC24" s="195">
        <f t="shared" si="59"/>
        <v>0</v>
      </c>
      <c r="AD24" s="195">
        <f t="shared" si="59"/>
        <v>0</v>
      </c>
    </row>
    <row r="25" spans="2:34">
      <c r="B25" s="265" t="s">
        <v>1532</v>
      </c>
      <c r="E25" s="197">
        <f t="shared" si="56"/>
        <v>-20</v>
      </c>
      <c r="F25" s="197">
        <f t="shared" si="57"/>
        <v>-6</v>
      </c>
      <c r="H25" s="197">
        <f t="shared" si="58"/>
        <v>-15</v>
      </c>
      <c r="J25" s="195">
        <f t="shared" ref="J25:AD25" si="60">+J40+J55+J85</f>
        <v>-4</v>
      </c>
      <c r="K25" s="195">
        <f t="shared" si="60"/>
        <v>-1</v>
      </c>
      <c r="L25" s="195">
        <f t="shared" si="60"/>
        <v>-1</v>
      </c>
      <c r="M25" s="195">
        <f t="shared" si="60"/>
        <v>-1</v>
      </c>
      <c r="N25" s="195">
        <f t="shared" si="60"/>
        <v>-2</v>
      </c>
      <c r="O25" s="195">
        <f t="shared" si="60"/>
        <v>-1</v>
      </c>
      <c r="P25" s="195">
        <f t="shared" si="60"/>
        <v>0</v>
      </c>
      <c r="Q25" s="195">
        <f t="shared" si="60"/>
        <v>0</v>
      </c>
      <c r="R25" s="195">
        <f t="shared" si="60"/>
        <v>-1</v>
      </c>
      <c r="S25" s="195">
        <f t="shared" si="60"/>
        <v>0</v>
      </c>
      <c r="T25" s="195">
        <f t="shared" si="60"/>
        <v>-5</v>
      </c>
      <c r="U25" s="195">
        <f t="shared" si="60"/>
        <v>-4</v>
      </c>
      <c r="V25" s="195">
        <f t="shared" si="60"/>
        <v>-2</v>
      </c>
      <c r="W25" s="195">
        <f t="shared" si="60"/>
        <v>0</v>
      </c>
      <c r="X25" s="195">
        <f t="shared" si="60"/>
        <v>0</v>
      </c>
      <c r="Y25" s="195">
        <f t="shared" si="60"/>
        <v>-1</v>
      </c>
      <c r="Z25" s="195">
        <f t="shared" si="60"/>
        <v>-2</v>
      </c>
      <c r="AA25" s="195">
        <f t="shared" si="60"/>
        <v>0</v>
      </c>
      <c r="AB25" s="195">
        <f t="shared" si="60"/>
        <v>-1</v>
      </c>
      <c r="AC25" s="195">
        <f t="shared" si="60"/>
        <v>0</v>
      </c>
      <c r="AD25" s="195">
        <f t="shared" si="60"/>
        <v>0</v>
      </c>
    </row>
    <row r="26" spans="2:34">
      <c r="B26" s="265" t="s">
        <v>1533</v>
      </c>
      <c r="E26" s="197">
        <f t="shared" si="56"/>
        <v>0</v>
      </c>
      <c r="F26" s="197">
        <f t="shared" si="57"/>
        <v>-8</v>
      </c>
      <c r="H26" s="197">
        <f t="shared" si="58"/>
        <v>-8</v>
      </c>
      <c r="J26" s="195">
        <f t="shared" ref="J26:AD26" si="61">+J41+J56+J86</f>
        <v>0</v>
      </c>
      <c r="K26" s="195">
        <f t="shared" si="61"/>
        <v>0</v>
      </c>
      <c r="L26" s="195">
        <f t="shared" si="61"/>
        <v>0</v>
      </c>
      <c r="M26" s="195">
        <f t="shared" si="61"/>
        <v>0</v>
      </c>
      <c r="N26" s="195">
        <f t="shared" si="61"/>
        <v>0</v>
      </c>
      <c r="O26" s="195">
        <f t="shared" si="61"/>
        <v>0</v>
      </c>
      <c r="P26" s="195">
        <f t="shared" si="61"/>
        <v>0</v>
      </c>
      <c r="Q26" s="195">
        <f t="shared" si="61"/>
        <v>0</v>
      </c>
      <c r="R26" s="195">
        <f t="shared" si="61"/>
        <v>0</v>
      </c>
      <c r="S26" s="195">
        <f t="shared" si="61"/>
        <v>0</v>
      </c>
      <c r="T26" s="195">
        <f t="shared" si="61"/>
        <v>0</v>
      </c>
      <c r="U26" s="195">
        <f t="shared" si="61"/>
        <v>0</v>
      </c>
      <c r="V26" s="195">
        <f t="shared" si="61"/>
        <v>0</v>
      </c>
      <c r="W26" s="195">
        <f t="shared" si="61"/>
        <v>0</v>
      </c>
      <c r="X26" s="195">
        <f t="shared" si="61"/>
        <v>-3</v>
      </c>
      <c r="Y26" s="195">
        <f t="shared" si="61"/>
        <v>-1</v>
      </c>
      <c r="Z26" s="195">
        <f t="shared" si="61"/>
        <v>-1</v>
      </c>
      <c r="AA26" s="195">
        <f t="shared" si="61"/>
        <v>0</v>
      </c>
      <c r="AB26" s="195">
        <f t="shared" si="61"/>
        <v>-1</v>
      </c>
      <c r="AC26" s="195">
        <f t="shared" si="61"/>
        <v>-2</v>
      </c>
      <c r="AD26" s="195">
        <f t="shared" si="61"/>
        <v>0</v>
      </c>
    </row>
    <row r="27" spans="2:34" ht="12" customHeight="1">
      <c r="B27" s="255" t="s">
        <v>1535</v>
      </c>
      <c r="C27" s="258"/>
      <c r="D27" s="258"/>
      <c r="E27" s="256">
        <f>SUM(J27:U27)</f>
        <v>-46</v>
      </c>
      <c r="F27" s="256">
        <f>SUM(V27:AD27)</f>
        <v>-39</v>
      </c>
      <c r="G27" s="257"/>
      <c r="H27" s="256">
        <f>SUM(S27:AD27)</f>
        <v>-57</v>
      </c>
      <c r="I27" s="257"/>
      <c r="J27" s="258">
        <f t="shared" ref="J27:AD27" si="62">+J42+J57+J87</f>
        <v>-4</v>
      </c>
      <c r="K27" s="258">
        <f t="shared" si="62"/>
        <v>-3</v>
      </c>
      <c r="L27" s="258">
        <f t="shared" si="62"/>
        <v>-2</v>
      </c>
      <c r="M27" s="258">
        <f t="shared" si="62"/>
        <v>-4</v>
      </c>
      <c r="N27" s="258">
        <f t="shared" si="62"/>
        <v>-2</v>
      </c>
      <c r="O27" s="258">
        <f t="shared" si="62"/>
        <v>-6</v>
      </c>
      <c r="P27" s="258">
        <f t="shared" si="62"/>
        <v>-2</v>
      </c>
      <c r="Q27" s="258">
        <f t="shared" si="62"/>
        <v>-2</v>
      </c>
      <c r="R27" s="258">
        <f t="shared" si="62"/>
        <v>-3</v>
      </c>
      <c r="S27" s="258">
        <f t="shared" si="62"/>
        <v>-1</v>
      </c>
      <c r="T27" s="258">
        <f t="shared" si="62"/>
        <v>-8</v>
      </c>
      <c r="U27" s="258">
        <f t="shared" si="62"/>
        <v>-9</v>
      </c>
      <c r="V27" s="258">
        <f t="shared" si="62"/>
        <v>-3</v>
      </c>
      <c r="W27" s="258">
        <f t="shared" si="62"/>
        <v>-1</v>
      </c>
      <c r="X27" s="258">
        <f t="shared" si="62"/>
        <v>-5</v>
      </c>
      <c r="Y27" s="258">
        <f t="shared" si="62"/>
        <v>-5</v>
      </c>
      <c r="Z27" s="258">
        <f t="shared" si="62"/>
        <v>-15</v>
      </c>
      <c r="AA27" s="258">
        <f t="shared" si="62"/>
        <v>-4</v>
      </c>
      <c r="AB27" s="258">
        <f t="shared" si="62"/>
        <v>-4</v>
      </c>
      <c r="AC27" s="258">
        <f t="shared" si="62"/>
        <v>-2</v>
      </c>
      <c r="AD27" s="258">
        <f t="shared" si="62"/>
        <v>0</v>
      </c>
      <c r="AF27" s="340">
        <f>AD28/J22-1</f>
        <v>0.5663716814159292</v>
      </c>
    </row>
    <row r="28" spans="2:34">
      <c r="B28" s="259" t="s">
        <v>1318</v>
      </c>
      <c r="C28" s="260"/>
      <c r="D28" s="260"/>
      <c r="E28" s="260">
        <f>+F22</f>
        <v>157</v>
      </c>
      <c r="F28" s="261">
        <f>+$AD28</f>
        <v>177</v>
      </c>
      <c r="H28" s="264">
        <f>+$AD28</f>
        <v>177</v>
      </c>
      <c r="J28" s="262">
        <f t="shared" ref="J28" si="63">+K22</f>
        <v>118</v>
      </c>
      <c r="K28" s="260">
        <f t="shared" ref="K28" si="64">+L22</f>
        <v>120</v>
      </c>
      <c r="L28" s="260">
        <f t="shared" ref="L28" si="65">+M22</f>
        <v>126</v>
      </c>
      <c r="M28" s="260">
        <f t="shared" ref="M28" si="66">+N22</f>
        <v>131</v>
      </c>
      <c r="N28" s="260">
        <f t="shared" ref="N28" si="67">+O22</f>
        <v>138</v>
      </c>
      <c r="O28" s="260">
        <f t="shared" ref="O28" si="68">+P22</f>
        <v>138</v>
      </c>
      <c r="P28" s="260">
        <f>+Q22</f>
        <v>143</v>
      </c>
      <c r="Q28" s="260">
        <f t="shared" ref="Q28" si="69">+R22</f>
        <v>148</v>
      </c>
      <c r="R28" s="260">
        <f t="shared" ref="R28" si="70">+S22</f>
        <v>151</v>
      </c>
      <c r="S28" s="262">
        <f t="shared" ref="S28" si="71">+T22</f>
        <v>156</v>
      </c>
      <c r="T28" s="260">
        <f t="shared" ref="T28" si="72">+U22</f>
        <v>155</v>
      </c>
      <c r="U28" s="260">
        <f t="shared" ref="U28" si="73">+V22</f>
        <v>157</v>
      </c>
      <c r="V28" s="260">
        <f t="shared" ref="V28" si="74">+W22</f>
        <v>164</v>
      </c>
      <c r="W28" s="260">
        <f t="shared" ref="W28" si="75">+X22</f>
        <v>172</v>
      </c>
      <c r="X28" s="260">
        <f t="shared" ref="X28" si="76">+Y22</f>
        <v>173</v>
      </c>
      <c r="Y28" s="260">
        <f t="shared" ref="Y28" si="77">+Z22</f>
        <v>179</v>
      </c>
      <c r="Z28" s="260">
        <f t="shared" ref="Z28" si="78">+AA22</f>
        <v>171</v>
      </c>
      <c r="AA28" s="260">
        <f>+AB22</f>
        <v>171</v>
      </c>
      <c r="AB28" s="260">
        <f>+AB43+AB58</f>
        <v>172</v>
      </c>
      <c r="AC28" s="260">
        <f>+AC43+AC58</f>
        <v>173</v>
      </c>
      <c r="AD28" s="261">
        <f>+AD43+AD58+AD88</f>
        <v>177</v>
      </c>
      <c r="AF28" s="182">
        <f>AD28-J22</f>
        <v>64</v>
      </c>
    </row>
    <row r="29" spans="2:34" ht="3.95" customHeight="1">
      <c r="B29" s="180"/>
      <c r="C29" s="232"/>
      <c r="D29" s="232"/>
      <c r="E29" s="232"/>
      <c r="F29" s="232"/>
      <c r="H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3"/>
      <c r="AC29" s="233"/>
      <c r="AD29" s="233"/>
    </row>
    <row r="30" spans="2:34">
      <c r="B30" s="259" t="s">
        <v>1854</v>
      </c>
      <c r="C30" s="260"/>
      <c r="D30" s="260"/>
      <c r="E30" s="260">
        <f>AVERAGE(E22,E28)</f>
        <v>135</v>
      </c>
      <c r="F30" s="261">
        <f>AVERAGE(F22,F28)</f>
        <v>167</v>
      </c>
      <c r="H30" s="264">
        <f>AVERAGE(H22,H28)</f>
        <v>164</v>
      </c>
      <c r="J30" s="262">
        <f>AVERAGE(J22,J28)</f>
        <v>115.5</v>
      </c>
      <c r="K30" s="260">
        <f t="shared" ref="K30:AD30" si="79">AVERAGE(K22,K28)</f>
        <v>119</v>
      </c>
      <c r="L30" s="260">
        <f t="shared" si="79"/>
        <v>123</v>
      </c>
      <c r="M30" s="260">
        <f t="shared" si="79"/>
        <v>128.5</v>
      </c>
      <c r="N30" s="260">
        <f t="shared" si="79"/>
        <v>134.5</v>
      </c>
      <c r="O30" s="260">
        <f t="shared" si="79"/>
        <v>138</v>
      </c>
      <c r="P30" s="260">
        <f t="shared" si="79"/>
        <v>140.5</v>
      </c>
      <c r="Q30" s="260">
        <f t="shared" si="79"/>
        <v>145.5</v>
      </c>
      <c r="R30" s="260">
        <f t="shared" si="79"/>
        <v>149.5</v>
      </c>
      <c r="S30" s="262">
        <f t="shared" si="79"/>
        <v>153.5</v>
      </c>
      <c r="T30" s="260">
        <f t="shared" si="79"/>
        <v>155.5</v>
      </c>
      <c r="U30" s="260">
        <f t="shared" si="79"/>
        <v>156</v>
      </c>
      <c r="V30" s="260">
        <f t="shared" si="79"/>
        <v>160.5</v>
      </c>
      <c r="W30" s="260">
        <f t="shared" si="79"/>
        <v>168</v>
      </c>
      <c r="X30" s="260">
        <f t="shared" si="79"/>
        <v>172.5</v>
      </c>
      <c r="Y30" s="260">
        <f t="shared" si="79"/>
        <v>176</v>
      </c>
      <c r="Z30" s="260">
        <f t="shared" si="79"/>
        <v>175</v>
      </c>
      <c r="AA30" s="260">
        <f t="shared" si="79"/>
        <v>171</v>
      </c>
      <c r="AB30" s="260">
        <f t="shared" si="79"/>
        <v>171.5</v>
      </c>
      <c r="AC30" s="260">
        <f t="shared" si="79"/>
        <v>172.5</v>
      </c>
      <c r="AD30" s="263">
        <f t="shared" si="79"/>
        <v>175</v>
      </c>
    </row>
    <row r="31" spans="2:34" ht="3.95" customHeight="1">
      <c r="B31" s="180"/>
      <c r="C31" s="232"/>
      <c r="D31" s="232"/>
      <c r="E31" s="232"/>
      <c r="F31" s="232"/>
      <c r="H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3"/>
      <c r="AC31" s="233"/>
      <c r="AD31" s="233"/>
    </row>
    <row r="32" spans="2:34">
      <c r="B32" s="234" t="s">
        <v>1521</v>
      </c>
      <c r="C32" s="235"/>
      <c r="D32" s="235"/>
      <c r="E32" s="236">
        <f>(E23+E22)/E22-1</f>
        <v>0.79646017699115035</v>
      </c>
      <c r="F32" s="247">
        <f>(F23+F22)/F22-1</f>
        <v>0.37579617834394896</v>
      </c>
      <c r="G32" s="248"/>
      <c r="H32" s="249">
        <f>(H23+H22)/H22-1</f>
        <v>0.54966887417218535</v>
      </c>
      <c r="J32" s="246">
        <f t="shared" ref="J32:AB32" si="80">(J23+J22)/J22-1</f>
        <v>7.9646017699114946E-2</v>
      </c>
      <c r="K32" s="236">
        <f t="shared" si="80"/>
        <v>4.2372881355932313E-2</v>
      </c>
      <c r="L32" s="236">
        <f t="shared" si="80"/>
        <v>6.6666666666666652E-2</v>
      </c>
      <c r="M32" s="236">
        <f t="shared" si="80"/>
        <v>7.1428571428571397E-2</v>
      </c>
      <c r="N32" s="236">
        <f t="shared" si="80"/>
        <v>6.8702290076335881E-2</v>
      </c>
      <c r="O32" s="236">
        <f t="shared" si="80"/>
        <v>4.3478260869565188E-2</v>
      </c>
      <c r="P32" s="236">
        <f t="shared" si="80"/>
        <v>5.0724637681159424E-2</v>
      </c>
      <c r="Q32" s="236">
        <f t="shared" si="80"/>
        <v>4.8951048951048959E-2</v>
      </c>
      <c r="R32" s="236">
        <f t="shared" si="80"/>
        <v>4.0540540540540571E-2</v>
      </c>
      <c r="S32" s="246">
        <f t="shared" si="80"/>
        <v>3.9735099337748325E-2</v>
      </c>
      <c r="T32" s="236">
        <f t="shared" si="80"/>
        <v>4.4871794871794934E-2</v>
      </c>
      <c r="U32" s="236">
        <f t="shared" si="80"/>
        <v>7.0967741935483941E-2</v>
      </c>
      <c r="V32" s="236">
        <f t="shared" si="80"/>
        <v>6.3694267515923553E-2</v>
      </c>
      <c r="W32" s="236">
        <f t="shared" si="80"/>
        <v>5.4878048780487854E-2</v>
      </c>
      <c r="X32" s="236">
        <f t="shared" si="80"/>
        <v>3.488372093023262E-2</v>
      </c>
      <c r="Y32" s="236">
        <f t="shared" si="80"/>
        <v>6.3583815028901647E-2</v>
      </c>
      <c r="Z32" s="236">
        <f t="shared" si="80"/>
        <v>3.9106145251396551E-2</v>
      </c>
      <c r="AA32" s="236">
        <f t="shared" si="80"/>
        <v>2.3391812865497075E-2</v>
      </c>
      <c r="AB32" s="236">
        <f t="shared" si="80"/>
        <v>2.9239766081871288E-2</v>
      </c>
      <c r="AC32" s="236">
        <f t="shared" ref="AC32:AD32" si="81">(AC23+AC22)/AC22-1</f>
        <v>1.744186046511631E-2</v>
      </c>
      <c r="AD32" s="247">
        <f t="shared" si="81"/>
        <v>2.3121387283236983E-2</v>
      </c>
    </row>
    <row r="33" spans="2:33">
      <c r="B33" s="237" t="s">
        <v>1522</v>
      </c>
      <c r="C33" s="238"/>
      <c r="D33" s="238"/>
      <c r="E33" s="239">
        <f>(E27+E30)/E30-1</f>
        <v>-0.34074074074074079</v>
      </c>
      <c r="F33" s="240">
        <f>(F27+F30)/F30-1</f>
        <v>-0.23353293413173648</v>
      </c>
      <c r="G33" s="248"/>
      <c r="H33" s="242">
        <f>(H27+H30)/H30-1</f>
        <v>-0.34756097560975607</v>
      </c>
      <c r="J33" s="241">
        <f t="shared" ref="J33:AD33" si="82">(J27+J30)/J30-1</f>
        <v>-3.4632034632034681E-2</v>
      </c>
      <c r="K33" s="239">
        <f t="shared" si="82"/>
        <v>-2.5210084033613467E-2</v>
      </c>
      <c r="L33" s="239">
        <f t="shared" si="82"/>
        <v>-1.6260162601625994E-2</v>
      </c>
      <c r="M33" s="239">
        <f t="shared" si="82"/>
        <v>-3.1128404669260701E-2</v>
      </c>
      <c r="N33" s="239">
        <f t="shared" si="82"/>
        <v>-1.4869888475836479E-2</v>
      </c>
      <c r="O33" s="239">
        <f t="shared" si="82"/>
        <v>-4.3478260869565188E-2</v>
      </c>
      <c r="P33" s="239">
        <f t="shared" si="82"/>
        <v>-1.4234875444839812E-2</v>
      </c>
      <c r="Q33" s="239">
        <f t="shared" si="82"/>
        <v>-1.3745704467353903E-2</v>
      </c>
      <c r="R33" s="239">
        <f t="shared" si="82"/>
        <v>-2.006688963210701E-2</v>
      </c>
      <c r="S33" s="241">
        <f t="shared" si="82"/>
        <v>-6.514657980456029E-3</v>
      </c>
      <c r="T33" s="239">
        <f t="shared" si="82"/>
        <v>-5.144694533762062E-2</v>
      </c>
      <c r="U33" s="239">
        <f t="shared" si="82"/>
        <v>-5.7692307692307709E-2</v>
      </c>
      <c r="V33" s="239">
        <f t="shared" si="82"/>
        <v>-1.8691588785046731E-2</v>
      </c>
      <c r="W33" s="239">
        <f t="shared" si="82"/>
        <v>-5.9523809523809312E-3</v>
      </c>
      <c r="X33" s="239">
        <f t="shared" si="82"/>
        <v>-2.8985507246376829E-2</v>
      </c>
      <c r="Y33" s="239">
        <f t="shared" si="82"/>
        <v>-2.8409090909090939E-2</v>
      </c>
      <c r="Z33" s="239">
        <f t="shared" si="82"/>
        <v>-8.5714285714285743E-2</v>
      </c>
      <c r="AA33" s="239">
        <f t="shared" si="82"/>
        <v>-2.3391812865497075E-2</v>
      </c>
      <c r="AB33" s="239">
        <f t="shared" si="82"/>
        <v>-2.3323615160349864E-2</v>
      </c>
      <c r="AC33" s="239">
        <f t="shared" si="82"/>
        <v>-1.1594202898550732E-2</v>
      </c>
      <c r="AD33" s="240">
        <f t="shared" si="82"/>
        <v>0</v>
      </c>
    </row>
    <row r="34" spans="2:33" ht="3.95" customHeight="1">
      <c r="B34" s="180"/>
      <c r="C34" s="184"/>
      <c r="D34" s="184"/>
    </row>
    <row r="35" spans="2:33" ht="24">
      <c r="B35" s="159" t="s">
        <v>1311</v>
      </c>
      <c r="C35" s="176" t="s">
        <v>1319</v>
      </c>
      <c r="D35" s="176" t="s">
        <v>3</v>
      </c>
      <c r="E35" s="176" t="s">
        <v>4</v>
      </c>
      <c r="F35" s="176" t="s">
        <v>1320</v>
      </c>
      <c r="G35" s="193"/>
      <c r="H35" s="176" t="s">
        <v>1530</v>
      </c>
      <c r="J35" s="192">
        <v>45658</v>
      </c>
      <c r="K35" s="192">
        <f t="shared" ref="K35" si="83">EOMONTH(J35,0)+1</f>
        <v>45689</v>
      </c>
      <c r="L35" s="192">
        <f t="shared" ref="L35" si="84">EOMONTH(K35,0)+1</f>
        <v>45717</v>
      </c>
      <c r="M35" s="192">
        <f t="shared" ref="M35" si="85">EOMONTH(L35,0)+1</f>
        <v>45748</v>
      </c>
      <c r="N35" s="192">
        <f t="shared" ref="N35" si="86">EOMONTH(M35,0)+1</f>
        <v>45778</v>
      </c>
      <c r="O35" s="192">
        <f t="shared" ref="O35" si="87">EOMONTH(N35,0)+1</f>
        <v>45809</v>
      </c>
      <c r="P35" s="192">
        <f t="shared" ref="P35" si="88">EOMONTH(O35,0)+1</f>
        <v>45839</v>
      </c>
      <c r="Q35" s="192">
        <v>45870</v>
      </c>
      <c r="R35" s="192">
        <f t="shared" ref="R35" si="89">EOMONTH(Q35,0)+1</f>
        <v>45901</v>
      </c>
      <c r="S35" s="192">
        <f t="shared" ref="S35" si="90">EOMONTH(R35,0)+1</f>
        <v>45931</v>
      </c>
      <c r="T35" s="192">
        <f t="shared" ref="T35" si="91">EOMONTH(S35,0)+1</f>
        <v>45962</v>
      </c>
      <c r="U35" s="192">
        <f t="shared" ref="U35" si="92">EOMONTH(T35,0)+1</f>
        <v>45992</v>
      </c>
      <c r="V35" s="192">
        <f t="shared" ref="V35" si="93">EOMONTH(U35,0)+1</f>
        <v>46023</v>
      </c>
      <c r="W35" s="192">
        <f t="shared" ref="W35" si="94">EOMONTH(V35,0)+1</f>
        <v>46054</v>
      </c>
      <c r="X35" s="192">
        <f t="shared" ref="X35" si="95">EOMONTH(W35,0)+1</f>
        <v>46082</v>
      </c>
      <c r="Y35" s="192">
        <f t="shared" ref="Y35" si="96">EOMONTH(X35,0)+1</f>
        <v>46113</v>
      </c>
      <c r="Z35" s="192">
        <f t="shared" ref="Z35" si="97">EOMONTH(Y35,0)+1</f>
        <v>46143</v>
      </c>
      <c r="AA35" s="192">
        <f t="shared" ref="AA35" si="98">EOMONTH(Z35,0)+1</f>
        <v>46174</v>
      </c>
      <c r="AB35" s="192">
        <f t="shared" ref="AB35" si="99">EOMONTH(AA35,0)+1</f>
        <v>46204</v>
      </c>
      <c r="AC35" s="192">
        <f t="shared" ref="AC35" si="100">EOMONTH(AB35,0)+1</f>
        <v>46235</v>
      </c>
      <c r="AD35" s="192">
        <f t="shared" ref="AD35" si="101">EOMONTH(AC35,0)+1</f>
        <v>46266</v>
      </c>
      <c r="AE35" s="187"/>
      <c r="AF35" s="220" t="s">
        <v>1301</v>
      </c>
      <c r="AG35" s="187"/>
    </row>
    <row r="36" spans="2:33">
      <c r="B36" s="186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1316</v>
      </c>
      <c r="C37" s="182"/>
      <c r="D37" s="182"/>
      <c r="E37" s="182">
        <f>+E43-E38-E42</f>
        <v>68</v>
      </c>
      <c r="F37" s="182">
        <f>+F43-F38-F42</f>
        <v>124</v>
      </c>
      <c r="H37" s="182">
        <f>+H43-H38-H42</f>
        <v>109</v>
      </c>
      <c r="J37" s="182">
        <f t="shared" ref="J37:AD37" si="102">+J43-J38-J42</f>
        <v>68</v>
      </c>
      <c r="K37" s="182">
        <f t="shared" si="102"/>
        <v>75</v>
      </c>
      <c r="L37" s="182">
        <f t="shared" si="102"/>
        <v>77</v>
      </c>
      <c r="M37" s="182">
        <f t="shared" si="102"/>
        <v>83</v>
      </c>
      <c r="N37" s="182">
        <f t="shared" si="102"/>
        <v>90</v>
      </c>
      <c r="O37" s="182">
        <f t="shared" si="102"/>
        <v>95</v>
      </c>
      <c r="P37" s="182">
        <f t="shared" si="102"/>
        <v>98</v>
      </c>
      <c r="Q37" s="182">
        <f t="shared" si="102"/>
        <v>101</v>
      </c>
      <c r="R37" s="182">
        <f t="shared" si="102"/>
        <v>105</v>
      </c>
      <c r="S37" s="182">
        <f t="shared" si="102"/>
        <v>109</v>
      </c>
      <c r="T37" s="182">
        <f t="shared" si="102"/>
        <v>113</v>
      </c>
      <c r="U37" s="182">
        <f t="shared" si="102"/>
        <v>118</v>
      </c>
      <c r="V37" s="182">
        <f t="shared" si="102"/>
        <v>124</v>
      </c>
      <c r="W37" s="182">
        <f t="shared" si="102"/>
        <v>130</v>
      </c>
      <c r="X37" s="182">
        <f t="shared" si="102"/>
        <v>135</v>
      </c>
      <c r="Y37" s="182">
        <f t="shared" si="102"/>
        <v>136</v>
      </c>
      <c r="Z37" s="182">
        <f t="shared" si="102"/>
        <v>140</v>
      </c>
      <c r="AA37" s="182">
        <f t="shared" si="102"/>
        <v>140</v>
      </c>
      <c r="AB37" s="182">
        <f t="shared" si="102"/>
        <v>141</v>
      </c>
      <c r="AC37" s="182">
        <f t="shared" si="102"/>
        <v>142</v>
      </c>
      <c r="AD37" s="182">
        <f t="shared" si="102"/>
        <v>143</v>
      </c>
    </row>
    <row r="38" spans="2:33">
      <c r="B38" s="191" t="s">
        <v>1317</v>
      </c>
      <c r="E38" s="197">
        <f>SUM(J38:U38)</f>
        <v>59</v>
      </c>
      <c r="F38" s="197">
        <f>SUM(V38:AD38)</f>
        <v>48</v>
      </c>
      <c r="H38" s="197">
        <f>SUM(S38:AD38)</f>
        <v>64</v>
      </c>
      <c r="J38" s="195">
        <f>COUNTIFS('Full Customer List'!$I:$I,'Client Retention'!J$5,'Full Customer List'!$E:$E,'Client Retention'!$AF$35)</f>
        <v>7</v>
      </c>
      <c r="K38" s="195">
        <f>COUNTIFS('Full Customer List'!$I:$I,'Client Retention'!K$5,'Full Customer List'!$E:$E,'Client Retention'!$AF$35)</f>
        <v>2</v>
      </c>
      <c r="L38" s="195">
        <f>COUNTIFS('Full Customer List'!$I:$I,'Client Retention'!L$5,'Full Customer List'!$E:$E,'Client Retention'!$AF$35)</f>
        <v>6</v>
      </c>
      <c r="M38" s="195">
        <f>COUNTIFS('Full Customer List'!$I:$I,'Client Retention'!M$5,'Full Customer List'!$E:$E,'Client Retention'!$AF$35)</f>
        <v>7</v>
      </c>
      <c r="N38" s="195">
        <f>COUNTIFS('Full Customer List'!$I:$I,'Client Retention'!N$5,'Full Customer List'!$E:$E,'Client Retention'!$AF$35)</f>
        <v>5</v>
      </c>
      <c r="O38" s="195">
        <f>COUNTIFS('Full Customer List'!$I:$I,'Client Retention'!O$5,'Full Customer List'!$E:$E,'Client Retention'!$AF$35)</f>
        <v>3</v>
      </c>
      <c r="P38" s="195">
        <f>COUNTIFS('Full Customer List'!$I:$I,'Client Retention'!P$5,'Full Customer List'!$E:$E,'Client Retention'!$AF$35)</f>
        <v>5</v>
      </c>
      <c r="Q38" s="195">
        <f>COUNTIFS('Full Customer List'!$I:$I,'Client Retention'!Q$5,'Full Customer List'!$E:$E,'Client Retention'!$AF$35)</f>
        <v>4</v>
      </c>
      <c r="R38" s="195">
        <f>COUNTIFS('Full Customer List'!$I:$I,'Client Retention'!R$5,'Full Customer List'!$E:$E,'Client Retention'!$AF$35)</f>
        <v>4</v>
      </c>
      <c r="S38" s="195">
        <f>COUNTIFS('Full Customer List'!$I:$I,'Client Retention'!S$5,'Full Customer List'!$E:$E,'Client Retention'!$AF$35)</f>
        <v>4</v>
      </c>
      <c r="T38" s="195">
        <f>COUNTIFS('Full Customer List'!$I:$I,'Client Retention'!T$5,'Full Customer List'!$E:$E,'Client Retention'!$AF$35)</f>
        <v>5</v>
      </c>
      <c r="U38" s="195">
        <f>COUNTIFS('Full Customer List'!$I:$I,'Client Retention'!U$5,'Full Customer List'!$E:$E,'Client Retention'!$AF$35)</f>
        <v>7</v>
      </c>
      <c r="V38" s="195">
        <f>COUNTIFS('Full Customer List'!$I:$I,'Client Retention'!V$5,'Full Customer List'!$E:$E,'Client Retention'!$AF$35)</f>
        <v>7</v>
      </c>
      <c r="W38" s="195">
        <f>COUNTIFS('Full Customer List'!$I:$I,'Client Retention'!W$5,'Full Customer List'!$E:$E,'Client Retention'!$AF$35)</f>
        <v>6</v>
      </c>
      <c r="X38" s="195">
        <f>COUNTIFS('Full Customer List'!$I:$I,'Client Retention'!X$5,'Full Customer List'!$E:$E,'Client Retention'!$AF$35)</f>
        <v>5</v>
      </c>
      <c r="Y38" s="195">
        <f>COUNTIFS('Full Customer List'!$I:$I,'Client Retention'!Y$5,'Full Customer List'!$E:$E,'Client Retention'!$AF$35)</f>
        <v>8</v>
      </c>
      <c r="Z38" s="195">
        <f>COUNTIFS('Full Customer List'!$I:$I,'Client Retention'!Z$5,'Full Customer List'!$E:$E,'Client Retention'!$AF$35)</f>
        <v>7</v>
      </c>
      <c r="AA38" s="195">
        <f>COUNTIFS('Full Customer List'!$I:$I,'Client Retention'!AA$5,'Full Customer List'!$E:$E,'Client Retention'!$AF$35)</f>
        <v>4</v>
      </c>
      <c r="AB38" s="195">
        <f>COUNTIFS('Full Customer List'!$I:$I,'Client Retention'!AB$5,'Full Customer List'!$E:$E,'Client Retention'!$AF$35)</f>
        <v>4</v>
      </c>
      <c r="AC38" s="195">
        <f>COUNTIFS('Full Customer List'!$I:$I,'Client Retention'!AC$5,'Full Customer List'!$E:$E,'Client Retention'!$AF$35)</f>
        <v>3</v>
      </c>
      <c r="AD38" s="195">
        <f>COUNTIFS('Full Customer List'!$I:$I,'Client Retention'!AD$5,'Full Customer List'!$E:$E,'Client Retention'!$AF$35)</f>
        <v>4</v>
      </c>
    </row>
    <row r="39" spans="2:33">
      <c r="B39" s="265" t="s">
        <v>1531</v>
      </c>
      <c r="E39" s="197">
        <f t="shared" ref="E39" si="103">SUM(J39:U39)</f>
        <v>-2</v>
      </c>
      <c r="F39" s="197">
        <f t="shared" ref="F39" si="104">SUM(V39:AD39)</f>
        <v>-14</v>
      </c>
      <c r="H39" s="197">
        <f t="shared" ref="H39" si="105">SUM(S39:AD39)</f>
        <v>-14</v>
      </c>
      <c r="J39" s="195">
        <f>-COUNTIFS('Full Customer List'!$J:$J,J$1,'Full Customer List'!$E:$E,'Client Retention'!$AF$35,'Full Customer List'!$H:$H,'Client Retention'!$AF39)</f>
        <v>0</v>
      </c>
      <c r="K39" s="195">
        <f>-COUNTIFS('Full Customer List'!$J:$J,K$1,'Full Customer List'!$E:$E,'Client Retention'!$AF$35,'Full Customer List'!$H:$H,'Client Retention'!$AF39)</f>
        <v>0</v>
      </c>
      <c r="L39" s="195">
        <f>-COUNTIFS('Full Customer List'!$J:$J,L$1,'Full Customer List'!$E:$E,'Client Retention'!$AF$35,'Full Customer List'!$H:$H,'Client Retention'!$AF39)</f>
        <v>0</v>
      </c>
      <c r="M39" s="195">
        <f>-COUNTIFS('Full Customer List'!$J:$J,M$1,'Full Customer List'!$E:$E,'Client Retention'!$AF$35,'Full Customer List'!$H:$H,'Client Retention'!$AF39)</f>
        <v>0</v>
      </c>
      <c r="N39" s="195">
        <f>-COUNTIFS('Full Customer List'!$J:$J,N$1,'Full Customer List'!$E:$E,'Client Retention'!$AF$35,'Full Customer List'!$H:$H,'Client Retention'!$AF39)</f>
        <v>0</v>
      </c>
      <c r="O39" s="195">
        <f>-COUNTIFS('Full Customer List'!$J:$J,O$1,'Full Customer List'!$E:$E,'Client Retention'!$AF$35,'Full Customer List'!$H:$H,'Client Retention'!$AF39)</f>
        <v>0</v>
      </c>
      <c r="P39" s="195">
        <f>-COUNTIFS('Full Customer List'!$J:$J,P$1,'Full Customer List'!$E:$E,'Client Retention'!$AF$35,'Full Customer List'!$H:$H,'Client Retention'!$AF39)</f>
        <v>-2</v>
      </c>
      <c r="Q39" s="195">
        <f>-COUNTIFS('Full Customer List'!$J:$J,Q$1,'Full Customer List'!$E:$E,'Client Retention'!$AF$35,'Full Customer List'!$H:$H,'Client Retention'!$AF39)</f>
        <v>0</v>
      </c>
      <c r="R39" s="195">
        <f>-COUNTIFS('Full Customer List'!$J:$J,R$1,'Full Customer List'!$E:$E,'Client Retention'!$AF$35,'Full Customer List'!$H:$H,'Client Retention'!$AF39)</f>
        <v>0</v>
      </c>
      <c r="S39" s="195">
        <f>-COUNTIFS('Full Customer List'!$J:$J,S$1,'Full Customer List'!$E:$E,'Client Retention'!$AF$35,'Full Customer List'!$H:$H,'Client Retention'!$AF39)</f>
        <v>0</v>
      </c>
      <c r="T39" s="195">
        <f>-COUNTIFS('Full Customer List'!$J:$J,T$1,'Full Customer List'!$E:$E,'Client Retention'!$AF$35,'Full Customer List'!$H:$H,'Client Retention'!$AF39)</f>
        <v>0</v>
      </c>
      <c r="U39" s="195">
        <f>-COUNTIFS('Full Customer List'!$J:$J,U$1,'Full Customer List'!$E:$E,'Client Retention'!$AF$35,'Full Customer List'!$H:$H,'Client Retention'!$AF39)</f>
        <v>0</v>
      </c>
      <c r="V39" s="195">
        <f>-COUNTIFS('Full Customer List'!$J:$J,V$1,'Full Customer List'!$E:$E,'Client Retention'!$AF$35,'Full Customer List'!$H:$H,'Client Retention'!$AF39)</f>
        <v>0</v>
      </c>
      <c r="W39" s="195">
        <f>-COUNTIFS('Full Customer List'!$J:$J,W$1,'Full Customer List'!$E:$E,'Client Retention'!$AF$35,'Full Customer List'!$H:$H,'Client Retention'!$AF39)</f>
        <v>-1</v>
      </c>
      <c r="X39" s="195">
        <f>-COUNTIFS('Full Customer List'!$J:$J,X$1,'Full Customer List'!$E:$E,'Client Retention'!$AF$35,'Full Customer List'!$H:$H,'Client Retention'!$AF39)</f>
        <v>-2</v>
      </c>
      <c r="Y39" s="195">
        <f>-COUNTIFS('Full Customer List'!$J:$J,Y$1,'Full Customer List'!$E:$E,'Client Retention'!$AF$35,'Full Customer List'!$H:$H,'Client Retention'!$AF39)</f>
        <v>-2</v>
      </c>
      <c r="Z39" s="195">
        <f>-COUNTIFS('Full Customer List'!$J:$J,Z$1,'Full Customer List'!$E:$E,'Client Retention'!$AF$35,'Full Customer List'!$H:$H,'Client Retention'!$AF39)</f>
        <v>-4</v>
      </c>
      <c r="AA39" s="195">
        <f>-COUNTIFS('Full Customer List'!$J:$J,AA$1,'Full Customer List'!$E:$E,'Client Retention'!$AF$35,'Full Customer List'!$H:$H,'Client Retention'!$AF39)</f>
        <v>-3</v>
      </c>
      <c r="AB39" s="195">
        <f>-COUNTIFS('Full Customer List'!$J:$J,AB$1,'Full Customer List'!$E:$E,'Client Retention'!$AF$35,'Full Customer List'!$H:$H,'Client Retention'!$AF39)</f>
        <v>-2</v>
      </c>
      <c r="AC39" s="195">
        <f>-COUNTIFS('Full Customer List'!$J:$J,AC$1,'Full Customer List'!$E:$E,'Client Retention'!$AF$35,'Full Customer List'!$H:$H,'Client Retention'!$AF39)</f>
        <v>0</v>
      </c>
      <c r="AD39" s="195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5" t="s">
        <v>1532</v>
      </c>
      <c r="E40" s="197">
        <f t="shared" ref="E40" si="106">SUM(J40:U40)</f>
        <v>-1</v>
      </c>
      <c r="F40" s="197">
        <f t="shared" ref="F40" si="107">SUM(V40:AD40)</f>
        <v>-4</v>
      </c>
      <c r="H40" s="197">
        <f t="shared" ref="H40" si="108">SUM(S40:AD40)</f>
        <v>-5</v>
      </c>
      <c r="J40" s="195">
        <f>-COUNTIFS('Full Customer List'!$J:$J,J$1,'Full Customer List'!$E:$E,'Client Retention'!$AF$35,'Full Customer List'!$H:$H,'Client Retention'!$AF40)</f>
        <v>0</v>
      </c>
      <c r="K40" s="195">
        <f>-COUNTIFS('Full Customer List'!$J:$J,K$1,'Full Customer List'!$E:$E,'Client Retention'!$AF$35,'Full Customer List'!$H:$H,'Client Retention'!$AF40)</f>
        <v>0</v>
      </c>
      <c r="L40" s="195">
        <f>-COUNTIFS('Full Customer List'!$J:$J,L$1,'Full Customer List'!$E:$E,'Client Retention'!$AF$35,'Full Customer List'!$H:$H,'Client Retention'!$AF40)</f>
        <v>0</v>
      </c>
      <c r="M40" s="195">
        <f>-COUNTIFS('Full Customer List'!$J:$J,M$1,'Full Customer List'!$E:$E,'Client Retention'!$AF$35,'Full Customer List'!$H:$H,'Client Retention'!$AF40)</f>
        <v>0</v>
      </c>
      <c r="N40" s="195">
        <f>-COUNTIFS('Full Customer List'!$J:$J,N$1,'Full Customer List'!$E:$E,'Client Retention'!$AF$35,'Full Customer List'!$H:$H,'Client Retention'!$AF40)</f>
        <v>0</v>
      </c>
      <c r="O40" s="195">
        <f>-COUNTIFS('Full Customer List'!$J:$J,O$1,'Full Customer List'!$E:$E,'Client Retention'!$AF$35,'Full Customer List'!$H:$H,'Client Retention'!$AF40)</f>
        <v>0</v>
      </c>
      <c r="P40" s="195">
        <f>-COUNTIFS('Full Customer List'!$J:$J,P$1,'Full Customer List'!$E:$E,'Client Retention'!$AF$35,'Full Customer List'!$H:$H,'Client Retention'!$AF40)</f>
        <v>0</v>
      </c>
      <c r="Q40" s="195">
        <f>-COUNTIFS('Full Customer List'!$J:$J,Q$1,'Full Customer List'!$E:$E,'Client Retention'!$AF$35,'Full Customer List'!$H:$H,'Client Retention'!$AF40)</f>
        <v>0</v>
      </c>
      <c r="R40" s="195">
        <f>-COUNTIFS('Full Customer List'!$J:$J,R$1,'Full Customer List'!$E:$E,'Client Retention'!$AF$35,'Full Customer List'!$H:$H,'Client Retention'!$AF40)</f>
        <v>0</v>
      </c>
      <c r="S40" s="195">
        <f>-COUNTIFS('Full Customer List'!$J:$J,S$1,'Full Customer List'!$E:$E,'Client Retention'!$AF$35,'Full Customer List'!$H:$H,'Client Retention'!$AF40)</f>
        <v>0</v>
      </c>
      <c r="T40" s="195">
        <f>-COUNTIFS('Full Customer List'!$J:$J,T$1,'Full Customer List'!$E:$E,'Client Retention'!$AF$35,'Full Customer List'!$H:$H,'Client Retention'!$AF40)</f>
        <v>0</v>
      </c>
      <c r="U40" s="195">
        <f>-COUNTIFS('Full Customer List'!$J:$J,U$1,'Full Customer List'!$E:$E,'Client Retention'!$AF$35,'Full Customer List'!$H:$H,'Client Retention'!$AF40)</f>
        <v>-1</v>
      </c>
      <c r="V40" s="195">
        <f>-COUNTIFS('Full Customer List'!$J:$J,V$1,'Full Customer List'!$E:$E,'Client Retention'!$AF$35,'Full Customer List'!$H:$H,'Client Retention'!$AF40)</f>
        <v>-1</v>
      </c>
      <c r="W40" s="195">
        <f>-COUNTIFS('Full Customer List'!$J:$J,W$1,'Full Customer List'!$E:$E,'Client Retention'!$AF$35,'Full Customer List'!$H:$H,'Client Retention'!$AF40)</f>
        <v>0</v>
      </c>
      <c r="X40" s="195">
        <f>-COUNTIFS('Full Customer List'!$J:$J,X$1,'Full Customer List'!$E:$E,'Client Retention'!$AF$35,'Full Customer List'!$H:$H,'Client Retention'!$AF40)</f>
        <v>0</v>
      </c>
      <c r="Y40" s="195">
        <f>-COUNTIFS('Full Customer List'!$J:$J,Y$1,'Full Customer List'!$E:$E,'Client Retention'!$AF$35,'Full Customer List'!$H:$H,'Client Retention'!$AF40)</f>
        <v>-1</v>
      </c>
      <c r="Z40" s="195">
        <f>-COUNTIFS('Full Customer List'!$J:$J,Z$1,'Full Customer List'!$E:$E,'Client Retention'!$AF$35,'Full Customer List'!$H:$H,'Client Retention'!$AF40)</f>
        <v>-2</v>
      </c>
      <c r="AA40" s="195">
        <f>-COUNTIFS('Full Customer List'!$J:$J,AA$1,'Full Customer List'!$E:$E,'Client Retention'!$AF$35,'Full Customer List'!$H:$H,'Client Retention'!$AF40)</f>
        <v>0</v>
      </c>
      <c r="AB40" s="195">
        <f>-COUNTIFS('Full Customer List'!$J:$J,AB$1,'Full Customer List'!$E:$E,'Client Retention'!$AF$35,'Full Customer List'!$H:$H,'Client Retention'!$AF40)</f>
        <v>0</v>
      </c>
      <c r="AC40" s="195">
        <f>-COUNTIFS('Full Customer List'!$J:$J,AC$1,'Full Customer List'!$E:$E,'Client Retention'!$AF$35,'Full Customer List'!$H:$H,'Client Retention'!$AF40)</f>
        <v>0</v>
      </c>
      <c r="AD40" s="195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5" t="s">
        <v>1533</v>
      </c>
      <c r="E41" s="197">
        <f t="shared" ref="E41" si="109">SUM(J41:U41)</f>
        <v>0</v>
      </c>
      <c r="F41" s="197">
        <f t="shared" ref="F41" si="110">SUM(V41:AD41)</f>
        <v>-7</v>
      </c>
      <c r="H41" s="197">
        <f t="shared" ref="H41" si="111">SUM(S41:AD41)</f>
        <v>-7</v>
      </c>
      <c r="J41" s="195">
        <f>-COUNTIFS('Full Customer List'!$J:$J,J$1,'Full Customer List'!$E:$E,'Client Retention'!$AF$35,'Full Customer List'!$H:$H,'Client Retention'!$AF41)</f>
        <v>0</v>
      </c>
      <c r="K41" s="195">
        <f>-COUNTIFS('Full Customer List'!$J:$J,K$1,'Full Customer List'!$E:$E,'Client Retention'!$AF$35,'Full Customer List'!$H:$H,'Client Retention'!$AF41)</f>
        <v>0</v>
      </c>
      <c r="L41" s="195">
        <f>-COUNTIFS('Full Customer List'!$J:$J,L$1,'Full Customer List'!$E:$E,'Client Retention'!$AF$35,'Full Customer List'!$H:$H,'Client Retention'!$AF41)</f>
        <v>0</v>
      </c>
      <c r="M41" s="195">
        <f>-COUNTIFS('Full Customer List'!$J:$J,M$1,'Full Customer List'!$E:$E,'Client Retention'!$AF$35,'Full Customer List'!$H:$H,'Client Retention'!$AF41)</f>
        <v>0</v>
      </c>
      <c r="N41" s="195">
        <f>-COUNTIFS('Full Customer List'!$J:$J,N$1,'Full Customer List'!$E:$E,'Client Retention'!$AF$35,'Full Customer List'!$H:$H,'Client Retention'!$AF41)</f>
        <v>0</v>
      </c>
      <c r="O41" s="195">
        <f>-COUNTIFS('Full Customer List'!$J:$J,O$1,'Full Customer List'!$E:$E,'Client Retention'!$AF$35,'Full Customer List'!$H:$H,'Client Retention'!$AF41)</f>
        <v>0</v>
      </c>
      <c r="P41" s="195">
        <f>-COUNTIFS('Full Customer List'!$J:$J,P$1,'Full Customer List'!$E:$E,'Client Retention'!$AF$35,'Full Customer List'!$H:$H,'Client Retention'!$AF41)</f>
        <v>0</v>
      </c>
      <c r="Q41" s="195">
        <f>-COUNTIFS('Full Customer List'!$J:$J,Q$1,'Full Customer List'!$E:$E,'Client Retention'!$AF$35,'Full Customer List'!$H:$H,'Client Retention'!$AF41)</f>
        <v>0</v>
      </c>
      <c r="R41" s="195">
        <f>-COUNTIFS('Full Customer List'!$J:$J,R$1,'Full Customer List'!$E:$E,'Client Retention'!$AF$35,'Full Customer List'!$H:$H,'Client Retention'!$AF41)</f>
        <v>0</v>
      </c>
      <c r="S41" s="195">
        <f>-COUNTIFS('Full Customer List'!$J:$J,S$1,'Full Customer List'!$E:$E,'Client Retention'!$AF$35,'Full Customer List'!$H:$H,'Client Retention'!$AF41)</f>
        <v>0</v>
      </c>
      <c r="T41" s="195">
        <f>-COUNTIFS('Full Customer List'!$J:$J,T$1,'Full Customer List'!$E:$E,'Client Retention'!$AF$35,'Full Customer List'!$H:$H,'Client Retention'!$AF41)</f>
        <v>0</v>
      </c>
      <c r="U41" s="195">
        <f>-COUNTIFS('Full Customer List'!$J:$J,U$1,'Full Customer List'!$E:$E,'Client Retention'!$AF$35,'Full Customer List'!$H:$H,'Client Retention'!$AF41)</f>
        <v>0</v>
      </c>
      <c r="V41" s="195">
        <f>-COUNTIFS('Full Customer List'!$J:$J,V$1,'Full Customer List'!$E:$E,'Client Retention'!$AF$35,'Full Customer List'!$H:$H,'Client Retention'!$AF41)</f>
        <v>0</v>
      </c>
      <c r="W41" s="195">
        <f>-COUNTIFS('Full Customer List'!$J:$J,W$1,'Full Customer List'!$E:$E,'Client Retention'!$AF$35,'Full Customer List'!$H:$H,'Client Retention'!$AF41)</f>
        <v>0</v>
      </c>
      <c r="X41" s="195">
        <f>-COUNTIFS('Full Customer List'!$J:$J,X$1,'Full Customer List'!$E:$E,'Client Retention'!$AF$35,'Full Customer List'!$H:$H,'Client Retention'!$AF41)</f>
        <v>-2</v>
      </c>
      <c r="Y41" s="195">
        <f>-COUNTIFS('Full Customer List'!$J:$J,Y$1,'Full Customer List'!$E:$E,'Client Retention'!$AF$35,'Full Customer List'!$H:$H,'Client Retention'!$AF41)</f>
        <v>-1</v>
      </c>
      <c r="Z41" s="195">
        <f>-COUNTIFS('Full Customer List'!$J:$J,Z$1,'Full Customer List'!$E:$E,'Client Retention'!$AF$35,'Full Customer List'!$H:$H,'Client Retention'!$AF41)</f>
        <v>-1</v>
      </c>
      <c r="AA41" s="195">
        <f>-COUNTIFS('Full Customer List'!$J:$J,AA$1,'Full Customer List'!$E:$E,'Client Retention'!$AF$35,'Full Customer List'!$H:$H,'Client Retention'!$AF41)</f>
        <v>0</v>
      </c>
      <c r="AB41" s="195">
        <f>-COUNTIFS('Full Customer List'!$J:$J,AB$1,'Full Customer List'!$E:$E,'Client Retention'!$AF$35,'Full Customer List'!$H:$H,'Client Retention'!$AF41)</f>
        <v>-1</v>
      </c>
      <c r="AC41" s="195">
        <f>-COUNTIFS('Full Customer List'!$J:$J,AC$1,'Full Customer List'!$E:$E,'Client Retention'!$AF$35,'Full Customer List'!$H:$H,'Client Retention'!$AF41)</f>
        <v>-2</v>
      </c>
      <c r="AD41" s="195">
        <f>-COUNTIFS('Full Customer List'!$J:$J,AD$1,'Full Customer List'!$E:$E,'Client Retention'!$AF$35,'Full Customer List'!$H:$H,'Client Retention'!$AF41)</f>
        <v>0</v>
      </c>
      <c r="AF41" s="173" t="s">
        <v>1534</v>
      </c>
    </row>
    <row r="42" spans="2:33" ht="12" customHeight="1">
      <c r="B42" s="255" t="s">
        <v>1535</v>
      </c>
      <c r="C42" s="258"/>
      <c r="D42" s="258"/>
      <c r="E42" s="256">
        <f>SUM(J42:U42)</f>
        <v>-3</v>
      </c>
      <c r="F42" s="256">
        <f>SUM(V42:AD42)</f>
        <v>-25</v>
      </c>
      <c r="G42" s="257"/>
      <c r="H42" s="256">
        <f>SUM(S42:AD42)</f>
        <v>-26</v>
      </c>
      <c r="I42" s="257"/>
      <c r="J42" s="258">
        <f>-COUNTIFS('Full Customer List'!$J:$J,J$1,'Full Customer List'!$E:$E,'Client Retention'!$AF$35)</f>
        <v>0</v>
      </c>
      <c r="K42" s="258">
        <f>-COUNTIFS('Full Customer List'!$J:$J,K$1,'Full Customer List'!$E:$E,'Client Retention'!$AF$35)</f>
        <v>0</v>
      </c>
      <c r="L42" s="258">
        <f>-COUNTIFS('Full Customer List'!$J:$J,L$1,'Full Customer List'!$E:$E,'Client Retention'!$AF$35)</f>
        <v>0</v>
      </c>
      <c r="M42" s="258">
        <f>-COUNTIFS('Full Customer List'!$J:$J,M$1,'Full Customer List'!$E:$E,'Client Retention'!$AF$35)</f>
        <v>0</v>
      </c>
      <c r="N42" s="258">
        <f>-COUNTIFS('Full Customer List'!$J:$J,N$1,'Full Customer List'!$E:$E,'Client Retention'!$AF$35)</f>
        <v>0</v>
      </c>
      <c r="O42" s="258">
        <f>-COUNTIFS('Full Customer List'!$J:$J,O$1,'Full Customer List'!$E:$E,'Client Retention'!$AF$35)</f>
        <v>0</v>
      </c>
      <c r="P42" s="258">
        <f>-COUNTIFS('Full Customer List'!$J:$J,P$1,'Full Customer List'!$E:$E,'Client Retention'!$AF$35)</f>
        <v>-2</v>
      </c>
      <c r="Q42" s="258">
        <f>-COUNTIFS('Full Customer List'!$J:$J,Q$1,'Full Customer List'!$E:$E,'Client Retention'!$AF$35)</f>
        <v>0</v>
      </c>
      <c r="R42" s="258">
        <f>-COUNTIFS('Full Customer List'!$J:$J,R$1,'Full Customer List'!$E:$E,'Client Retention'!$AF$35)</f>
        <v>0</v>
      </c>
      <c r="S42" s="258">
        <f>-COUNTIFS('Full Customer List'!$J:$J,S$1,'Full Customer List'!$E:$E,'Client Retention'!$AF$35)</f>
        <v>0</v>
      </c>
      <c r="T42" s="258">
        <f>-COUNTIFS('Full Customer List'!$J:$J,T$1,'Full Customer List'!$E:$E,'Client Retention'!$AF$35)</f>
        <v>0</v>
      </c>
      <c r="U42" s="258">
        <f>-COUNTIFS('Full Customer List'!$J:$J,U$1,'Full Customer List'!$E:$E,'Client Retention'!$AF$35)</f>
        <v>-1</v>
      </c>
      <c r="V42" s="258">
        <f>-COUNTIFS('Full Customer List'!$J:$J,V$1,'Full Customer List'!$E:$E,'Client Retention'!$AF$35)</f>
        <v>-1</v>
      </c>
      <c r="W42" s="258">
        <f>-COUNTIFS('Full Customer List'!$J:$J,W$1,'Full Customer List'!$E:$E,'Client Retention'!$AF$35)</f>
        <v>-1</v>
      </c>
      <c r="X42" s="258">
        <f>-COUNTIFS('Full Customer List'!$J:$J,X$1,'Full Customer List'!$E:$E,'Client Retention'!$AF$35)</f>
        <v>-4</v>
      </c>
      <c r="Y42" s="258">
        <f>-COUNTIFS('Full Customer List'!$J:$J,Y$1,'Full Customer List'!$E:$E,'Client Retention'!$AF$35)</f>
        <v>-4</v>
      </c>
      <c r="Z42" s="258">
        <f>-COUNTIFS('Full Customer List'!$J:$J,Z$1,'Full Customer List'!$E:$E,'Client Retention'!$AF$35)</f>
        <v>-7</v>
      </c>
      <c r="AA42" s="258">
        <f>-COUNTIFS('Full Customer List'!$J:$J,AA$1,'Full Customer List'!$E:$E,'Client Retention'!$AF$35)</f>
        <v>-3</v>
      </c>
      <c r="AB42" s="258">
        <f>-COUNTIFS('Full Customer List'!$J:$J,AB$1,'Full Customer List'!$E:$E,'Client Retention'!$AF$35)</f>
        <v>-3</v>
      </c>
      <c r="AC42" s="258">
        <f>-COUNTIFS('Full Customer List'!$J:$J,AC$1,'Full Customer List'!$E:$E,'Client Retention'!$AF$35)</f>
        <v>-2</v>
      </c>
      <c r="AD42" s="258">
        <f>-COUNTIFS('Full Customer List'!$J:$J,AD$1,'Full Customer List'!$E:$E,'Client Retention'!$AF$35)</f>
        <v>0</v>
      </c>
    </row>
    <row r="43" spans="2:33">
      <c r="B43" s="259" t="s">
        <v>1318</v>
      </c>
      <c r="C43" s="260"/>
      <c r="D43" s="260"/>
      <c r="E43" s="260">
        <f>+F37</f>
        <v>124</v>
      </c>
      <c r="F43" s="261">
        <f>+$AD43</f>
        <v>147</v>
      </c>
      <c r="H43" s="264">
        <f>+$AD43</f>
        <v>147</v>
      </c>
      <c r="J43" s="262">
        <f t="shared" ref="J43:AC43" si="112">+K37</f>
        <v>75</v>
      </c>
      <c r="K43" s="260">
        <f t="shared" si="112"/>
        <v>77</v>
      </c>
      <c r="L43" s="260">
        <f t="shared" si="112"/>
        <v>83</v>
      </c>
      <c r="M43" s="260">
        <f t="shared" si="112"/>
        <v>90</v>
      </c>
      <c r="N43" s="260">
        <f t="shared" si="112"/>
        <v>95</v>
      </c>
      <c r="O43" s="260">
        <f t="shared" si="112"/>
        <v>98</v>
      </c>
      <c r="P43" s="260">
        <f t="shared" si="112"/>
        <v>101</v>
      </c>
      <c r="Q43" s="260">
        <f t="shared" si="112"/>
        <v>105</v>
      </c>
      <c r="R43" s="260">
        <f t="shared" si="112"/>
        <v>109</v>
      </c>
      <c r="S43" s="262">
        <f t="shared" si="112"/>
        <v>113</v>
      </c>
      <c r="T43" s="260">
        <f t="shared" si="112"/>
        <v>118</v>
      </c>
      <c r="U43" s="260">
        <f t="shared" si="112"/>
        <v>124</v>
      </c>
      <c r="V43" s="260">
        <f t="shared" si="112"/>
        <v>130</v>
      </c>
      <c r="W43" s="260">
        <f t="shared" si="112"/>
        <v>135</v>
      </c>
      <c r="X43" s="260">
        <f t="shared" si="112"/>
        <v>136</v>
      </c>
      <c r="Y43" s="260">
        <f t="shared" si="112"/>
        <v>140</v>
      </c>
      <c r="Z43" s="260">
        <f t="shared" si="112"/>
        <v>140</v>
      </c>
      <c r="AA43" s="260">
        <f t="shared" si="112"/>
        <v>141</v>
      </c>
      <c r="AB43" s="260">
        <f t="shared" si="112"/>
        <v>142</v>
      </c>
      <c r="AC43" s="260">
        <f t="shared" si="112"/>
        <v>143</v>
      </c>
      <c r="AD43" s="263">
        <f>COUNTIFS('Full Customer List'!$C:$C,"Active",'Full Customer List'!$E:$E,'Client Retention'!$AF35)</f>
        <v>147</v>
      </c>
    </row>
    <row r="44" spans="2:33" ht="3.95" customHeight="1">
      <c r="B44" s="180"/>
      <c r="C44" s="232"/>
      <c r="D44" s="232"/>
      <c r="E44" s="232"/>
      <c r="F44" s="232"/>
      <c r="H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3"/>
      <c r="AC44" s="233"/>
      <c r="AD44" s="233"/>
    </row>
    <row r="45" spans="2:33">
      <c r="B45" s="259" t="s">
        <v>1854</v>
      </c>
      <c r="C45" s="260"/>
      <c r="D45" s="260"/>
      <c r="E45" s="260">
        <f>AVERAGE(E37,E43)</f>
        <v>96</v>
      </c>
      <c r="F45" s="261">
        <f>AVERAGE(F37,F43)</f>
        <v>135.5</v>
      </c>
      <c r="H45" s="264">
        <f>AVERAGE(H37,H43)</f>
        <v>128</v>
      </c>
      <c r="J45" s="262">
        <f>AVERAGE(J37,J43)</f>
        <v>71.5</v>
      </c>
      <c r="K45" s="260">
        <f t="shared" ref="K45:AD45" si="113">AVERAGE(K37,K43)</f>
        <v>76</v>
      </c>
      <c r="L45" s="260">
        <f t="shared" si="113"/>
        <v>80</v>
      </c>
      <c r="M45" s="260">
        <f t="shared" si="113"/>
        <v>86.5</v>
      </c>
      <c r="N45" s="260">
        <f t="shared" si="113"/>
        <v>92.5</v>
      </c>
      <c r="O45" s="260">
        <f t="shared" si="113"/>
        <v>96.5</v>
      </c>
      <c r="P45" s="260">
        <f t="shared" si="113"/>
        <v>99.5</v>
      </c>
      <c r="Q45" s="260">
        <f t="shared" si="113"/>
        <v>103</v>
      </c>
      <c r="R45" s="260">
        <f t="shared" si="113"/>
        <v>107</v>
      </c>
      <c r="S45" s="262">
        <f t="shared" si="113"/>
        <v>111</v>
      </c>
      <c r="T45" s="260">
        <f t="shared" si="113"/>
        <v>115.5</v>
      </c>
      <c r="U45" s="260">
        <f t="shared" si="113"/>
        <v>121</v>
      </c>
      <c r="V45" s="260">
        <f t="shared" si="113"/>
        <v>127</v>
      </c>
      <c r="W45" s="260">
        <f t="shared" si="113"/>
        <v>132.5</v>
      </c>
      <c r="X45" s="260">
        <f t="shared" si="113"/>
        <v>135.5</v>
      </c>
      <c r="Y45" s="260">
        <f t="shared" si="113"/>
        <v>138</v>
      </c>
      <c r="Z45" s="260">
        <f t="shared" si="113"/>
        <v>140</v>
      </c>
      <c r="AA45" s="260">
        <f t="shared" si="113"/>
        <v>140.5</v>
      </c>
      <c r="AB45" s="260">
        <f t="shared" si="113"/>
        <v>141.5</v>
      </c>
      <c r="AC45" s="260">
        <f t="shared" si="113"/>
        <v>142.5</v>
      </c>
      <c r="AD45" s="263">
        <f t="shared" si="113"/>
        <v>145</v>
      </c>
    </row>
    <row r="46" spans="2:33" ht="3.95" customHeight="1">
      <c r="B46" s="180"/>
      <c r="C46" s="232"/>
      <c r="D46" s="232"/>
      <c r="E46" s="232"/>
      <c r="F46" s="232"/>
      <c r="H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3"/>
      <c r="AC46" s="233"/>
      <c r="AD46" s="233"/>
    </row>
    <row r="47" spans="2:33">
      <c r="B47" s="234" t="s">
        <v>1521</v>
      </c>
      <c r="C47" s="235"/>
      <c r="D47" s="235"/>
      <c r="E47" s="236">
        <f>(E38+E37)/E37-1</f>
        <v>0.86764705882352944</v>
      </c>
      <c r="F47" s="247">
        <f>(F38+F37)/F37-1</f>
        <v>0.38709677419354849</v>
      </c>
      <c r="G47" s="248"/>
      <c r="H47" s="249">
        <f>(H38+H37)/H37-1</f>
        <v>0.58715596330275233</v>
      </c>
      <c r="J47" s="246">
        <f t="shared" ref="J47:AD47" si="114">(J38+J37)/J37-1</f>
        <v>0.10294117647058831</v>
      </c>
      <c r="K47" s="236">
        <f t="shared" si="114"/>
        <v>2.6666666666666616E-2</v>
      </c>
      <c r="L47" s="236">
        <f t="shared" si="114"/>
        <v>7.7922077922077948E-2</v>
      </c>
      <c r="M47" s="236">
        <f t="shared" si="114"/>
        <v>8.43373493975903E-2</v>
      </c>
      <c r="N47" s="236">
        <f t="shared" si="114"/>
        <v>5.555555555555558E-2</v>
      </c>
      <c r="O47" s="236">
        <f t="shared" si="114"/>
        <v>3.1578947368421151E-2</v>
      </c>
      <c r="P47" s="236">
        <f t="shared" si="114"/>
        <v>5.1020408163265252E-2</v>
      </c>
      <c r="Q47" s="236">
        <f t="shared" si="114"/>
        <v>3.9603960396039639E-2</v>
      </c>
      <c r="R47" s="236">
        <f t="shared" si="114"/>
        <v>3.8095238095238182E-2</v>
      </c>
      <c r="S47" s="246">
        <f t="shared" si="114"/>
        <v>3.669724770642202E-2</v>
      </c>
      <c r="T47" s="236">
        <f t="shared" si="114"/>
        <v>4.4247787610619538E-2</v>
      </c>
      <c r="U47" s="236">
        <f t="shared" si="114"/>
        <v>5.9322033898305149E-2</v>
      </c>
      <c r="V47" s="236">
        <f t="shared" si="114"/>
        <v>5.6451612903225756E-2</v>
      </c>
      <c r="W47" s="236">
        <f t="shared" si="114"/>
        <v>4.6153846153846212E-2</v>
      </c>
      <c r="X47" s="236">
        <f t="shared" si="114"/>
        <v>3.7037037037036979E-2</v>
      </c>
      <c r="Y47" s="236">
        <f t="shared" si="114"/>
        <v>5.8823529411764719E-2</v>
      </c>
      <c r="Z47" s="236">
        <f t="shared" si="114"/>
        <v>5.0000000000000044E-2</v>
      </c>
      <c r="AA47" s="236">
        <f t="shared" si="114"/>
        <v>2.857142857142847E-2</v>
      </c>
      <c r="AB47" s="236">
        <f t="shared" si="114"/>
        <v>2.8368794326241176E-2</v>
      </c>
      <c r="AC47" s="236">
        <f t="shared" si="114"/>
        <v>2.1126760563380254E-2</v>
      </c>
      <c r="AD47" s="247">
        <f t="shared" si="114"/>
        <v>2.7972027972027913E-2</v>
      </c>
    </row>
    <row r="48" spans="2:33">
      <c r="B48" s="237" t="s">
        <v>1522</v>
      </c>
      <c r="C48" s="238"/>
      <c r="D48" s="238"/>
      <c r="E48" s="239">
        <f>(E42+E45)/E45-1</f>
        <v>-3.125E-2</v>
      </c>
      <c r="F48" s="240">
        <f>(F42+F45)/F45-1</f>
        <v>-0.18450184501845024</v>
      </c>
      <c r="G48" s="248"/>
      <c r="H48" s="242">
        <f>(H42+H45)/H45-1</f>
        <v>-0.203125</v>
      </c>
      <c r="J48" s="241">
        <f t="shared" ref="J48:AD48" si="115">(J42+J45)/J45-1</f>
        <v>0</v>
      </c>
      <c r="K48" s="239">
        <f t="shared" si="115"/>
        <v>0</v>
      </c>
      <c r="L48" s="239">
        <f t="shared" si="115"/>
        <v>0</v>
      </c>
      <c r="M48" s="239">
        <f t="shared" si="115"/>
        <v>0</v>
      </c>
      <c r="N48" s="239">
        <f t="shared" si="115"/>
        <v>0</v>
      </c>
      <c r="O48" s="239">
        <f t="shared" si="115"/>
        <v>0</v>
      </c>
      <c r="P48" s="239">
        <f t="shared" si="115"/>
        <v>-2.010050251256279E-2</v>
      </c>
      <c r="Q48" s="239">
        <f t="shared" si="115"/>
        <v>0</v>
      </c>
      <c r="R48" s="239">
        <f t="shared" si="115"/>
        <v>0</v>
      </c>
      <c r="S48" s="241">
        <f t="shared" si="115"/>
        <v>0</v>
      </c>
      <c r="T48" s="239">
        <f t="shared" si="115"/>
        <v>0</v>
      </c>
      <c r="U48" s="239">
        <f t="shared" si="115"/>
        <v>-8.2644628099173278E-3</v>
      </c>
      <c r="V48" s="239">
        <f t="shared" si="115"/>
        <v>-7.8740157480314821E-3</v>
      </c>
      <c r="W48" s="239">
        <f t="shared" si="115"/>
        <v>-7.547169811320753E-3</v>
      </c>
      <c r="X48" s="239">
        <f t="shared" si="115"/>
        <v>-2.9520295202952074E-2</v>
      </c>
      <c r="Y48" s="239">
        <f t="shared" si="115"/>
        <v>-2.8985507246376829E-2</v>
      </c>
      <c r="Z48" s="239">
        <f t="shared" si="115"/>
        <v>-5.0000000000000044E-2</v>
      </c>
      <c r="AA48" s="239">
        <f t="shared" si="115"/>
        <v>-2.1352313167259829E-2</v>
      </c>
      <c r="AB48" s="239">
        <f t="shared" si="115"/>
        <v>-2.1201413427561877E-2</v>
      </c>
      <c r="AC48" s="239">
        <f t="shared" si="115"/>
        <v>-1.4035087719298289E-2</v>
      </c>
      <c r="AD48" s="240">
        <f t="shared" si="115"/>
        <v>0</v>
      </c>
    </row>
    <row r="49" spans="2:34" ht="3.95" customHeight="1"/>
    <row r="50" spans="2:34" ht="24">
      <c r="B50" s="159" t="s">
        <v>1311</v>
      </c>
      <c r="C50" s="176" t="s">
        <v>1319</v>
      </c>
      <c r="D50" s="176" t="s">
        <v>3</v>
      </c>
      <c r="E50" s="176" t="s">
        <v>4</v>
      </c>
      <c r="F50" s="176" t="s">
        <v>1320</v>
      </c>
      <c r="G50" s="193"/>
      <c r="H50" s="176" t="s">
        <v>1530</v>
      </c>
      <c r="J50" s="192">
        <v>45658</v>
      </c>
      <c r="K50" s="192">
        <f t="shared" ref="K50" si="116">EOMONTH(J50,0)+1</f>
        <v>45689</v>
      </c>
      <c r="L50" s="192">
        <f t="shared" ref="L50" si="117">EOMONTH(K50,0)+1</f>
        <v>45717</v>
      </c>
      <c r="M50" s="192">
        <f t="shared" ref="M50" si="118">EOMONTH(L50,0)+1</f>
        <v>45748</v>
      </c>
      <c r="N50" s="192">
        <f t="shared" ref="N50" si="119">EOMONTH(M50,0)+1</f>
        <v>45778</v>
      </c>
      <c r="O50" s="192">
        <f t="shared" ref="O50" si="120">EOMONTH(N50,0)+1</f>
        <v>45809</v>
      </c>
      <c r="P50" s="192">
        <f t="shared" ref="P50" si="121">EOMONTH(O50,0)+1</f>
        <v>45839</v>
      </c>
      <c r="Q50" s="192">
        <v>45870</v>
      </c>
      <c r="R50" s="192">
        <f t="shared" ref="R50" si="122">EOMONTH(Q50,0)+1</f>
        <v>45901</v>
      </c>
      <c r="S50" s="192">
        <f t="shared" ref="S50" si="123">EOMONTH(R50,0)+1</f>
        <v>45931</v>
      </c>
      <c r="T50" s="192">
        <f t="shared" ref="T50" si="124">EOMONTH(S50,0)+1</f>
        <v>45962</v>
      </c>
      <c r="U50" s="192">
        <f t="shared" ref="U50" si="125">EOMONTH(T50,0)+1</f>
        <v>45992</v>
      </c>
      <c r="V50" s="192">
        <f t="shared" ref="V50" si="126">EOMONTH(U50,0)+1</f>
        <v>46023</v>
      </c>
      <c r="W50" s="192">
        <f t="shared" ref="W50" si="127">EOMONTH(V50,0)+1</f>
        <v>46054</v>
      </c>
      <c r="X50" s="192">
        <f t="shared" ref="X50" si="128">EOMONTH(W50,0)+1</f>
        <v>46082</v>
      </c>
      <c r="Y50" s="192">
        <f t="shared" ref="Y50" si="129">EOMONTH(X50,0)+1</f>
        <v>46113</v>
      </c>
      <c r="Z50" s="192">
        <f t="shared" ref="Z50" si="130">EOMONTH(Y50,0)+1</f>
        <v>46143</v>
      </c>
      <c r="AA50" s="192">
        <f t="shared" ref="AA50" si="131">EOMONTH(Z50,0)+1</f>
        <v>46174</v>
      </c>
      <c r="AB50" s="192">
        <f t="shared" ref="AB50" si="132">EOMONTH(AA50,0)+1</f>
        <v>46204</v>
      </c>
      <c r="AC50" s="192">
        <f t="shared" ref="AC50" si="133">EOMONTH(AB50,0)+1</f>
        <v>46235</v>
      </c>
      <c r="AD50" s="192">
        <f t="shared" ref="AD50" si="134">EOMONTH(AC50,0)+1</f>
        <v>46266</v>
      </c>
      <c r="AE50" s="187"/>
      <c r="AF50" s="220" t="s">
        <v>1178</v>
      </c>
      <c r="AG50" s="187"/>
      <c r="AH50" s="187"/>
    </row>
    <row r="51" spans="2:34">
      <c r="B51" s="186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1316</v>
      </c>
      <c r="C52" s="182"/>
      <c r="D52" s="182"/>
      <c r="E52" s="182">
        <f>+E58-E53-E57</f>
        <v>15</v>
      </c>
      <c r="F52" s="182">
        <f>+F58-F53-F57</f>
        <v>30</v>
      </c>
      <c r="H52" s="182">
        <f t="shared" ref="H52" si="135">+H58-H53-H57</f>
        <v>25</v>
      </c>
      <c r="J52" s="182">
        <f t="shared" ref="J52:Z52" si="136">+J58-J53-J57</f>
        <v>15</v>
      </c>
      <c r="K52" s="182">
        <f t="shared" si="136"/>
        <v>17</v>
      </c>
      <c r="L52" s="182">
        <f t="shared" si="136"/>
        <v>17</v>
      </c>
      <c r="M52" s="182">
        <f t="shared" si="136"/>
        <v>17</v>
      </c>
      <c r="N52" s="182">
        <f t="shared" si="136"/>
        <v>18</v>
      </c>
      <c r="O52" s="182">
        <f t="shared" si="136"/>
        <v>20</v>
      </c>
      <c r="P52" s="182">
        <f t="shared" si="136"/>
        <v>22</v>
      </c>
      <c r="Q52" s="182">
        <f t="shared" si="136"/>
        <v>23</v>
      </c>
      <c r="R52" s="182">
        <f t="shared" si="136"/>
        <v>25</v>
      </c>
      <c r="S52" s="182">
        <f t="shared" si="136"/>
        <v>25</v>
      </c>
      <c r="T52" s="182">
        <f t="shared" si="136"/>
        <v>26</v>
      </c>
      <c r="U52" s="182">
        <f t="shared" si="136"/>
        <v>27</v>
      </c>
      <c r="V52" s="182">
        <f t="shared" si="136"/>
        <v>30</v>
      </c>
      <c r="W52" s="182">
        <f t="shared" si="136"/>
        <v>33</v>
      </c>
      <c r="X52" s="182">
        <f t="shared" si="136"/>
        <v>36</v>
      </c>
      <c r="Y52" s="182">
        <f t="shared" si="136"/>
        <v>36</v>
      </c>
      <c r="Z52" s="182">
        <f t="shared" si="136"/>
        <v>37</v>
      </c>
      <c r="AA52" s="182">
        <f>+AA58-AA53-AA57</f>
        <v>30</v>
      </c>
      <c r="AB52" s="182">
        <f>+AB58-AB53-AB57</f>
        <v>29</v>
      </c>
      <c r="AC52" s="182">
        <f t="shared" ref="AC52:AD52" si="137">+AC58-AC53-AC57</f>
        <v>30</v>
      </c>
      <c r="AD52" s="182">
        <f t="shared" si="137"/>
        <v>30</v>
      </c>
    </row>
    <row r="53" spans="2:34">
      <c r="B53" s="191" t="s">
        <v>1317</v>
      </c>
      <c r="E53" s="197">
        <f>SUM(J53:U53)</f>
        <v>15</v>
      </c>
      <c r="F53" s="197">
        <f>SUM(V53:AD53)</f>
        <v>10</v>
      </c>
      <c r="H53" s="197">
        <f>SUM(S53:AD53)</f>
        <v>15</v>
      </c>
      <c r="J53" s="195">
        <f>COUNTIFS('Full Customer List'!$I:$I,'Client Retention'!J$5,'Full Customer List'!$E:$E,$AF50)</f>
        <v>2</v>
      </c>
      <c r="K53" s="195">
        <f>COUNTIFS('Full Customer List'!$I:$I,'Client Retention'!K$5,'Full Customer List'!$E:$E,$AF50)</f>
        <v>0</v>
      </c>
      <c r="L53" s="195">
        <f>COUNTIFS('Full Customer List'!$I:$I,'Client Retention'!L$5,'Full Customer List'!$E:$E,$AF50)</f>
        <v>0</v>
      </c>
      <c r="M53" s="195">
        <f>COUNTIFS('Full Customer List'!$I:$I,'Client Retention'!M$5,'Full Customer List'!$E:$E,$AF50)</f>
        <v>1</v>
      </c>
      <c r="N53" s="195">
        <f>COUNTIFS('Full Customer List'!$I:$I,'Client Retention'!N$5,'Full Customer List'!$E:$E,$AF50)</f>
        <v>2</v>
      </c>
      <c r="O53" s="195">
        <f>COUNTIFS('Full Customer List'!$I:$I,'Client Retention'!O$5,'Full Customer List'!$E:$E,$AF50)</f>
        <v>2</v>
      </c>
      <c r="P53" s="195">
        <f>COUNTIFS('Full Customer List'!$I:$I,'Client Retention'!P$5,'Full Customer List'!$E:$E,$AF50)</f>
        <v>1</v>
      </c>
      <c r="Q53" s="195">
        <f>COUNTIFS('Full Customer List'!$I:$I,'Client Retention'!Q$5,'Full Customer List'!$E:$E,$AF50)</f>
        <v>2</v>
      </c>
      <c r="R53" s="195">
        <f>COUNTIFS('Full Customer List'!$I:$I,'Client Retention'!R$5,'Full Customer List'!$E:$E,$AF50)</f>
        <v>0</v>
      </c>
      <c r="S53" s="195">
        <f>COUNTIFS('Full Customer List'!$I:$I,'Client Retention'!S$5,'Full Customer List'!$E:$E,$AF50)</f>
        <v>1</v>
      </c>
      <c r="T53" s="195">
        <f>COUNTIFS('Full Customer List'!$I:$I,'Client Retention'!T$5,'Full Customer List'!$E:$E,$AF50)</f>
        <v>1</v>
      </c>
      <c r="U53" s="195">
        <f>COUNTIFS('Full Customer List'!$I:$I,'Client Retention'!U$5,'Full Customer List'!$E:$E,$AF50)</f>
        <v>3</v>
      </c>
      <c r="V53" s="195">
        <f>COUNTIFS('Full Customer List'!$I:$I,'Client Retention'!V$5,'Full Customer List'!$E:$E,$AF50)</f>
        <v>3</v>
      </c>
      <c r="W53" s="195">
        <f>COUNTIFS('Full Customer List'!$I:$I,'Client Retention'!W$5,'Full Customer List'!$E:$E,$AF50)</f>
        <v>3</v>
      </c>
      <c r="X53" s="195">
        <f>COUNTIFS('Full Customer List'!$I:$I,'Client Retention'!X$5,'Full Customer List'!$E:$E,$AF50)</f>
        <v>1</v>
      </c>
      <c r="Y53" s="195">
        <f>COUNTIFS('Full Customer List'!$I:$I,'Client Retention'!Y$5,'Full Customer List'!$E:$E,$AF50)</f>
        <v>2</v>
      </c>
      <c r="Z53" s="195">
        <f>COUNTIFS('Full Customer List'!$I:$I,'Client Retention'!Z$5,'Full Customer List'!$E:$E,$AF50)</f>
        <v>0</v>
      </c>
      <c r="AA53" s="195">
        <f>COUNTIFS('Full Customer List'!$I:$I,'Client Retention'!AA$5,'Full Customer List'!$E:$E,$AF50)</f>
        <v>0</v>
      </c>
      <c r="AB53" s="195">
        <f>COUNTIFS('Full Customer List'!$I:$I,'Client Retention'!AB$5,'Full Customer List'!$E:$E,$AF50)</f>
        <v>1</v>
      </c>
      <c r="AC53" s="195">
        <f>COUNTIFS('Full Customer List'!$I:$I,'Client Retention'!AC$5,'Full Customer List'!$E:$E,$AF50)</f>
        <v>0</v>
      </c>
      <c r="AD53" s="195">
        <f>COUNTIFS('Full Customer List'!$I:$I,'Client Retention'!AD$5,'Full Customer List'!$E:$E,$AF50)</f>
        <v>0</v>
      </c>
    </row>
    <row r="54" spans="2:34">
      <c r="B54" s="265" t="s">
        <v>1531</v>
      </c>
      <c r="E54" s="197">
        <f t="shared" ref="E54:E56" si="138">SUM(J54:U54)</f>
        <v>0</v>
      </c>
      <c r="F54" s="197">
        <f t="shared" ref="F54:F56" si="139">SUM(V54:AD54)</f>
        <v>-9</v>
      </c>
      <c r="H54" s="197">
        <f t="shared" ref="H54:H56" si="140">SUM(S54:AD54)</f>
        <v>-9</v>
      </c>
      <c r="J54" s="195">
        <f>-COUNTIFS('Full Customer List'!$J:$J,J$1,'Full Customer List'!$E:$E,$AF50,'Full Customer List'!$H:$H,'Client Retention'!$AF54)</f>
        <v>0</v>
      </c>
      <c r="K54" s="195">
        <f>-COUNTIFS('Full Customer List'!$J:$J,K$1,'Full Customer List'!$E:$E,$AF50,'Full Customer List'!$H:$H,'Client Retention'!$AF54)</f>
        <v>0</v>
      </c>
      <c r="L54" s="195">
        <f>-COUNTIFS('Full Customer List'!$J:$J,L$1,'Full Customer List'!$E:$E,$AF50,'Full Customer List'!$H:$H,'Client Retention'!$AF54)</f>
        <v>0</v>
      </c>
      <c r="M54" s="195">
        <f>-COUNTIFS('Full Customer List'!$J:$J,M$1,'Full Customer List'!$E:$E,$AF50,'Full Customer List'!$H:$H,'Client Retention'!$AF54)</f>
        <v>0</v>
      </c>
      <c r="N54" s="195">
        <f>-COUNTIFS('Full Customer List'!$J:$J,N$1,'Full Customer List'!$E:$E,$AF50,'Full Customer List'!$H:$H,'Client Retention'!$AF54)</f>
        <v>0</v>
      </c>
      <c r="O54" s="195">
        <f>-COUNTIFS('Full Customer List'!$J:$J,O$1,'Full Customer List'!$E:$E,$AF50,'Full Customer List'!$H:$H,'Client Retention'!$AF54)</f>
        <v>0</v>
      </c>
      <c r="P54" s="195">
        <f>-COUNTIFS('Full Customer List'!$J:$J,P$1,'Full Customer List'!$E:$E,$AF50,'Full Customer List'!$H:$H,'Client Retention'!$AF54)</f>
        <v>0</v>
      </c>
      <c r="Q54" s="195">
        <f>-COUNTIFS('Full Customer List'!$J:$J,Q$1,'Full Customer List'!$E:$E,$AF50,'Full Customer List'!$H:$H,'Client Retention'!$AF54)</f>
        <v>0</v>
      </c>
      <c r="R54" s="195">
        <f>-COUNTIFS('Full Customer List'!$J:$J,R$1,'Full Customer List'!$E:$E,$AF50,'Full Customer List'!$H:$H,'Client Retention'!$AF54)</f>
        <v>0</v>
      </c>
      <c r="S54" s="195">
        <f>-COUNTIFS('Full Customer List'!$J:$J,S$1,'Full Customer List'!$E:$E,$AF50,'Full Customer List'!$H:$H,'Client Retention'!$AF54)</f>
        <v>0</v>
      </c>
      <c r="T54" s="195">
        <f>-COUNTIFS('Full Customer List'!$J:$J,T$1,'Full Customer List'!$E:$E,$AF50,'Full Customer List'!$H:$H,'Client Retention'!$AF54)</f>
        <v>0</v>
      </c>
      <c r="U54" s="195">
        <f>-COUNTIFS('Full Customer List'!$J:$J,U$1,'Full Customer List'!$E:$E,$AF50,'Full Customer List'!$H:$H,'Client Retention'!$AF54)</f>
        <v>0</v>
      </c>
      <c r="V54" s="195">
        <f>-COUNTIFS('Full Customer List'!$J:$J,V$1,'Full Customer List'!$E:$E,$AF50,'Full Customer List'!$H:$H,'Client Retention'!$AF54)</f>
        <v>0</v>
      </c>
      <c r="W54" s="195">
        <f>-COUNTIFS('Full Customer List'!$J:$J,W$1,'Full Customer List'!$E:$E,$AF50,'Full Customer List'!$H:$H,'Client Retention'!$AF54)</f>
        <v>0</v>
      </c>
      <c r="X54" s="195">
        <f>-COUNTIFS('Full Customer List'!$J:$J,X$1,'Full Customer List'!$E:$E,$AF50,'Full Customer List'!$H:$H,'Client Retention'!$AF54)</f>
        <v>0</v>
      </c>
      <c r="Y54" s="195">
        <f>-COUNTIFS('Full Customer List'!$J:$J,Y$1,'Full Customer List'!$E:$E,$AF50,'Full Customer List'!$H:$H,'Client Retention'!$AF54)</f>
        <v>-1</v>
      </c>
      <c r="Z54" s="195">
        <f>-COUNTIFS('Full Customer List'!$J:$J,Z$1,'Full Customer List'!$E:$E,$AF50,'Full Customer List'!$H:$H,'Client Retention'!$AF54)</f>
        <v>-7</v>
      </c>
      <c r="AA54" s="195">
        <f>-COUNTIFS('Full Customer List'!$J:$J,AA$1,'Full Customer List'!$E:$E,$AF50,'Full Customer List'!$H:$H,'Client Retention'!$AF54)</f>
        <v>-1</v>
      </c>
      <c r="AB54" s="195">
        <f>-COUNTIFS('Full Customer List'!$J:$J,AB$1,'Full Customer List'!$E:$E,$AF50,'Full Customer List'!$H:$H,'Client Retention'!$AF54)</f>
        <v>0</v>
      </c>
      <c r="AC54" s="195">
        <f>-COUNTIFS('Full Customer List'!$J:$J,AC$1,'Full Customer List'!$E:$E,$AF50,'Full Customer List'!$H:$H,'Client Retention'!$AF54)</f>
        <v>0</v>
      </c>
      <c r="AD54" s="195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5" t="s">
        <v>1532</v>
      </c>
      <c r="E55" s="197">
        <f t="shared" si="138"/>
        <v>0</v>
      </c>
      <c r="F55" s="197">
        <f t="shared" si="139"/>
        <v>0</v>
      </c>
      <c r="H55" s="197">
        <f t="shared" si="140"/>
        <v>0</v>
      </c>
      <c r="J55" s="195">
        <f>-COUNTIFS('Full Customer List'!$J:$J,J$1,'Full Customer List'!$E:$E,$AF50,'Full Customer List'!$H:$H,'Client Retention'!$AF55)</f>
        <v>0</v>
      </c>
      <c r="K55" s="195">
        <f>-COUNTIFS('Full Customer List'!$J:$J,K$1,'Full Customer List'!$E:$E,$AF50,'Full Customer List'!$H:$H,'Client Retention'!$AF55)</f>
        <v>0</v>
      </c>
      <c r="L55" s="195">
        <f>-COUNTIFS('Full Customer List'!$J:$J,L$1,'Full Customer List'!$E:$E,$AF50,'Full Customer List'!$H:$H,'Client Retention'!$AF55)</f>
        <v>0</v>
      </c>
      <c r="M55" s="195">
        <f>-COUNTIFS('Full Customer List'!$J:$J,M$1,'Full Customer List'!$E:$E,$AF50,'Full Customer List'!$H:$H,'Client Retention'!$AF55)</f>
        <v>0</v>
      </c>
      <c r="N55" s="195">
        <f>-COUNTIFS('Full Customer List'!$J:$J,N$1,'Full Customer List'!$E:$E,$AF50,'Full Customer List'!$H:$H,'Client Retention'!$AF55)</f>
        <v>0</v>
      </c>
      <c r="O55" s="195">
        <f>-COUNTIFS('Full Customer List'!$J:$J,O$1,'Full Customer List'!$E:$E,$AF50,'Full Customer List'!$H:$H,'Client Retention'!$AF55)</f>
        <v>0</v>
      </c>
      <c r="P55" s="195">
        <f>-COUNTIFS('Full Customer List'!$J:$J,P$1,'Full Customer List'!$E:$E,$AF50,'Full Customer List'!$H:$H,'Client Retention'!$AF55)</f>
        <v>0</v>
      </c>
      <c r="Q55" s="195">
        <f>-COUNTIFS('Full Customer List'!$J:$J,Q$1,'Full Customer List'!$E:$E,$AF50,'Full Customer List'!$H:$H,'Client Retention'!$AF55)</f>
        <v>0</v>
      </c>
      <c r="R55" s="195">
        <f>-COUNTIFS('Full Customer List'!$J:$J,R$1,'Full Customer List'!$E:$E,$AF50,'Full Customer List'!$H:$H,'Client Retention'!$AF55)</f>
        <v>0</v>
      </c>
      <c r="S55" s="195">
        <f>-COUNTIFS('Full Customer List'!$J:$J,S$1,'Full Customer List'!$E:$E,$AF50,'Full Customer List'!$H:$H,'Client Retention'!$AF55)</f>
        <v>0</v>
      </c>
      <c r="T55" s="195">
        <f>-COUNTIFS('Full Customer List'!$J:$J,T$1,'Full Customer List'!$E:$E,$AF50,'Full Customer List'!$H:$H,'Client Retention'!$AF55)</f>
        <v>0</v>
      </c>
      <c r="U55" s="195">
        <f>-COUNTIFS('Full Customer List'!$J:$J,U$1,'Full Customer List'!$E:$E,$AF50,'Full Customer List'!$H:$H,'Client Retention'!$AF55)</f>
        <v>0</v>
      </c>
      <c r="V55" s="195">
        <f>-COUNTIFS('Full Customer List'!$J:$J,V$1,'Full Customer List'!$E:$E,$AF50,'Full Customer List'!$H:$H,'Client Retention'!$AF55)</f>
        <v>0</v>
      </c>
      <c r="W55" s="195">
        <f>-COUNTIFS('Full Customer List'!$J:$J,W$1,'Full Customer List'!$E:$E,$AF50,'Full Customer List'!$H:$H,'Client Retention'!$AF55)</f>
        <v>0</v>
      </c>
      <c r="X55" s="195">
        <f>-COUNTIFS('Full Customer List'!$J:$J,X$1,'Full Customer List'!$E:$E,$AF50,'Full Customer List'!$H:$H,'Client Retention'!$AF55)</f>
        <v>0</v>
      </c>
      <c r="Y55" s="195">
        <f>-COUNTIFS('Full Customer List'!$J:$J,Y$1,'Full Customer List'!$E:$E,$AF50,'Full Customer List'!$H:$H,'Client Retention'!$AF55)</f>
        <v>0</v>
      </c>
      <c r="Z55" s="195">
        <f>-COUNTIFS('Full Customer List'!$J:$J,Z$1,'Full Customer List'!$E:$E,$AF50,'Full Customer List'!$H:$H,'Client Retention'!$AF55)</f>
        <v>0</v>
      </c>
      <c r="AA55" s="195">
        <f>-COUNTIFS('Full Customer List'!$J:$J,AA$1,'Full Customer List'!$E:$E,$AF50,'Full Customer List'!$H:$H,'Client Retention'!$AF55)</f>
        <v>0</v>
      </c>
      <c r="AB55" s="195">
        <f>-COUNTIFS('Full Customer List'!$J:$J,AB$1,'Full Customer List'!$E:$E,$AF50,'Full Customer List'!$H:$H,'Client Retention'!$AF55)</f>
        <v>0</v>
      </c>
      <c r="AC55" s="195">
        <f>-COUNTIFS('Full Customer List'!$J:$J,AC$1,'Full Customer List'!$E:$E,$AF50,'Full Customer List'!$H:$H,'Client Retention'!$AF55)</f>
        <v>0</v>
      </c>
      <c r="AD55" s="195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5" t="s">
        <v>1533</v>
      </c>
      <c r="E56" s="197">
        <f t="shared" si="138"/>
        <v>0</v>
      </c>
      <c r="F56" s="197">
        <f t="shared" si="139"/>
        <v>-1</v>
      </c>
      <c r="H56" s="197">
        <f t="shared" si="140"/>
        <v>-1</v>
      </c>
      <c r="J56" s="195">
        <f>-COUNTIFS('Full Customer List'!$J:$J,J$1,'Full Customer List'!$E:$E,$AF50,'Full Customer List'!$H:$H,'Client Retention'!$AF56)</f>
        <v>0</v>
      </c>
      <c r="K56" s="195">
        <f>-COUNTIFS('Full Customer List'!$J:$J,K$1,'Full Customer List'!$E:$E,$AF50,'Full Customer List'!$H:$H,'Client Retention'!$AF56)</f>
        <v>0</v>
      </c>
      <c r="L56" s="195">
        <f>-COUNTIFS('Full Customer List'!$J:$J,L$1,'Full Customer List'!$E:$E,$AF50,'Full Customer List'!$H:$H,'Client Retention'!$AF56)</f>
        <v>0</v>
      </c>
      <c r="M56" s="195">
        <f>-COUNTIFS('Full Customer List'!$J:$J,M$1,'Full Customer List'!$E:$E,$AF50,'Full Customer List'!$H:$H,'Client Retention'!$AF56)</f>
        <v>0</v>
      </c>
      <c r="N56" s="195">
        <f>-COUNTIFS('Full Customer List'!$J:$J,N$1,'Full Customer List'!$E:$E,$AF50,'Full Customer List'!$H:$H,'Client Retention'!$AF56)</f>
        <v>0</v>
      </c>
      <c r="O56" s="195">
        <f>-COUNTIFS('Full Customer List'!$J:$J,O$1,'Full Customer List'!$E:$E,$AF50,'Full Customer List'!$H:$H,'Client Retention'!$AF56)</f>
        <v>0</v>
      </c>
      <c r="P56" s="195">
        <f>-COUNTIFS('Full Customer List'!$J:$J,P$1,'Full Customer List'!$E:$E,$AF50,'Full Customer List'!$H:$H,'Client Retention'!$AF56)</f>
        <v>0</v>
      </c>
      <c r="Q56" s="195">
        <f>-COUNTIFS('Full Customer List'!$J:$J,Q$1,'Full Customer List'!$E:$E,$AF50,'Full Customer List'!$H:$H,'Client Retention'!$AF56)</f>
        <v>0</v>
      </c>
      <c r="R56" s="195">
        <f>-COUNTIFS('Full Customer List'!$J:$J,R$1,'Full Customer List'!$E:$E,$AF50,'Full Customer List'!$H:$H,'Client Retention'!$AF56)</f>
        <v>0</v>
      </c>
      <c r="S56" s="195">
        <f>-COUNTIFS('Full Customer List'!$J:$J,S$1,'Full Customer List'!$E:$E,$AF50,'Full Customer List'!$H:$H,'Client Retention'!$AF56)</f>
        <v>0</v>
      </c>
      <c r="T56" s="195">
        <f>-COUNTIFS('Full Customer List'!$J:$J,T$1,'Full Customer List'!$E:$E,$AF50,'Full Customer List'!$H:$H,'Client Retention'!$AF56)</f>
        <v>0</v>
      </c>
      <c r="U56" s="195">
        <f>-COUNTIFS('Full Customer List'!$J:$J,U$1,'Full Customer List'!$E:$E,$AF50,'Full Customer List'!$H:$H,'Client Retention'!$AF56)</f>
        <v>0</v>
      </c>
      <c r="V56" s="195">
        <f>-COUNTIFS('Full Customer List'!$J:$J,V$1,'Full Customer List'!$E:$E,$AF50,'Full Customer List'!$H:$H,'Client Retention'!$AF56)</f>
        <v>0</v>
      </c>
      <c r="W56" s="195">
        <f>-COUNTIFS('Full Customer List'!$J:$J,W$1,'Full Customer List'!$E:$E,$AF50,'Full Customer List'!$H:$H,'Client Retention'!$AF56)</f>
        <v>0</v>
      </c>
      <c r="X56" s="195">
        <f>-COUNTIFS('Full Customer List'!$J:$J,X$1,'Full Customer List'!$E:$E,$AF50,'Full Customer List'!$H:$H,'Client Retention'!$AF56)</f>
        <v>-1</v>
      </c>
      <c r="Y56" s="195">
        <f>-COUNTIFS('Full Customer List'!$J:$J,Y$1,'Full Customer List'!$E:$E,$AF50,'Full Customer List'!$H:$H,'Client Retention'!$AF56)</f>
        <v>0</v>
      </c>
      <c r="Z56" s="195">
        <f>-COUNTIFS('Full Customer List'!$J:$J,Z$1,'Full Customer List'!$E:$E,$AF50,'Full Customer List'!$H:$H,'Client Retention'!$AF56)</f>
        <v>0</v>
      </c>
      <c r="AA56" s="195">
        <f>-COUNTIFS('Full Customer List'!$J:$J,AA$1,'Full Customer List'!$E:$E,$AF50,'Full Customer List'!$H:$H,'Client Retention'!$AF56)</f>
        <v>0</v>
      </c>
      <c r="AB56" s="195">
        <f>-COUNTIFS('Full Customer List'!$J:$J,AB$1,'Full Customer List'!$E:$E,$AF50,'Full Customer List'!$H:$H,'Client Retention'!$AF56)</f>
        <v>0</v>
      </c>
      <c r="AC56" s="195">
        <f>-COUNTIFS('Full Customer List'!$J:$J,AC$1,'Full Customer List'!$E:$E,$AF50,'Full Customer List'!$H:$H,'Client Retention'!$AF56)</f>
        <v>0</v>
      </c>
      <c r="AD56" s="195">
        <f>-COUNTIFS('Full Customer List'!$J:$J,AD$1,'Full Customer List'!$E:$E,$AF50,'Full Customer List'!$H:$H,'Client Retention'!$AF56)</f>
        <v>0</v>
      </c>
      <c r="AF56" s="173" t="s">
        <v>1534</v>
      </c>
    </row>
    <row r="57" spans="2:34" ht="12" customHeight="1">
      <c r="B57" s="255" t="s">
        <v>1535</v>
      </c>
      <c r="C57" s="258"/>
      <c r="D57" s="258"/>
      <c r="E57" s="256">
        <f>SUM(J57:U57)</f>
        <v>0</v>
      </c>
      <c r="F57" s="256">
        <f>SUM(V57:AD57)</f>
        <v>-10</v>
      </c>
      <c r="G57" s="257"/>
      <c r="H57" s="256">
        <f>SUM(S57:AD57)</f>
        <v>-10</v>
      </c>
      <c r="I57" s="257"/>
      <c r="J57" s="258">
        <f>-COUNTIFS('Full Customer List'!$J:$J,J$1,'Full Customer List'!$E:$E,$AF50)</f>
        <v>0</v>
      </c>
      <c r="K57" s="258">
        <f>-COUNTIFS('Full Customer List'!$J:$J,K$1,'Full Customer List'!$E:$E,$AF50)</f>
        <v>0</v>
      </c>
      <c r="L57" s="258">
        <f>-COUNTIFS('Full Customer List'!$J:$J,L$1,'Full Customer List'!$E:$E,$AF50)</f>
        <v>0</v>
      </c>
      <c r="M57" s="258">
        <f>-COUNTIFS('Full Customer List'!$J:$J,M$1,'Full Customer List'!$E:$E,$AF50)</f>
        <v>0</v>
      </c>
      <c r="N57" s="258">
        <f>-COUNTIFS('Full Customer List'!$J:$J,N$1,'Full Customer List'!$E:$E,$AF50)</f>
        <v>0</v>
      </c>
      <c r="O57" s="258">
        <f>-COUNTIFS('Full Customer List'!$J:$J,O$1,'Full Customer List'!$E:$E,$AF50)</f>
        <v>0</v>
      </c>
      <c r="P57" s="258">
        <f>-COUNTIFS('Full Customer List'!$J:$J,P$1,'Full Customer List'!$E:$E,$AF50)</f>
        <v>0</v>
      </c>
      <c r="Q57" s="258">
        <f>-COUNTIFS('Full Customer List'!$J:$J,Q$1,'Full Customer List'!$E:$E,$AF50)</f>
        <v>0</v>
      </c>
      <c r="R57" s="258">
        <f>-COUNTIFS('Full Customer List'!$J:$J,R$1,'Full Customer List'!$E:$E,$AF50)</f>
        <v>0</v>
      </c>
      <c r="S57" s="258">
        <f>-COUNTIFS('Full Customer List'!$J:$J,S$1,'Full Customer List'!$E:$E,$AF50)</f>
        <v>0</v>
      </c>
      <c r="T57" s="258">
        <f>-COUNTIFS('Full Customer List'!$J:$J,T$1,'Full Customer List'!$E:$E,$AF50)</f>
        <v>0</v>
      </c>
      <c r="U57" s="258">
        <f>-COUNTIFS('Full Customer List'!$J:$J,U$1,'Full Customer List'!$E:$E,$AF50)</f>
        <v>0</v>
      </c>
      <c r="V57" s="258">
        <f>-COUNTIFS('Full Customer List'!$J:$J,V$1,'Full Customer List'!$E:$E,$AF50)</f>
        <v>0</v>
      </c>
      <c r="W57" s="258">
        <f>-COUNTIFS('Full Customer List'!$J:$J,W$1,'Full Customer List'!$E:$E,$AF50)</f>
        <v>0</v>
      </c>
      <c r="X57" s="258">
        <f>-COUNTIFS('Full Customer List'!$J:$J,X$1,'Full Customer List'!$E:$E,$AF50)</f>
        <v>-1</v>
      </c>
      <c r="Y57" s="258">
        <f>-COUNTIFS('Full Customer List'!$J:$J,Y$1,'Full Customer List'!$E:$E,$AF50)</f>
        <v>-1</v>
      </c>
      <c r="Z57" s="258">
        <f>-COUNTIFS('Full Customer List'!$J:$J,Z$1,'Full Customer List'!$E:$E,$AF50)</f>
        <v>-7</v>
      </c>
      <c r="AA57" s="258">
        <f>-COUNTIFS('Full Customer List'!$J:$J,AA$1,'Full Customer List'!$E:$E,$AF50)</f>
        <v>-1</v>
      </c>
      <c r="AB57" s="258">
        <f>-COUNTIFS('Full Customer List'!$J:$J,AB$1,'Full Customer List'!$E:$E,$AF50)</f>
        <v>0</v>
      </c>
      <c r="AC57" s="258">
        <f>-COUNTIFS('Full Customer List'!$J:$J,AC$1,'Full Customer List'!$E:$E,$AF50)</f>
        <v>0</v>
      </c>
      <c r="AD57" s="258">
        <f>-COUNTIFS('Full Customer List'!$J:$J,AD$1,'Full Customer List'!$E:$E,$AF50)</f>
        <v>0</v>
      </c>
    </row>
    <row r="58" spans="2:34">
      <c r="B58" s="259" t="s">
        <v>1318</v>
      </c>
      <c r="C58" s="260"/>
      <c r="D58" s="260"/>
      <c r="E58" s="260">
        <f>+F52</f>
        <v>30</v>
      </c>
      <c r="F58" s="261">
        <f>+$AD58</f>
        <v>30</v>
      </c>
      <c r="H58" s="264">
        <f>+$AD58</f>
        <v>30</v>
      </c>
      <c r="J58" s="262">
        <f t="shared" ref="J58:AC58" si="141">+K52</f>
        <v>17</v>
      </c>
      <c r="K58" s="260">
        <f t="shared" si="141"/>
        <v>17</v>
      </c>
      <c r="L58" s="260">
        <f t="shared" si="141"/>
        <v>17</v>
      </c>
      <c r="M58" s="260">
        <f t="shared" si="141"/>
        <v>18</v>
      </c>
      <c r="N58" s="260">
        <f t="shared" si="141"/>
        <v>20</v>
      </c>
      <c r="O58" s="260">
        <f t="shared" si="141"/>
        <v>22</v>
      </c>
      <c r="P58" s="260">
        <f t="shared" si="141"/>
        <v>23</v>
      </c>
      <c r="Q58" s="260">
        <f t="shared" si="141"/>
        <v>25</v>
      </c>
      <c r="R58" s="260">
        <f t="shared" si="141"/>
        <v>25</v>
      </c>
      <c r="S58" s="262">
        <f t="shared" si="141"/>
        <v>26</v>
      </c>
      <c r="T58" s="260">
        <f t="shared" si="141"/>
        <v>27</v>
      </c>
      <c r="U58" s="260">
        <f t="shared" si="141"/>
        <v>30</v>
      </c>
      <c r="V58" s="260">
        <f t="shared" si="141"/>
        <v>33</v>
      </c>
      <c r="W58" s="260">
        <f t="shared" si="141"/>
        <v>36</v>
      </c>
      <c r="X58" s="260">
        <f t="shared" si="141"/>
        <v>36</v>
      </c>
      <c r="Y58" s="260">
        <f t="shared" si="141"/>
        <v>37</v>
      </c>
      <c r="Z58" s="260">
        <f t="shared" si="141"/>
        <v>30</v>
      </c>
      <c r="AA58" s="260">
        <f t="shared" si="141"/>
        <v>29</v>
      </c>
      <c r="AB58" s="260">
        <f t="shared" si="141"/>
        <v>30</v>
      </c>
      <c r="AC58" s="260">
        <f t="shared" si="141"/>
        <v>30</v>
      </c>
      <c r="AD58" s="263">
        <f>COUNTIFS('Full Customer List'!$C:$C,"Active",'Full Customer List'!$E:$E,'Client Retention'!$AF50)</f>
        <v>30</v>
      </c>
    </row>
    <row r="59" spans="2:34" ht="3.95" customHeight="1">
      <c r="B59" s="180"/>
      <c r="C59" s="232"/>
      <c r="D59" s="232"/>
      <c r="E59" s="232"/>
      <c r="F59" s="232"/>
      <c r="H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3"/>
      <c r="AC59" s="233"/>
      <c r="AD59" s="233"/>
    </row>
    <row r="60" spans="2:34">
      <c r="B60" s="259" t="s">
        <v>1854</v>
      </c>
      <c r="C60" s="260"/>
      <c r="D60" s="260"/>
      <c r="E60" s="260">
        <f>AVERAGE(E52,E58)</f>
        <v>22.5</v>
      </c>
      <c r="F60" s="261">
        <f>AVERAGE(F52,F58)</f>
        <v>30</v>
      </c>
      <c r="H60" s="264">
        <f>AVERAGE(H52,H58)</f>
        <v>27.5</v>
      </c>
      <c r="J60" s="262">
        <f>AVERAGE(J52,J58)</f>
        <v>16</v>
      </c>
      <c r="K60" s="260">
        <f t="shared" ref="K60:AD60" si="142">AVERAGE(K52,K58)</f>
        <v>17</v>
      </c>
      <c r="L60" s="260">
        <f t="shared" si="142"/>
        <v>17</v>
      </c>
      <c r="M60" s="260">
        <f t="shared" si="142"/>
        <v>17.5</v>
      </c>
      <c r="N60" s="260">
        <f t="shared" si="142"/>
        <v>19</v>
      </c>
      <c r="O60" s="260">
        <f t="shared" si="142"/>
        <v>21</v>
      </c>
      <c r="P60" s="260">
        <f t="shared" si="142"/>
        <v>22.5</v>
      </c>
      <c r="Q60" s="260">
        <f t="shared" si="142"/>
        <v>24</v>
      </c>
      <c r="R60" s="260">
        <f t="shared" si="142"/>
        <v>25</v>
      </c>
      <c r="S60" s="262">
        <f t="shared" si="142"/>
        <v>25.5</v>
      </c>
      <c r="T60" s="260">
        <f t="shared" si="142"/>
        <v>26.5</v>
      </c>
      <c r="U60" s="260">
        <f t="shared" si="142"/>
        <v>28.5</v>
      </c>
      <c r="V60" s="260">
        <f t="shared" si="142"/>
        <v>31.5</v>
      </c>
      <c r="W60" s="260">
        <f t="shared" si="142"/>
        <v>34.5</v>
      </c>
      <c r="X60" s="260">
        <f t="shared" si="142"/>
        <v>36</v>
      </c>
      <c r="Y60" s="260">
        <f t="shared" si="142"/>
        <v>36.5</v>
      </c>
      <c r="Z60" s="260">
        <f t="shared" si="142"/>
        <v>33.5</v>
      </c>
      <c r="AA60" s="260">
        <f t="shared" si="142"/>
        <v>29.5</v>
      </c>
      <c r="AB60" s="260">
        <f t="shared" si="142"/>
        <v>29.5</v>
      </c>
      <c r="AC60" s="260">
        <f t="shared" si="142"/>
        <v>30</v>
      </c>
      <c r="AD60" s="263">
        <f t="shared" si="142"/>
        <v>30</v>
      </c>
    </row>
    <row r="61" spans="2:34" ht="3.95" customHeight="1">
      <c r="B61" s="180"/>
      <c r="C61" s="232"/>
      <c r="D61" s="232"/>
      <c r="E61" s="232"/>
      <c r="F61" s="232"/>
      <c r="H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  <c r="AB61" s="233"/>
      <c r="AC61" s="233"/>
      <c r="AD61" s="233"/>
    </row>
    <row r="62" spans="2:34">
      <c r="B62" s="234" t="s">
        <v>1521</v>
      </c>
      <c r="C62" s="235"/>
      <c r="D62" s="235"/>
      <c r="E62" s="236">
        <f>(E53+E52)/E52-1</f>
        <v>1</v>
      </c>
      <c r="F62" s="247">
        <f>(F53+F52)/F52-1</f>
        <v>0.33333333333333326</v>
      </c>
      <c r="G62" s="248"/>
      <c r="H62" s="249">
        <f>(H53+H52)/H52-1</f>
        <v>0.60000000000000009</v>
      </c>
      <c r="J62" s="246">
        <f t="shared" ref="J62:AB62" si="143">(J53+J52)/J52-1</f>
        <v>0.1333333333333333</v>
      </c>
      <c r="K62" s="236">
        <f t="shared" si="143"/>
        <v>0</v>
      </c>
      <c r="L62" s="236">
        <f t="shared" si="143"/>
        <v>0</v>
      </c>
      <c r="M62" s="236">
        <f t="shared" si="143"/>
        <v>5.8823529411764719E-2</v>
      </c>
      <c r="N62" s="236">
        <f t="shared" si="143"/>
        <v>0.11111111111111116</v>
      </c>
      <c r="O62" s="236">
        <f t="shared" si="143"/>
        <v>0.10000000000000009</v>
      </c>
      <c r="P62" s="236">
        <f t="shared" si="143"/>
        <v>4.5454545454545414E-2</v>
      </c>
      <c r="Q62" s="236">
        <f t="shared" si="143"/>
        <v>8.6956521739130377E-2</v>
      </c>
      <c r="R62" s="236">
        <f t="shared" si="143"/>
        <v>0</v>
      </c>
      <c r="S62" s="246">
        <f t="shared" si="143"/>
        <v>4.0000000000000036E-2</v>
      </c>
      <c r="T62" s="236">
        <f t="shared" si="143"/>
        <v>3.8461538461538547E-2</v>
      </c>
      <c r="U62" s="236">
        <f t="shared" si="143"/>
        <v>0.11111111111111116</v>
      </c>
      <c r="V62" s="236">
        <f t="shared" si="143"/>
        <v>0.10000000000000009</v>
      </c>
      <c r="W62" s="236">
        <f t="shared" si="143"/>
        <v>9.0909090909090828E-2</v>
      </c>
      <c r="X62" s="236">
        <f t="shared" si="143"/>
        <v>2.7777777777777679E-2</v>
      </c>
      <c r="Y62" s="236">
        <f t="shared" si="143"/>
        <v>5.555555555555558E-2</v>
      </c>
      <c r="Z62" s="236">
        <f t="shared" si="143"/>
        <v>0</v>
      </c>
      <c r="AA62" s="236">
        <f t="shared" si="143"/>
        <v>0</v>
      </c>
      <c r="AB62" s="236">
        <f t="shared" si="143"/>
        <v>3.4482758620689724E-2</v>
      </c>
      <c r="AC62" s="236">
        <f t="shared" ref="AC62:AD62" si="144">(AC53+AC52)/AC52-1</f>
        <v>0</v>
      </c>
      <c r="AD62" s="247">
        <f t="shared" si="144"/>
        <v>0</v>
      </c>
    </row>
    <row r="63" spans="2:34" ht="12" customHeight="1">
      <c r="B63" s="237" t="s">
        <v>1522</v>
      </c>
      <c r="C63" s="238"/>
      <c r="D63" s="238"/>
      <c r="E63" s="239">
        <f>(E57+E60)/E60-1</f>
        <v>0</v>
      </c>
      <c r="F63" s="240">
        <f>(F57+F60)/F60-1</f>
        <v>-0.33333333333333337</v>
      </c>
      <c r="G63" s="248"/>
      <c r="H63" s="242">
        <f>(H57+H60)/H60-1</f>
        <v>-0.36363636363636365</v>
      </c>
      <c r="J63" s="241">
        <f t="shared" ref="J63:AD63" si="145">(J57+J60)/J60-1</f>
        <v>0</v>
      </c>
      <c r="K63" s="239">
        <f t="shared" si="145"/>
        <v>0</v>
      </c>
      <c r="L63" s="239">
        <f t="shared" si="145"/>
        <v>0</v>
      </c>
      <c r="M63" s="239">
        <f t="shared" si="145"/>
        <v>0</v>
      </c>
      <c r="N63" s="239">
        <f t="shared" si="145"/>
        <v>0</v>
      </c>
      <c r="O63" s="239">
        <f t="shared" si="145"/>
        <v>0</v>
      </c>
      <c r="P63" s="239">
        <f t="shared" si="145"/>
        <v>0</v>
      </c>
      <c r="Q63" s="239">
        <f t="shared" si="145"/>
        <v>0</v>
      </c>
      <c r="R63" s="239">
        <f t="shared" si="145"/>
        <v>0</v>
      </c>
      <c r="S63" s="241">
        <f t="shared" si="145"/>
        <v>0</v>
      </c>
      <c r="T63" s="239">
        <f t="shared" si="145"/>
        <v>0</v>
      </c>
      <c r="U63" s="239">
        <f t="shared" si="145"/>
        <v>0</v>
      </c>
      <c r="V63" s="239">
        <f t="shared" si="145"/>
        <v>0</v>
      </c>
      <c r="W63" s="239">
        <f t="shared" si="145"/>
        <v>0</v>
      </c>
      <c r="X63" s="239">
        <f t="shared" si="145"/>
        <v>-2.777777777777779E-2</v>
      </c>
      <c r="Y63" s="239">
        <f t="shared" si="145"/>
        <v>-2.7397260273972601E-2</v>
      </c>
      <c r="Z63" s="239">
        <f t="shared" si="145"/>
        <v>-0.20895522388059706</v>
      </c>
      <c r="AA63" s="239">
        <f t="shared" si="145"/>
        <v>-3.3898305084745783E-2</v>
      </c>
      <c r="AB63" s="239">
        <f t="shared" si="145"/>
        <v>0</v>
      </c>
      <c r="AC63" s="239">
        <f t="shared" si="145"/>
        <v>0</v>
      </c>
      <c r="AD63" s="240">
        <f t="shared" si="145"/>
        <v>0</v>
      </c>
    </row>
    <row r="64" spans="2:34" ht="3.95" customHeight="1">
      <c r="AF64" s="220"/>
    </row>
    <row r="65" spans="2:34" ht="24">
      <c r="B65" s="159" t="s">
        <v>1311</v>
      </c>
      <c r="C65" s="176" t="s">
        <v>1319</v>
      </c>
      <c r="D65" s="176" t="s">
        <v>3</v>
      </c>
      <c r="E65" s="176" t="s">
        <v>4</v>
      </c>
      <c r="F65" s="176" t="s">
        <v>1320</v>
      </c>
      <c r="G65" s="193"/>
      <c r="H65" s="176" t="s">
        <v>1530</v>
      </c>
      <c r="J65" s="192">
        <v>45658</v>
      </c>
      <c r="K65" s="192">
        <f t="shared" ref="K65" si="146">EOMONTH(J65,0)+1</f>
        <v>45689</v>
      </c>
      <c r="L65" s="192">
        <f t="shared" ref="L65" si="147">EOMONTH(K65,0)+1</f>
        <v>45717</v>
      </c>
      <c r="M65" s="192">
        <f t="shared" ref="M65" si="148">EOMONTH(L65,0)+1</f>
        <v>45748</v>
      </c>
      <c r="N65" s="192">
        <f t="shared" ref="N65" si="149">EOMONTH(M65,0)+1</f>
        <v>45778</v>
      </c>
      <c r="O65" s="192">
        <f t="shared" ref="O65" si="150">EOMONTH(N65,0)+1</f>
        <v>45809</v>
      </c>
      <c r="P65" s="192">
        <f t="shared" ref="P65" si="151">EOMONTH(O65,0)+1</f>
        <v>45839</v>
      </c>
      <c r="Q65" s="192">
        <v>45870</v>
      </c>
      <c r="R65" s="192">
        <f t="shared" ref="R65" si="152">EOMONTH(Q65,0)+1</f>
        <v>45901</v>
      </c>
      <c r="S65" s="192">
        <f t="shared" ref="S65" si="153">EOMONTH(R65,0)+1</f>
        <v>45931</v>
      </c>
      <c r="T65" s="192">
        <f t="shared" ref="T65" si="154">EOMONTH(S65,0)+1</f>
        <v>45962</v>
      </c>
      <c r="U65" s="192">
        <f t="shared" ref="U65" si="155">EOMONTH(T65,0)+1</f>
        <v>45992</v>
      </c>
      <c r="V65" s="192">
        <f t="shared" ref="V65" si="156">EOMONTH(U65,0)+1</f>
        <v>46023</v>
      </c>
      <c r="W65" s="192">
        <f t="shared" ref="W65" si="157">EOMONTH(V65,0)+1</f>
        <v>46054</v>
      </c>
      <c r="X65" s="192">
        <f t="shared" ref="X65" si="158">EOMONTH(W65,0)+1</f>
        <v>46082</v>
      </c>
      <c r="Y65" s="192">
        <f t="shared" ref="Y65" si="159">EOMONTH(X65,0)+1</f>
        <v>46113</v>
      </c>
      <c r="Z65" s="192">
        <f t="shared" ref="Z65" si="160">EOMONTH(Y65,0)+1</f>
        <v>46143</v>
      </c>
      <c r="AA65" s="192">
        <f t="shared" ref="AA65" si="161">EOMONTH(Z65,0)+1</f>
        <v>46174</v>
      </c>
      <c r="AB65" s="192">
        <f t="shared" ref="AB65" si="162">EOMONTH(AA65,0)+1</f>
        <v>46204</v>
      </c>
      <c r="AC65" s="192">
        <f t="shared" ref="AC65" si="163">EOMONTH(AB65,0)+1</f>
        <v>46235</v>
      </c>
      <c r="AD65" s="192">
        <f t="shared" ref="AD65" si="164">EOMONTH(AC65,0)+1</f>
        <v>46266</v>
      </c>
      <c r="AE65" s="187"/>
      <c r="AF65" s="220" t="s">
        <v>1302</v>
      </c>
      <c r="AG65" s="187"/>
      <c r="AH65" s="187"/>
    </row>
    <row r="66" spans="2:34">
      <c r="B66" s="186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20"/>
      <c r="AG66" s="6"/>
      <c r="AH66" s="6"/>
    </row>
    <row r="67" spans="2:34">
      <c r="B67" s="173" t="s">
        <v>1316</v>
      </c>
      <c r="C67" s="182"/>
      <c r="D67" s="182"/>
      <c r="E67" s="182">
        <f>+E73-E68-E72</f>
        <v>32</v>
      </c>
      <c r="F67" s="182">
        <f>+F73-F68-F72</f>
        <v>23</v>
      </c>
      <c r="H67" s="182">
        <f t="shared" ref="H67" si="165">+H73-H68-H72</f>
        <v>26</v>
      </c>
      <c r="J67" s="182">
        <f t="shared" ref="J67:Z67" si="166">+J73-J68-J72</f>
        <v>32</v>
      </c>
      <c r="K67" s="182">
        <f t="shared" si="166"/>
        <v>29</v>
      </c>
      <c r="L67" s="182">
        <f t="shared" si="166"/>
        <v>28</v>
      </c>
      <c r="M67" s="182">
        <f t="shared" si="166"/>
        <v>28</v>
      </c>
      <c r="N67" s="182">
        <f t="shared" si="166"/>
        <v>28</v>
      </c>
      <c r="O67" s="182">
        <f t="shared" si="166"/>
        <v>27</v>
      </c>
      <c r="P67" s="182">
        <f t="shared" si="166"/>
        <v>27</v>
      </c>
      <c r="Q67" s="182">
        <f t="shared" si="166"/>
        <v>26</v>
      </c>
      <c r="R67" s="182">
        <f t="shared" si="166"/>
        <v>27</v>
      </c>
      <c r="S67" s="182">
        <f t="shared" si="166"/>
        <v>26</v>
      </c>
      <c r="T67" s="182">
        <f t="shared" si="166"/>
        <v>26</v>
      </c>
      <c r="U67" s="182">
        <f t="shared" si="166"/>
        <v>26</v>
      </c>
      <c r="V67" s="182">
        <f t="shared" si="166"/>
        <v>23</v>
      </c>
      <c r="W67" s="182">
        <f t="shared" si="166"/>
        <v>22</v>
      </c>
      <c r="X67" s="182">
        <f t="shared" si="166"/>
        <v>21</v>
      </c>
      <c r="Y67" s="182">
        <f t="shared" si="166"/>
        <v>19</v>
      </c>
      <c r="Z67" s="182">
        <f t="shared" si="166"/>
        <v>19</v>
      </c>
      <c r="AA67" s="182">
        <f>+AA73-AA68-AA72</f>
        <v>18</v>
      </c>
      <c r="AB67" s="182">
        <f>+AB73-AB68-AB72</f>
        <v>18</v>
      </c>
      <c r="AC67" s="182">
        <f t="shared" ref="AC67:AD67" si="167">+AC73-AC68-AC72</f>
        <v>2</v>
      </c>
      <c r="AD67" s="182">
        <f t="shared" si="167"/>
        <v>2</v>
      </c>
      <c r="AF67" s="220"/>
    </row>
    <row r="68" spans="2:34">
      <c r="B68" s="191" t="s">
        <v>1317</v>
      </c>
      <c r="E68" s="197">
        <f>SUM(J68:U68)</f>
        <v>2</v>
      </c>
      <c r="F68" s="197">
        <f>SUM(V68:AD68)</f>
        <v>0</v>
      </c>
      <c r="H68" s="197">
        <f>SUM(S68:AD68)</f>
        <v>0</v>
      </c>
      <c r="J68" s="195">
        <f>COUNTIFS('Full Customer List'!$I:$I,'Client Retention'!J$5,'Full Customer List'!$E:$E,$AF65)</f>
        <v>0</v>
      </c>
      <c r="K68" s="195">
        <f>COUNTIFS('Full Customer List'!$I:$I,'Client Retention'!K$5,'Full Customer List'!$E:$E,$AF65)</f>
        <v>0</v>
      </c>
      <c r="L68" s="195">
        <f>COUNTIFS('Full Customer List'!$I:$I,'Client Retention'!L$5,'Full Customer List'!$E:$E,$AF65)</f>
        <v>0</v>
      </c>
      <c r="M68" s="195">
        <f>COUNTIFS('Full Customer List'!$I:$I,'Client Retention'!M$5,'Full Customer List'!$E:$E,$AF65)</f>
        <v>0</v>
      </c>
      <c r="N68" s="195">
        <f>COUNTIFS('Full Customer List'!$I:$I,'Client Retention'!N$5,'Full Customer List'!$E:$E,$AF65)</f>
        <v>0</v>
      </c>
      <c r="O68" s="195">
        <f>COUNTIFS('Full Customer List'!$I:$I,'Client Retention'!O$5,'Full Customer List'!$E:$E,$AF65)</f>
        <v>1</v>
      </c>
      <c r="P68" s="195">
        <f>COUNTIFS('Full Customer List'!$I:$I,'Client Retention'!P$5,'Full Customer List'!$E:$E,$AF65)</f>
        <v>0</v>
      </c>
      <c r="Q68" s="195">
        <f>COUNTIFS('Full Customer List'!$I:$I,'Client Retention'!Q$5,'Full Customer List'!$E:$E,$AF65)</f>
        <v>1</v>
      </c>
      <c r="R68" s="195">
        <f>COUNTIFS('Full Customer List'!$I:$I,'Client Retention'!R$5,'Full Customer List'!$E:$E,$AF65)</f>
        <v>0</v>
      </c>
      <c r="S68" s="195">
        <f>COUNTIFS('Full Customer List'!$I:$I,'Client Retention'!S$5,'Full Customer List'!$E:$E,$AF65)</f>
        <v>0</v>
      </c>
      <c r="T68" s="195">
        <f>COUNTIFS('Full Customer List'!$I:$I,'Client Retention'!T$5,'Full Customer List'!$E:$E,$AF65)</f>
        <v>0</v>
      </c>
      <c r="U68" s="195">
        <f>COUNTIFS('Full Customer List'!$I:$I,'Client Retention'!U$5,'Full Customer List'!$E:$E,$AF65)</f>
        <v>0</v>
      </c>
      <c r="V68" s="195">
        <f>COUNTIFS('Full Customer List'!$I:$I,'Client Retention'!V$5,'Full Customer List'!$E:$E,$AF65)</f>
        <v>0</v>
      </c>
      <c r="W68" s="195">
        <f>COUNTIFS('Full Customer List'!$I:$I,'Client Retention'!W$5,'Full Customer List'!$E:$E,$AF65)</f>
        <v>0</v>
      </c>
      <c r="X68" s="195">
        <f>COUNTIFS('Full Customer List'!$I:$I,'Client Retention'!X$5,'Full Customer List'!$E:$E,$AF65)</f>
        <v>0</v>
      </c>
      <c r="Y68" s="195">
        <f>COUNTIFS('Full Customer List'!$I:$I,'Client Retention'!Y$5,'Full Customer List'!$E:$E,$AF65)</f>
        <v>0</v>
      </c>
      <c r="Z68" s="195">
        <f>COUNTIFS('Full Customer List'!$I:$I,'Client Retention'!Z$5,'Full Customer List'!$E:$E,$AF65)</f>
        <v>0</v>
      </c>
      <c r="AA68" s="195">
        <f>COUNTIFS('Full Customer List'!$I:$I,'Client Retention'!AA$5,'Full Customer List'!$E:$E,$AF65)</f>
        <v>0</v>
      </c>
      <c r="AB68" s="195">
        <f>COUNTIFS('Full Customer List'!$I:$I,'Client Retention'!AB$5,'Full Customer List'!$E:$E,$AF65)</f>
        <v>0</v>
      </c>
      <c r="AC68" s="195">
        <f>COUNTIFS('Full Customer List'!$I:$I,'Client Retention'!AC$5,'Full Customer List'!$E:$E,$AF65)</f>
        <v>0</v>
      </c>
      <c r="AD68" s="195">
        <f>COUNTIFS('Full Customer List'!$I:$I,'Client Retention'!AD$5,'Full Customer List'!$E:$E,$AF65)</f>
        <v>0</v>
      </c>
      <c r="AF68" s="220"/>
    </row>
    <row r="69" spans="2:34">
      <c r="B69" s="265" t="s">
        <v>1531</v>
      </c>
      <c r="E69" s="197">
        <f t="shared" ref="E69:E71" si="168">SUM(J69:U69)</f>
        <v>-7</v>
      </c>
      <c r="F69" s="197">
        <f t="shared" ref="F69:F71" si="169">SUM(V69:AD69)</f>
        <v>-5</v>
      </c>
      <c r="H69" s="197">
        <f t="shared" ref="H69:H71" si="170">SUM(S69:AD69)</f>
        <v>-8</v>
      </c>
      <c r="J69" s="195">
        <f>-COUNTIFS('Full Customer List'!$J:$J,J$1,'Full Customer List'!$E:$E,$AF65,'Full Customer List'!$H:$H,'Client Retention'!$AF69)</f>
        <v>-1</v>
      </c>
      <c r="K69" s="195">
        <f>-COUNTIFS('Full Customer List'!$J:$J,K$1,'Full Customer List'!$E:$E,$AF65,'Full Customer List'!$H:$H,'Client Retention'!$AF69)</f>
        <v>0</v>
      </c>
      <c r="L69" s="195">
        <f>-COUNTIFS('Full Customer List'!$J:$J,L$1,'Full Customer List'!$E:$E,$AF65,'Full Customer List'!$H:$H,'Client Retention'!$AF69)</f>
        <v>0</v>
      </c>
      <c r="M69" s="195">
        <f>-COUNTIFS('Full Customer List'!$J:$J,M$1,'Full Customer List'!$E:$E,$AF65,'Full Customer List'!$H:$H,'Client Retention'!$AF69)</f>
        <v>0</v>
      </c>
      <c r="N69" s="195">
        <f>-COUNTIFS('Full Customer List'!$J:$J,N$1,'Full Customer List'!$E:$E,$AF65,'Full Customer List'!$H:$H,'Client Retention'!$AF69)</f>
        <v>-1</v>
      </c>
      <c r="O69" s="195">
        <f>-COUNTIFS('Full Customer List'!$J:$J,O$1,'Full Customer List'!$E:$E,$AF65,'Full Customer List'!$H:$H,'Client Retention'!$AF69)</f>
        <v>-1</v>
      </c>
      <c r="P69" s="195">
        <f>-COUNTIFS('Full Customer List'!$J:$J,P$1,'Full Customer List'!$E:$E,$AF65,'Full Customer List'!$H:$H,'Client Retention'!$AF69)</f>
        <v>-1</v>
      </c>
      <c r="Q69" s="195">
        <f>-COUNTIFS('Full Customer List'!$J:$J,Q$1,'Full Customer List'!$E:$E,$AF65,'Full Customer List'!$H:$H,'Client Retention'!$AF69)</f>
        <v>0</v>
      </c>
      <c r="R69" s="195">
        <f>-COUNTIFS('Full Customer List'!$J:$J,R$1,'Full Customer List'!$E:$E,$AF65,'Full Customer List'!$H:$H,'Client Retention'!$AF69)</f>
        <v>0</v>
      </c>
      <c r="S69" s="195">
        <f>-COUNTIFS('Full Customer List'!$J:$J,S$1,'Full Customer List'!$E:$E,$AF65,'Full Customer List'!$H:$H,'Client Retention'!$AF69)</f>
        <v>0</v>
      </c>
      <c r="T69" s="195">
        <f>-COUNTIFS('Full Customer List'!$J:$J,T$1,'Full Customer List'!$E:$E,$AF65,'Full Customer List'!$H:$H,'Client Retention'!$AF69)</f>
        <v>0</v>
      </c>
      <c r="U69" s="195">
        <f>-COUNTIFS('Full Customer List'!$J:$J,U$1,'Full Customer List'!$E:$E,$AF65,'Full Customer List'!$H:$H,'Client Retention'!$AF69)</f>
        <v>-3</v>
      </c>
      <c r="V69" s="195">
        <f>-COUNTIFS('Full Customer List'!$J:$J,V$1,'Full Customer List'!$E:$E,$AF65,'Full Customer List'!$H:$H,'Client Retention'!$AF69)</f>
        <v>-1</v>
      </c>
      <c r="W69" s="195">
        <f>-COUNTIFS('Full Customer List'!$J:$J,W$1,'Full Customer List'!$E:$E,$AF65,'Full Customer List'!$H:$H,'Client Retention'!$AF69)</f>
        <v>-1</v>
      </c>
      <c r="X69" s="195">
        <f>-COUNTIFS('Full Customer List'!$J:$J,X$1,'Full Customer List'!$E:$E,$AF65,'Full Customer List'!$H:$H,'Client Retention'!$AF69)</f>
        <v>-2</v>
      </c>
      <c r="Y69" s="195">
        <f>-COUNTIFS('Full Customer List'!$J:$J,Y$1,'Full Customer List'!$E:$E,$AF65,'Full Customer List'!$H:$H,'Client Retention'!$AF69)</f>
        <v>0</v>
      </c>
      <c r="Z69" s="195">
        <f>-COUNTIFS('Full Customer List'!$J:$J,Z$1,'Full Customer List'!$E:$E,$AF65,'Full Customer List'!$H:$H,'Client Retention'!$AF69)</f>
        <v>-1</v>
      </c>
      <c r="AA69" s="195">
        <f>-COUNTIFS('Full Customer List'!$J:$J,AA$1,'Full Customer List'!$E:$E,$AF65,'Full Customer List'!$H:$H,'Client Retention'!$AF69)</f>
        <v>0</v>
      </c>
      <c r="AB69" s="195">
        <f>-COUNTIFS('Full Customer List'!$J:$J,AB$1,'Full Customer List'!$E:$E,$AF65,'Full Customer List'!$H:$H,'Client Retention'!$AF69)</f>
        <v>0</v>
      </c>
      <c r="AC69" s="195">
        <f>-COUNTIFS('Full Customer List'!$J:$J,AC$1,'Full Customer List'!$E:$E,$AF65,'Full Customer List'!$H:$H,'Client Retention'!$AF69)</f>
        <v>0</v>
      </c>
      <c r="AD69" s="195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5" t="s">
        <v>1532</v>
      </c>
      <c r="E70" s="197">
        <f t="shared" si="168"/>
        <v>-4</v>
      </c>
      <c r="F70" s="197">
        <f t="shared" si="169"/>
        <v>-15</v>
      </c>
      <c r="H70" s="197">
        <f t="shared" si="170"/>
        <v>-15</v>
      </c>
      <c r="J70" s="195">
        <f>-COUNTIFS('Full Customer List'!$J:$J,J$1,'Full Customer List'!$E:$E,$AF65,'Full Customer List'!$H:$H,'Client Retention'!$AF70)</f>
        <v>-2</v>
      </c>
      <c r="K70" s="195">
        <f>-COUNTIFS('Full Customer List'!$J:$J,K$1,'Full Customer List'!$E:$E,$AF65,'Full Customer List'!$H:$H,'Client Retention'!$AF70)</f>
        <v>-1</v>
      </c>
      <c r="L70" s="195">
        <f>-COUNTIFS('Full Customer List'!$J:$J,L$1,'Full Customer List'!$E:$E,$AF65,'Full Customer List'!$H:$H,'Client Retention'!$AF70)</f>
        <v>0</v>
      </c>
      <c r="M70" s="195">
        <f>-COUNTIFS('Full Customer List'!$J:$J,M$1,'Full Customer List'!$E:$E,$AF65,'Full Customer List'!$H:$H,'Client Retention'!$AF70)</f>
        <v>0</v>
      </c>
      <c r="N70" s="195">
        <f>-COUNTIFS('Full Customer List'!$J:$J,N$1,'Full Customer List'!$E:$E,$AF65,'Full Customer List'!$H:$H,'Client Retention'!$AF70)</f>
        <v>0</v>
      </c>
      <c r="O70" s="195">
        <f>-COUNTIFS('Full Customer List'!$J:$J,O$1,'Full Customer List'!$E:$E,$AF65,'Full Customer List'!$H:$H,'Client Retention'!$AF70)</f>
        <v>0</v>
      </c>
      <c r="P70" s="195">
        <f>-COUNTIFS('Full Customer List'!$J:$J,P$1,'Full Customer List'!$E:$E,$AF65,'Full Customer List'!$H:$H,'Client Retention'!$AF70)</f>
        <v>0</v>
      </c>
      <c r="Q70" s="195">
        <f>-COUNTIFS('Full Customer List'!$J:$J,Q$1,'Full Customer List'!$E:$E,$AF65,'Full Customer List'!$H:$H,'Client Retention'!$AF70)</f>
        <v>0</v>
      </c>
      <c r="R70" s="195">
        <f>-COUNTIFS('Full Customer List'!$J:$J,R$1,'Full Customer List'!$E:$E,$AF65,'Full Customer List'!$H:$H,'Client Retention'!$AF70)</f>
        <v>-1</v>
      </c>
      <c r="S70" s="195">
        <f>-COUNTIFS('Full Customer List'!$J:$J,S$1,'Full Customer List'!$E:$E,$AF65,'Full Customer List'!$H:$H,'Client Retention'!$AF70)</f>
        <v>0</v>
      </c>
      <c r="T70" s="195">
        <f>-COUNTIFS('Full Customer List'!$J:$J,T$1,'Full Customer List'!$E:$E,$AF65,'Full Customer List'!$H:$H,'Client Retention'!$AF70)</f>
        <v>0</v>
      </c>
      <c r="U70" s="195">
        <f>-COUNTIFS('Full Customer List'!$J:$J,U$1,'Full Customer List'!$E:$E,$AF65,'Full Customer List'!$H:$H,'Client Retention'!$AF70)</f>
        <v>0</v>
      </c>
      <c r="V70" s="195">
        <f>-COUNTIFS('Full Customer List'!$J:$J,V$1,'Full Customer List'!$E:$E,$AF65,'Full Customer List'!$H:$H,'Client Retention'!$AF70)</f>
        <v>0</v>
      </c>
      <c r="W70" s="195">
        <f>-COUNTIFS('Full Customer List'!$J:$J,W$1,'Full Customer List'!$E:$E,$AF65,'Full Customer List'!$H:$H,'Client Retention'!$AF70)</f>
        <v>0</v>
      </c>
      <c r="X70" s="195">
        <f>-COUNTIFS('Full Customer List'!$J:$J,X$1,'Full Customer List'!$E:$E,$AF65,'Full Customer List'!$H:$H,'Client Retention'!$AF70)</f>
        <v>0</v>
      </c>
      <c r="Y70" s="195">
        <f>-COUNTIFS('Full Customer List'!$J:$J,Y$1,'Full Customer List'!$E:$E,$AF65,'Full Customer List'!$H:$H,'Client Retention'!$AF70)</f>
        <v>0</v>
      </c>
      <c r="Z70" s="195">
        <f>-COUNTIFS('Full Customer List'!$J:$J,Z$1,'Full Customer List'!$E:$E,$AF65,'Full Customer List'!$H:$H,'Client Retention'!$AF70)</f>
        <v>0</v>
      </c>
      <c r="AA70" s="195">
        <f>-COUNTIFS('Full Customer List'!$J:$J,AA$1,'Full Customer List'!$E:$E,$AF65,'Full Customer List'!$H:$H,'Client Retention'!$AF70)</f>
        <v>0</v>
      </c>
      <c r="AB70" s="195">
        <f>-COUNTIFS('Full Customer List'!$J:$J,AB$1,'Full Customer List'!$E:$E,$AF65,'Full Customer List'!$H:$H,'Client Retention'!$AF70)</f>
        <v>-15</v>
      </c>
      <c r="AC70" s="195">
        <f>-COUNTIFS('Full Customer List'!$J:$J,AC$1,'Full Customer List'!$E:$E,$AF65,'Full Customer List'!$H:$H,'Client Retention'!$AF70)</f>
        <v>0</v>
      </c>
      <c r="AD70" s="195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5" t="s">
        <v>1533</v>
      </c>
      <c r="E71" s="197">
        <f t="shared" si="168"/>
        <v>0</v>
      </c>
      <c r="F71" s="197">
        <f t="shared" si="169"/>
        <v>-1</v>
      </c>
      <c r="H71" s="197">
        <f t="shared" si="170"/>
        <v>-1</v>
      </c>
      <c r="J71" s="195">
        <f>-COUNTIFS('Full Customer List'!$J:$J,J$1,'Full Customer List'!$E:$E,$AF65,'Full Customer List'!$H:$H,'Client Retention'!$AF71)</f>
        <v>0</v>
      </c>
      <c r="K71" s="195">
        <f>-COUNTIFS('Full Customer List'!$J:$J,K$1,'Full Customer List'!$E:$E,$AF65,'Full Customer List'!$H:$H,'Client Retention'!$AF71)</f>
        <v>0</v>
      </c>
      <c r="L71" s="195">
        <f>-COUNTIFS('Full Customer List'!$J:$J,L$1,'Full Customer List'!$E:$E,$AF65,'Full Customer List'!$H:$H,'Client Retention'!$AF71)</f>
        <v>0</v>
      </c>
      <c r="M71" s="195">
        <f>-COUNTIFS('Full Customer List'!$J:$J,M$1,'Full Customer List'!$E:$E,$AF65,'Full Customer List'!$H:$H,'Client Retention'!$AF71)</f>
        <v>0</v>
      </c>
      <c r="N71" s="195">
        <f>-COUNTIFS('Full Customer List'!$J:$J,N$1,'Full Customer List'!$E:$E,$AF65,'Full Customer List'!$H:$H,'Client Retention'!$AF71)</f>
        <v>0</v>
      </c>
      <c r="O71" s="195">
        <f>-COUNTIFS('Full Customer List'!$J:$J,O$1,'Full Customer List'!$E:$E,$AF65,'Full Customer List'!$H:$H,'Client Retention'!$AF71)</f>
        <v>0</v>
      </c>
      <c r="P71" s="195">
        <f>-COUNTIFS('Full Customer List'!$J:$J,P$1,'Full Customer List'!$E:$E,$AF65,'Full Customer List'!$H:$H,'Client Retention'!$AF71)</f>
        <v>0</v>
      </c>
      <c r="Q71" s="195">
        <f>-COUNTIFS('Full Customer List'!$J:$J,Q$1,'Full Customer List'!$E:$E,$AF65,'Full Customer List'!$H:$H,'Client Retention'!$AF71)</f>
        <v>0</v>
      </c>
      <c r="R71" s="195">
        <f>-COUNTIFS('Full Customer List'!$J:$J,R$1,'Full Customer List'!$E:$E,$AF65,'Full Customer List'!$H:$H,'Client Retention'!$AF71)</f>
        <v>0</v>
      </c>
      <c r="S71" s="195">
        <f>-COUNTIFS('Full Customer List'!$J:$J,S$1,'Full Customer List'!$E:$E,$AF65,'Full Customer List'!$H:$H,'Client Retention'!$AF71)</f>
        <v>0</v>
      </c>
      <c r="T71" s="195">
        <f>-COUNTIFS('Full Customer List'!$J:$J,T$1,'Full Customer List'!$E:$E,$AF65,'Full Customer List'!$H:$H,'Client Retention'!$AF71)</f>
        <v>0</v>
      </c>
      <c r="U71" s="195">
        <f>-COUNTIFS('Full Customer List'!$J:$J,U$1,'Full Customer List'!$E:$E,$AF65,'Full Customer List'!$H:$H,'Client Retention'!$AF71)</f>
        <v>0</v>
      </c>
      <c r="V71" s="195">
        <f>-COUNTIFS('Full Customer List'!$J:$J,V$1,'Full Customer List'!$E:$E,$AF65,'Full Customer List'!$H:$H,'Client Retention'!$AF71)</f>
        <v>0</v>
      </c>
      <c r="W71" s="195">
        <f>-COUNTIFS('Full Customer List'!$J:$J,W$1,'Full Customer List'!$E:$E,$AF65,'Full Customer List'!$H:$H,'Client Retention'!$AF71)</f>
        <v>0</v>
      </c>
      <c r="X71" s="195">
        <f>-COUNTIFS('Full Customer List'!$J:$J,X$1,'Full Customer List'!$E:$E,$AF65,'Full Customer List'!$H:$H,'Client Retention'!$AF71)</f>
        <v>0</v>
      </c>
      <c r="Y71" s="195">
        <f>-COUNTIFS('Full Customer List'!$J:$J,Y$1,'Full Customer List'!$E:$E,$AF65,'Full Customer List'!$H:$H,'Client Retention'!$AF71)</f>
        <v>0</v>
      </c>
      <c r="Z71" s="195">
        <f>-COUNTIFS('Full Customer List'!$J:$J,Z$1,'Full Customer List'!$E:$E,$AF65,'Full Customer List'!$H:$H,'Client Retention'!$AF71)</f>
        <v>0</v>
      </c>
      <c r="AA71" s="195">
        <f>-COUNTIFS('Full Customer List'!$J:$J,AA$1,'Full Customer List'!$E:$E,$AF65,'Full Customer List'!$H:$H,'Client Retention'!$AF71)</f>
        <v>0</v>
      </c>
      <c r="AB71" s="195">
        <f>-COUNTIFS('Full Customer List'!$J:$J,AB$1,'Full Customer List'!$E:$E,$AF65,'Full Customer List'!$H:$H,'Client Retention'!$AF71)</f>
        <v>-1</v>
      </c>
      <c r="AC71" s="195">
        <f>-COUNTIFS('Full Customer List'!$J:$J,AC$1,'Full Customer List'!$E:$E,$AF65,'Full Customer List'!$H:$H,'Client Retention'!$AF71)</f>
        <v>0</v>
      </c>
      <c r="AD71" s="195">
        <f>-COUNTIFS('Full Customer List'!$J:$J,AD$1,'Full Customer List'!$E:$E,$AF65,'Full Customer List'!$H:$H,'Client Retention'!$AF71)</f>
        <v>0</v>
      </c>
      <c r="AF71" s="173" t="s">
        <v>1534</v>
      </c>
    </row>
    <row r="72" spans="2:34" ht="12" customHeight="1">
      <c r="B72" s="255" t="s">
        <v>1535</v>
      </c>
      <c r="C72" s="258"/>
      <c r="D72" s="258"/>
      <c r="E72" s="256">
        <f>SUM(J72:U72)</f>
        <v>-11</v>
      </c>
      <c r="F72" s="256">
        <f>SUM(V72:AD72)</f>
        <v>-21</v>
      </c>
      <c r="G72" s="257"/>
      <c r="H72" s="256">
        <f>SUM(S72:AD72)</f>
        <v>-24</v>
      </c>
      <c r="I72" s="257"/>
      <c r="J72" s="258">
        <f>-COUNTIFS('Full Customer List'!$J:$J,J$1,'Full Customer List'!$E:$E,$AF65)</f>
        <v>-3</v>
      </c>
      <c r="K72" s="258">
        <f>-COUNTIFS('Full Customer List'!$J:$J,K$1,'Full Customer List'!$E:$E,$AF65)</f>
        <v>-1</v>
      </c>
      <c r="L72" s="258">
        <f>-COUNTIFS('Full Customer List'!$J:$J,L$1,'Full Customer List'!$E:$E,$AF65)</f>
        <v>0</v>
      </c>
      <c r="M72" s="258">
        <f>-COUNTIFS('Full Customer List'!$J:$J,M$1,'Full Customer List'!$E:$E,$AF65)</f>
        <v>0</v>
      </c>
      <c r="N72" s="258">
        <f>-COUNTIFS('Full Customer List'!$J:$J,N$1,'Full Customer List'!$E:$E,$AF65)</f>
        <v>-1</v>
      </c>
      <c r="O72" s="258">
        <f>-COUNTIFS('Full Customer List'!$J:$J,O$1,'Full Customer List'!$E:$E,$AF65)</f>
        <v>-1</v>
      </c>
      <c r="P72" s="258">
        <f>-COUNTIFS('Full Customer List'!$J:$J,P$1,'Full Customer List'!$E:$E,$AF65)</f>
        <v>-1</v>
      </c>
      <c r="Q72" s="258">
        <f>-COUNTIFS('Full Customer List'!$J:$J,Q$1,'Full Customer List'!$E:$E,$AF65)</f>
        <v>0</v>
      </c>
      <c r="R72" s="258">
        <f>-COUNTIFS('Full Customer List'!$J:$J,R$1,'Full Customer List'!$E:$E,$AF65)</f>
        <v>-1</v>
      </c>
      <c r="S72" s="258">
        <f>-COUNTIFS('Full Customer List'!$J:$J,S$1,'Full Customer List'!$E:$E,$AF65)</f>
        <v>0</v>
      </c>
      <c r="T72" s="258">
        <f>-COUNTIFS('Full Customer List'!$J:$J,T$1,'Full Customer List'!$E:$E,$AF65)</f>
        <v>0</v>
      </c>
      <c r="U72" s="258">
        <f>-COUNTIFS('Full Customer List'!$J:$J,U$1,'Full Customer List'!$E:$E,$AF65)</f>
        <v>-3</v>
      </c>
      <c r="V72" s="258">
        <f>-COUNTIFS('Full Customer List'!$J:$J,V$1,'Full Customer List'!$E:$E,$AF65)</f>
        <v>-1</v>
      </c>
      <c r="W72" s="258">
        <f>-COUNTIFS('Full Customer List'!$J:$J,W$1,'Full Customer List'!$E:$E,$AF65)</f>
        <v>-1</v>
      </c>
      <c r="X72" s="258">
        <f>-COUNTIFS('Full Customer List'!$J:$J,X$1,'Full Customer List'!$E:$E,$AF65)</f>
        <v>-2</v>
      </c>
      <c r="Y72" s="258">
        <f>-COUNTIFS('Full Customer List'!$J:$J,Y$1,'Full Customer List'!$E:$E,$AF65)</f>
        <v>0</v>
      </c>
      <c r="Z72" s="258">
        <f>-COUNTIFS('Full Customer List'!$J:$J,Z$1,'Full Customer List'!$E:$E,$AF65)</f>
        <v>-1</v>
      </c>
      <c r="AA72" s="258">
        <f>-COUNTIFS('Full Customer List'!$J:$J,AA$1,'Full Customer List'!$E:$E,$AF65)</f>
        <v>0</v>
      </c>
      <c r="AB72" s="258">
        <f>-COUNTIFS('Full Customer List'!$J:$J,AB$1,'Full Customer List'!$E:$E,$AF65)</f>
        <v>-16</v>
      </c>
      <c r="AC72" s="258">
        <f>-COUNTIFS('Full Customer List'!$J:$J,AC$1,'Full Customer List'!$E:$E,$AF65)</f>
        <v>0</v>
      </c>
      <c r="AD72" s="258">
        <f>-COUNTIFS('Full Customer List'!$J:$J,AD$1,'Full Customer List'!$E:$E,$AF65)</f>
        <v>0</v>
      </c>
    </row>
    <row r="73" spans="2:34">
      <c r="B73" s="259" t="s">
        <v>1318</v>
      </c>
      <c r="C73" s="260"/>
      <c r="D73" s="260"/>
      <c r="E73" s="260">
        <f>+F67</f>
        <v>23</v>
      </c>
      <c r="F73" s="261">
        <f>+$AD73</f>
        <v>2</v>
      </c>
      <c r="H73" s="264">
        <f>+$AD73</f>
        <v>2</v>
      </c>
      <c r="J73" s="262">
        <f t="shared" ref="J73:AC73" si="171">+K67</f>
        <v>29</v>
      </c>
      <c r="K73" s="260">
        <f t="shared" si="171"/>
        <v>28</v>
      </c>
      <c r="L73" s="260">
        <f t="shared" si="171"/>
        <v>28</v>
      </c>
      <c r="M73" s="260">
        <f t="shared" si="171"/>
        <v>28</v>
      </c>
      <c r="N73" s="260">
        <f t="shared" si="171"/>
        <v>27</v>
      </c>
      <c r="O73" s="260">
        <f t="shared" si="171"/>
        <v>27</v>
      </c>
      <c r="P73" s="260">
        <f t="shared" si="171"/>
        <v>26</v>
      </c>
      <c r="Q73" s="260">
        <f t="shared" si="171"/>
        <v>27</v>
      </c>
      <c r="R73" s="260">
        <f t="shared" si="171"/>
        <v>26</v>
      </c>
      <c r="S73" s="262">
        <f t="shared" si="171"/>
        <v>26</v>
      </c>
      <c r="T73" s="260">
        <f t="shared" si="171"/>
        <v>26</v>
      </c>
      <c r="U73" s="260">
        <f t="shared" si="171"/>
        <v>23</v>
      </c>
      <c r="V73" s="260">
        <f t="shared" si="171"/>
        <v>22</v>
      </c>
      <c r="W73" s="260">
        <f t="shared" si="171"/>
        <v>21</v>
      </c>
      <c r="X73" s="260">
        <f t="shared" si="171"/>
        <v>19</v>
      </c>
      <c r="Y73" s="260">
        <f t="shared" si="171"/>
        <v>19</v>
      </c>
      <c r="Z73" s="260">
        <f t="shared" si="171"/>
        <v>18</v>
      </c>
      <c r="AA73" s="260">
        <f t="shared" si="171"/>
        <v>18</v>
      </c>
      <c r="AB73" s="260">
        <f t="shared" si="171"/>
        <v>2</v>
      </c>
      <c r="AC73" s="260">
        <f t="shared" si="171"/>
        <v>2</v>
      </c>
      <c r="AD73" s="263">
        <f>COUNTIFS('Full Customer List'!$C:$C,"Active",'Full Customer List'!$E:$E,'Client Retention'!$AF65)</f>
        <v>2</v>
      </c>
    </row>
    <row r="74" spans="2:34" ht="3.95" customHeight="1">
      <c r="B74" s="180"/>
      <c r="C74" s="232"/>
      <c r="D74" s="232"/>
      <c r="E74" s="232"/>
      <c r="F74" s="232"/>
      <c r="H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3"/>
      <c r="AC74" s="233"/>
      <c r="AD74" s="233"/>
    </row>
    <row r="75" spans="2:34">
      <c r="B75" s="259" t="s">
        <v>1854</v>
      </c>
      <c r="C75" s="260"/>
      <c r="D75" s="260"/>
      <c r="E75" s="260">
        <f>AVERAGE(E67,E73)</f>
        <v>27.5</v>
      </c>
      <c r="F75" s="261">
        <f>AVERAGE(F67,F73)</f>
        <v>12.5</v>
      </c>
      <c r="H75" s="264">
        <f>AVERAGE(H67,H73)</f>
        <v>14</v>
      </c>
      <c r="J75" s="262">
        <f>AVERAGE(J67,J73)</f>
        <v>30.5</v>
      </c>
      <c r="K75" s="260">
        <f t="shared" ref="K75:AD75" si="172">AVERAGE(K67,K73)</f>
        <v>28.5</v>
      </c>
      <c r="L75" s="260">
        <f t="shared" si="172"/>
        <v>28</v>
      </c>
      <c r="M75" s="260">
        <f t="shared" si="172"/>
        <v>28</v>
      </c>
      <c r="N75" s="260">
        <f t="shared" si="172"/>
        <v>27.5</v>
      </c>
      <c r="O75" s="260">
        <f t="shared" si="172"/>
        <v>27</v>
      </c>
      <c r="P75" s="260">
        <f t="shared" si="172"/>
        <v>26.5</v>
      </c>
      <c r="Q75" s="260">
        <f t="shared" si="172"/>
        <v>26.5</v>
      </c>
      <c r="R75" s="260">
        <f t="shared" si="172"/>
        <v>26.5</v>
      </c>
      <c r="S75" s="262">
        <f t="shared" si="172"/>
        <v>26</v>
      </c>
      <c r="T75" s="260">
        <f t="shared" si="172"/>
        <v>26</v>
      </c>
      <c r="U75" s="260">
        <f t="shared" si="172"/>
        <v>24.5</v>
      </c>
      <c r="V75" s="260">
        <f t="shared" si="172"/>
        <v>22.5</v>
      </c>
      <c r="W75" s="260">
        <f t="shared" si="172"/>
        <v>21.5</v>
      </c>
      <c r="X75" s="260">
        <f t="shared" si="172"/>
        <v>20</v>
      </c>
      <c r="Y75" s="260">
        <f t="shared" si="172"/>
        <v>19</v>
      </c>
      <c r="Z75" s="260">
        <f t="shared" si="172"/>
        <v>18.5</v>
      </c>
      <c r="AA75" s="260">
        <f t="shared" si="172"/>
        <v>18</v>
      </c>
      <c r="AB75" s="260">
        <f t="shared" si="172"/>
        <v>10</v>
      </c>
      <c r="AC75" s="260">
        <f t="shared" si="172"/>
        <v>2</v>
      </c>
      <c r="AD75" s="263">
        <f t="shared" si="172"/>
        <v>2</v>
      </c>
    </row>
    <row r="76" spans="2:34" ht="3.95" customHeight="1">
      <c r="B76" s="180"/>
      <c r="C76" s="232"/>
      <c r="D76" s="232"/>
      <c r="E76" s="232"/>
      <c r="F76" s="232"/>
      <c r="H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3"/>
      <c r="AC76" s="233"/>
      <c r="AD76" s="233"/>
    </row>
    <row r="77" spans="2:34">
      <c r="B77" s="234" t="s">
        <v>1521</v>
      </c>
      <c r="C77" s="235"/>
      <c r="D77" s="235"/>
      <c r="E77" s="236">
        <f>(E68+E67)/E67-1</f>
        <v>6.25E-2</v>
      </c>
      <c r="F77" s="247">
        <f>(F68+F67)/F67-1</f>
        <v>0</v>
      </c>
      <c r="G77" s="248"/>
      <c r="H77" s="249">
        <f>(H68+H67)/H67-1</f>
        <v>0</v>
      </c>
      <c r="J77" s="246">
        <f t="shared" ref="J77:AB77" si="173">(J68+J67)/J67-1</f>
        <v>0</v>
      </c>
      <c r="K77" s="236">
        <f t="shared" si="173"/>
        <v>0</v>
      </c>
      <c r="L77" s="236">
        <f t="shared" si="173"/>
        <v>0</v>
      </c>
      <c r="M77" s="236">
        <f t="shared" si="173"/>
        <v>0</v>
      </c>
      <c r="N77" s="236">
        <f t="shared" si="173"/>
        <v>0</v>
      </c>
      <c r="O77" s="236">
        <f t="shared" si="173"/>
        <v>3.7037037037036979E-2</v>
      </c>
      <c r="P77" s="236">
        <f t="shared" si="173"/>
        <v>0</v>
      </c>
      <c r="Q77" s="236">
        <f t="shared" si="173"/>
        <v>3.8461538461538547E-2</v>
      </c>
      <c r="R77" s="236">
        <f t="shared" si="173"/>
        <v>0</v>
      </c>
      <c r="S77" s="246">
        <f t="shared" si="173"/>
        <v>0</v>
      </c>
      <c r="T77" s="236">
        <f t="shared" si="173"/>
        <v>0</v>
      </c>
      <c r="U77" s="236">
        <f t="shared" si="173"/>
        <v>0</v>
      </c>
      <c r="V77" s="236">
        <f t="shared" si="173"/>
        <v>0</v>
      </c>
      <c r="W77" s="236">
        <f t="shared" si="173"/>
        <v>0</v>
      </c>
      <c r="X77" s="236">
        <f t="shared" si="173"/>
        <v>0</v>
      </c>
      <c r="Y77" s="236">
        <f t="shared" si="173"/>
        <v>0</v>
      </c>
      <c r="Z77" s="236">
        <f t="shared" si="173"/>
        <v>0</v>
      </c>
      <c r="AA77" s="236">
        <f t="shared" si="173"/>
        <v>0</v>
      </c>
      <c r="AB77" s="236">
        <f t="shared" si="173"/>
        <v>0</v>
      </c>
      <c r="AC77" s="236">
        <f t="shared" ref="AC77:AD77" si="174">(AC68+AC67)/AC67-1</f>
        <v>0</v>
      </c>
      <c r="AD77" s="247">
        <f t="shared" si="174"/>
        <v>0</v>
      </c>
      <c r="AF77" s="220"/>
    </row>
    <row r="78" spans="2:34" ht="12" customHeight="1">
      <c r="B78" s="237" t="s">
        <v>1522</v>
      </c>
      <c r="C78" s="238"/>
      <c r="D78" s="238"/>
      <c r="E78" s="239">
        <f>(E72+E75)/E75-1</f>
        <v>-0.4</v>
      </c>
      <c r="F78" s="240">
        <f>(F72+F75)/F75-1</f>
        <v>-1.6800000000000002</v>
      </c>
      <c r="G78" s="248"/>
      <c r="H78" s="242">
        <f>(H72+H75)/H75-1</f>
        <v>-1.7142857142857144</v>
      </c>
      <c r="J78" s="241">
        <f t="shared" ref="J78:AD78" si="175">(J72+J75)/J75-1</f>
        <v>-9.8360655737704916E-2</v>
      </c>
      <c r="K78" s="239">
        <f t="shared" si="175"/>
        <v>-3.5087719298245612E-2</v>
      </c>
      <c r="L78" s="239">
        <f t="shared" si="175"/>
        <v>0</v>
      </c>
      <c r="M78" s="239">
        <f t="shared" si="175"/>
        <v>0</v>
      </c>
      <c r="N78" s="239">
        <f t="shared" si="175"/>
        <v>-3.6363636363636376E-2</v>
      </c>
      <c r="O78" s="239">
        <f t="shared" si="175"/>
        <v>-3.703703703703709E-2</v>
      </c>
      <c r="P78" s="239">
        <f t="shared" si="175"/>
        <v>-3.7735849056603765E-2</v>
      </c>
      <c r="Q78" s="239">
        <f t="shared" si="175"/>
        <v>0</v>
      </c>
      <c r="R78" s="239">
        <f t="shared" si="175"/>
        <v>-3.7735849056603765E-2</v>
      </c>
      <c r="S78" s="241">
        <f t="shared" si="175"/>
        <v>0</v>
      </c>
      <c r="T78" s="239">
        <f t="shared" si="175"/>
        <v>0</v>
      </c>
      <c r="U78" s="239">
        <f t="shared" si="175"/>
        <v>-0.12244897959183676</v>
      </c>
      <c r="V78" s="239">
        <f t="shared" si="175"/>
        <v>-4.4444444444444398E-2</v>
      </c>
      <c r="W78" s="239">
        <f t="shared" si="175"/>
        <v>-4.6511627906976716E-2</v>
      </c>
      <c r="X78" s="239">
        <f t="shared" si="175"/>
        <v>-9.9999999999999978E-2</v>
      </c>
      <c r="Y78" s="239">
        <f t="shared" si="175"/>
        <v>0</v>
      </c>
      <c r="Z78" s="239">
        <f t="shared" si="175"/>
        <v>-5.4054054054054057E-2</v>
      </c>
      <c r="AA78" s="239">
        <f t="shared" si="175"/>
        <v>0</v>
      </c>
      <c r="AB78" s="239">
        <f t="shared" si="175"/>
        <v>-1.6</v>
      </c>
      <c r="AC78" s="239">
        <f t="shared" si="175"/>
        <v>0</v>
      </c>
      <c r="AD78" s="240">
        <f t="shared" si="175"/>
        <v>0</v>
      </c>
      <c r="AF78" s="220"/>
    </row>
    <row r="79" spans="2:34" ht="3.95" customHeight="1">
      <c r="AF79" s="220"/>
    </row>
    <row r="80" spans="2:34" ht="24">
      <c r="B80" s="159" t="s">
        <v>1311</v>
      </c>
      <c r="C80" s="176" t="s">
        <v>1319</v>
      </c>
      <c r="D80" s="176" t="s">
        <v>3</v>
      </c>
      <c r="E80" s="176" t="s">
        <v>4</v>
      </c>
      <c r="F80" s="176" t="s">
        <v>1320</v>
      </c>
      <c r="G80" s="193"/>
      <c r="H80" s="176" t="s">
        <v>1530</v>
      </c>
      <c r="J80" s="192">
        <v>45658</v>
      </c>
      <c r="K80" s="192">
        <f t="shared" ref="K80" si="176">EOMONTH(J80,0)+1</f>
        <v>45689</v>
      </c>
      <c r="L80" s="192">
        <f t="shared" ref="L80" si="177">EOMONTH(K80,0)+1</f>
        <v>45717</v>
      </c>
      <c r="M80" s="192">
        <f t="shared" ref="M80" si="178">EOMONTH(L80,0)+1</f>
        <v>45748</v>
      </c>
      <c r="N80" s="192">
        <f t="shared" ref="N80" si="179">EOMONTH(M80,0)+1</f>
        <v>45778</v>
      </c>
      <c r="O80" s="192">
        <f t="shared" ref="O80" si="180">EOMONTH(N80,0)+1</f>
        <v>45809</v>
      </c>
      <c r="P80" s="192">
        <f t="shared" ref="P80" si="181">EOMONTH(O80,0)+1</f>
        <v>45839</v>
      </c>
      <c r="Q80" s="192">
        <v>45870</v>
      </c>
      <c r="R80" s="192">
        <f t="shared" ref="R80" si="182">EOMONTH(Q80,0)+1</f>
        <v>45901</v>
      </c>
      <c r="S80" s="192">
        <f t="shared" ref="S80" si="183">EOMONTH(R80,0)+1</f>
        <v>45931</v>
      </c>
      <c r="T80" s="192">
        <f t="shared" ref="T80" si="184">EOMONTH(S80,0)+1</f>
        <v>45962</v>
      </c>
      <c r="U80" s="192">
        <f t="shared" ref="U80" si="185">EOMONTH(T80,0)+1</f>
        <v>45992</v>
      </c>
      <c r="V80" s="192">
        <f t="shared" ref="V80" si="186">EOMONTH(U80,0)+1</f>
        <v>46023</v>
      </c>
      <c r="W80" s="192">
        <f t="shared" ref="W80" si="187">EOMONTH(V80,0)+1</f>
        <v>46054</v>
      </c>
      <c r="X80" s="192">
        <f t="shared" ref="X80" si="188">EOMONTH(W80,0)+1</f>
        <v>46082</v>
      </c>
      <c r="Y80" s="192">
        <f t="shared" ref="Y80" si="189">EOMONTH(X80,0)+1</f>
        <v>46113</v>
      </c>
      <c r="Z80" s="192">
        <f t="shared" ref="Z80" si="190">EOMONTH(Y80,0)+1</f>
        <v>46143</v>
      </c>
      <c r="AA80" s="192">
        <f t="shared" ref="AA80" si="191">EOMONTH(Z80,0)+1</f>
        <v>46174</v>
      </c>
      <c r="AB80" s="192">
        <f t="shared" ref="AB80" si="192">EOMONTH(AA80,0)+1</f>
        <v>46204</v>
      </c>
      <c r="AC80" s="192">
        <f t="shared" ref="AC80" si="193">EOMONTH(AB80,0)+1</f>
        <v>46235</v>
      </c>
      <c r="AD80" s="192">
        <f t="shared" ref="AD80" si="194">EOMONTH(AC80,0)+1</f>
        <v>46266</v>
      </c>
      <c r="AE80" s="187"/>
      <c r="AF80" s="220" t="s">
        <v>1303</v>
      </c>
      <c r="AG80" s="187"/>
      <c r="AH80" s="187"/>
    </row>
    <row r="81" spans="2:34">
      <c r="B81" s="186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1316</v>
      </c>
      <c r="C82" s="182"/>
      <c r="D82" s="182"/>
      <c r="E82" s="182">
        <f>+E88-E83-E87</f>
        <v>30</v>
      </c>
      <c r="F82" s="182">
        <f>+F88-F83-F87</f>
        <v>3</v>
      </c>
      <c r="H82" s="182">
        <f t="shared" ref="H82" si="195">+H88-H83-H87</f>
        <v>17</v>
      </c>
      <c r="J82" s="182">
        <f t="shared" ref="J82:Z82" si="196">+J88-J83-J87</f>
        <v>30</v>
      </c>
      <c r="K82" s="182">
        <f t="shared" si="196"/>
        <v>26</v>
      </c>
      <c r="L82" s="182">
        <f t="shared" si="196"/>
        <v>26</v>
      </c>
      <c r="M82" s="182">
        <f t="shared" si="196"/>
        <v>26</v>
      </c>
      <c r="N82" s="182">
        <f t="shared" si="196"/>
        <v>23</v>
      </c>
      <c r="O82" s="182">
        <f t="shared" si="196"/>
        <v>23</v>
      </c>
      <c r="P82" s="182">
        <f t="shared" si="196"/>
        <v>18</v>
      </c>
      <c r="Q82" s="182">
        <f t="shared" si="196"/>
        <v>19</v>
      </c>
      <c r="R82" s="182">
        <f t="shared" si="196"/>
        <v>18</v>
      </c>
      <c r="S82" s="182">
        <f t="shared" si="196"/>
        <v>17</v>
      </c>
      <c r="T82" s="182">
        <f t="shared" si="196"/>
        <v>17</v>
      </c>
      <c r="U82" s="182">
        <f t="shared" si="196"/>
        <v>10</v>
      </c>
      <c r="V82" s="182">
        <f t="shared" si="196"/>
        <v>3</v>
      </c>
      <c r="W82" s="182">
        <f t="shared" si="196"/>
        <v>1</v>
      </c>
      <c r="X82" s="182">
        <f t="shared" si="196"/>
        <v>1</v>
      </c>
      <c r="Y82" s="182">
        <f t="shared" si="196"/>
        <v>1</v>
      </c>
      <c r="Z82" s="182">
        <f t="shared" si="196"/>
        <v>2</v>
      </c>
      <c r="AA82" s="182">
        <f>+AA88-AA83-AA87</f>
        <v>1</v>
      </c>
      <c r="AB82" s="182">
        <f>+AB88-AB83-AB87</f>
        <v>1</v>
      </c>
      <c r="AC82" s="182">
        <f t="shared" ref="AC82:AD82" si="197">+AC88-AC83-AC87</f>
        <v>0</v>
      </c>
      <c r="AD82" s="182">
        <f t="shared" si="197"/>
        <v>0</v>
      </c>
    </row>
    <row r="83" spans="2:34">
      <c r="B83" s="191" t="s">
        <v>1317</v>
      </c>
      <c r="E83" s="197">
        <f>SUM(J83:U83)</f>
        <v>16</v>
      </c>
      <c r="F83" s="197">
        <f>SUM(V83:AD83)</f>
        <v>1</v>
      </c>
      <c r="H83" s="197">
        <f>SUM(S83:AD83)</f>
        <v>4</v>
      </c>
      <c r="J83" s="195">
        <f>COUNTIFS('Full Customer List'!$I:$I,'Client Retention'!J$5,'Full Customer List'!$E:$E,$AF80)</f>
        <v>0</v>
      </c>
      <c r="K83" s="195">
        <f>COUNTIFS('Full Customer List'!$I:$I,'Client Retention'!K$5,'Full Customer List'!$E:$E,$AF80)</f>
        <v>3</v>
      </c>
      <c r="L83" s="195">
        <f>COUNTIFS('Full Customer List'!$I:$I,'Client Retention'!L$5,'Full Customer List'!$E:$E,$AF80)</f>
        <v>2</v>
      </c>
      <c r="M83" s="195">
        <f>COUNTIFS('Full Customer List'!$I:$I,'Client Retention'!M$5,'Full Customer List'!$E:$E,$AF80)</f>
        <v>1</v>
      </c>
      <c r="N83" s="195">
        <f>COUNTIFS('Full Customer List'!$I:$I,'Client Retention'!N$5,'Full Customer List'!$E:$E,$AF80)</f>
        <v>2</v>
      </c>
      <c r="O83" s="195">
        <f>COUNTIFS('Full Customer List'!$I:$I,'Client Retention'!O$5,'Full Customer List'!$E:$E,$AF80)</f>
        <v>1</v>
      </c>
      <c r="P83" s="195">
        <f>COUNTIFS('Full Customer List'!$I:$I,'Client Retention'!P$5,'Full Customer List'!$E:$E,$AF80)</f>
        <v>1</v>
      </c>
      <c r="Q83" s="195">
        <f>COUNTIFS('Full Customer List'!$I:$I,'Client Retention'!Q$5,'Full Customer List'!$E:$E,$AF80)</f>
        <v>1</v>
      </c>
      <c r="R83" s="195">
        <f>COUNTIFS('Full Customer List'!$I:$I,'Client Retention'!R$5,'Full Customer List'!$E:$E,$AF80)</f>
        <v>2</v>
      </c>
      <c r="S83" s="195">
        <f>COUNTIFS('Full Customer List'!$I:$I,'Client Retention'!S$5,'Full Customer List'!$E:$E,$AF80)</f>
        <v>1</v>
      </c>
      <c r="T83" s="195">
        <f>COUNTIFS('Full Customer List'!$I:$I,'Client Retention'!T$5,'Full Customer List'!$E:$E,$AF80)</f>
        <v>1</v>
      </c>
      <c r="U83" s="195">
        <f>COUNTIFS('Full Customer List'!$I:$I,'Client Retention'!U$5,'Full Customer List'!$E:$E,$AF80)</f>
        <v>1</v>
      </c>
      <c r="V83" s="195">
        <f>COUNTIFS('Full Customer List'!$I:$I,'Client Retention'!V$5,'Full Customer List'!$E:$E,$AF80)</f>
        <v>0</v>
      </c>
      <c r="W83" s="195">
        <f>COUNTIFS('Full Customer List'!$I:$I,'Client Retention'!W$5,'Full Customer List'!$E:$E,$AF80)</f>
        <v>0</v>
      </c>
      <c r="X83" s="195">
        <f>COUNTIFS('Full Customer List'!$I:$I,'Client Retention'!X$5,'Full Customer List'!$E:$E,$AF80)</f>
        <v>0</v>
      </c>
      <c r="Y83" s="195">
        <f>COUNTIFS('Full Customer List'!$I:$I,'Client Retention'!Y$5,'Full Customer List'!$E:$E,$AF80)</f>
        <v>1</v>
      </c>
      <c r="Z83" s="195">
        <f>COUNTIFS('Full Customer List'!$I:$I,'Client Retention'!Z$5,'Full Customer List'!$E:$E,$AF80)</f>
        <v>0</v>
      </c>
      <c r="AA83" s="195">
        <f>COUNTIFS('Full Customer List'!$I:$I,'Client Retention'!AA$5,'Full Customer List'!$E:$E,$AF80)</f>
        <v>0</v>
      </c>
      <c r="AB83" s="195">
        <f>COUNTIFS('Full Customer List'!$I:$I,'Client Retention'!AB$5,'Full Customer List'!$E:$E,$AF80)</f>
        <v>0</v>
      </c>
      <c r="AC83" s="195">
        <f>COUNTIFS('Full Customer List'!$I:$I,'Client Retention'!AC$5,'Full Customer List'!$E:$E,$AF80)</f>
        <v>0</v>
      </c>
      <c r="AD83" s="195">
        <f>COUNTIFS('Full Customer List'!$I:$I,'Client Retention'!AD$5,'Full Customer List'!$E:$E,$AF80)</f>
        <v>0</v>
      </c>
    </row>
    <row r="84" spans="2:34">
      <c r="B84" s="265" t="s">
        <v>1531</v>
      </c>
      <c r="E84" s="197">
        <f t="shared" ref="E84:E86" si="198">SUM(J84:U84)</f>
        <v>-24</v>
      </c>
      <c r="F84" s="197">
        <f t="shared" ref="F84:F86" si="199">SUM(V84:AD84)</f>
        <v>-2</v>
      </c>
      <c r="H84" s="197">
        <f t="shared" ref="H84:H86" si="200">SUM(S84:AD84)</f>
        <v>-11</v>
      </c>
      <c r="J84" s="195">
        <f>-COUNTIFS('Full Customer List'!$J:$J,J$1,'Full Customer List'!$E:$E,$AF80,'Full Customer List'!$H:$H,'Client Retention'!$AF84)</f>
        <v>0</v>
      </c>
      <c r="K84" s="195">
        <f>-COUNTIFS('Full Customer List'!$J:$J,K$1,'Full Customer List'!$E:$E,$AF80,'Full Customer List'!$H:$H,'Client Retention'!$AF84)</f>
        <v>-2</v>
      </c>
      <c r="L84" s="195">
        <f>-COUNTIFS('Full Customer List'!$J:$J,L$1,'Full Customer List'!$E:$E,$AF80,'Full Customer List'!$H:$H,'Client Retention'!$AF84)</f>
        <v>-1</v>
      </c>
      <c r="M84" s="195">
        <f>-COUNTIFS('Full Customer List'!$J:$J,M$1,'Full Customer List'!$E:$E,$AF80,'Full Customer List'!$H:$H,'Client Retention'!$AF84)</f>
        <v>-3</v>
      </c>
      <c r="N84" s="195">
        <f>-COUNTIFS('Full Customer List'!$J:$J,N$1,'Full Customer List'!$E:$E,$AF80,'Full Customer List'!$H:$H,'Client Retention'!$AF84)</f>
        <v>0</v>
      </c>
      <c r="O84" s="195">
        <f>-COUNTIFS('Full Customer List'!$J:$J,O$1,'Full Customer List'!$E:$E,$AF80,'Full Customer List'!$H:$H,'Client Retention'!$AF84)</f>
        <v>-5</v>
      </c>
      <c r="P84" s="195">
        <f>-COUNTIFS('Full Customer List'!$J:$J,P$1,'Full Customer List'!$E:$E,$AF80,'Full Customer List'!$H:$H,'Client Retention'!$AF84)</f>
        <v>0</v>
      </c>
      <c r="Q84" s="195">
        <f>-COUNTIFS('Full Customer List'!$J:$J,Q$1,'Full Customer List'!$E:$E,$AF80,'Full Customer List'!$H:$H,'Client Retention'!$AF84)</f>
        <v>-2</v>
      </c>
      <c r="R84" s="195">
        <f>-COUNTIFS('Full Customer List'!$J:$J,R$1,'Full Customer List'!$E:$E,$AF80,'Full Customer List'!$H:$H,'Client Retention'!$AF84)</f>
        <v>-2</v>
      </c>
      <c r="S84" s="195">
        <f>-COUNTIFS('Full Customer List'!$J:$J,S$1,'Full Customer List'!$E:$E,$AF80,'Full Customer List'!$H:$H,'Client Retention'!$AF84)</f>
        <v>-1</v>
      </c>
      <c r="T84" s="195">
        <f>-COUNTIFS('Full Customer List'!$J:$J,T$1,'Full Customer List'!$E:$E,$AF80,'Full Customer List'!$H:$H,'Client Retention'!$AF84)</f>
        <v>-3</v>
      </c>
      <c r="U84" s="195">
        <f>-COUNTIFS('Full Customer List'!$J:$J,U$1,'Full Customer List'!$E:$E,$AF80,'Full Customer List'!$H:$H,'Client Retention'!$AF84)</f>
        <v>-5</v>
      </c>
      <c r="V84" s="195">
        <f>-COUNTIFS('Full Customer List'!$J:$J,V$1,'Full Customer List'!$E:$E,$AF80,'Full Customer List'!$H:$H,'Client Retention'!$AF84)</f>
        <v>-1</v>
      </c>
      <c r="W84" s="195">
        <f>-COUNTIFS('Full Customer List'!$J:$J,W$1,'Full Customer List'!$E:$E,$AF80,'Full Customer List'!$H:$H,'Client Retention'!$AF84)</f>
        <v>0</v>
      </c>
      <c r="X84" s="195">
        <f>-COUNTIFS('Full Customer List'!$J:$J,X$1,'Full Customer List'!$E:$E,$AF80,'Full Customer List'!$H:$H,'Client Retention'!$AF84)</f>
        <v>0</v>
      </c>
      <c r="Y84" s="195">
        <f>-COUNTIFS('Full Customer List'!$J:$J,Y$1,'Full Customer List'!$E:$E,$AF80,'Full Customer List'!$H:$H,'Client Retention'!$AF84)</f>
        <v>0</v>
      </c>
      <c r="Z84" s="195">
        <f>-COUNTIFS('Full Customer List'!$J:$J,Z$1,'Full Customer List'!$E:$E,$AF80,'Full Customer List'!$H:$H,'Client Retention'!$AF84)</f>
        <v>-1</v>
      </c>
      <c r="AA84" s="195">
        <f>-COUNTIFS('Full Customer List'!$J:$J,AA$1,'Full Customer List'!$E:$E,$AF80,'Full Customer List'!$H:$H,'Client Retention'!$AF84)</f>
        <v>0</v>
      </c>
      <c r="AB84" s="195">
        <f>-COUNTIFS('Full Customer List'!$J:$J,AB$1,'Full Customer List'!$E:$E,$AF80,'Full Customer List'!$H:$H,'Client Retention'!$AF84)</f>
        <v>0</v>
      </c>
      <c r="AC84" s="195">
        <f>-COUNTIFS('Full Customer List'!$J:$J,AC$1,'Full Customer List'!$E:$E,$AF80,'Full Customer List'!$H:$H,'Client Retention'!$AF84)</f>
        <v>0</v>
      </c>
      <c r="AD84" s="195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5" t="s">
        <v>1532</v>
      </c>
      <c r="E85" s="197">
        <f t="shared" si="198"/>
        <v>-19</v>
      </c>
      <c r="F85" s="197">
        <f t="shared" si="199"/>
        <v>-2</v>
      </c>
      <c r="H85" s="197">
        <f t="shared" si="200"/>
        <v>-10</v>
      </c>
      <c r="J85" s="195">
        <f>-COUNTIFS('Full Customer List'!$J:$J,J$1,'Full Customer List'!$E:$E,$AF80,'Full Customer List'!$H:$H,'Client Retention'!$AF85)</f>
        <v>-4</v>
      </c>
      <c r="K85" s="195">
        <f>-COUNTIFS('Full Customer List'!$J:$J,K$1,'Full Customer List'!$E:$E,$AF80,'Full Customer List'!$H:$H,'Client Retention'!$AF85)</f>
        <v>-1</v>
      </c>
      <c r="L85" s="195">
        <f>-COUNTIFS('Full Customer List'!$J:$J,L$1,'Full Customer List'!$E:$E,$AF80,'Full Customer List'!$H:$H,'Client Retention'!$AF85)</f>
        <v>-1</v>
      </c>
      <c r="M85" s="195">
        <f>-COUNTIFS('Full Customer List'!$J:$J,M$1,'Full Customer List'!$E:$E,$AF80,'Full Customer List'!$H:$H,'Client Retention'!$AF85)</f>
        <v>-1</v>
      </c>
      <c r="N85" s="195">
        <f>-COUNTIFS('Full Customer List'!$J:$J,N$1,'Full Customer List'!$E:$E,$AF80,'Full Customer List'!$H:$H,'Client Retention'!$AF85)</f>
        <v>-2</v>
      </c>
      <c r="O85" s="195">
        <f>-COUNTIFS('Full Customer List'!$J:$J,O$1,'Full Customer List'!$E:$E,$AF80,'Full Customer List'!$H:$H,'Client Retention'!$AF85)</f>
        <v>-1</v>
      </c>
      <c r="P85" s="195">
        <f>-COUNTIFS('Full Customer List'!$J:$J,P$1,'Full Customer List'!$E:$E,$AF80,'Full Customer List'!$H:$H,'Client Retention'!$AF85)</f>
        <v>0</v>
      </c>
      <c r="Q85" s="195">
        <f>-COUNTIFS('Full Customer List'!$J:$J,Q$1,'Full Customer List'!$E:$E,$AF80,'Full Customer List'!$H:$H,'Client Retention'!$AF85)</f>
        <v>0</v>
      </c>
      <c r="R85" s="195">
        <f>-COUNTIFS('Full Customer List'!$J:$J,R$1,'Full Customer List'!$E:$E,$AF80,'Full Customer List'!$H:$H,'Client Retention'!$AF85)</f>
        <v>-1</v>
      </c>
      <c r="S85" s="195">
        <f>-COUNTIFS('Full Customer List'!$J:$J,S$1,'Full Customer List'!$E:$E,$AF80,'Full Customer List'!$H:$H,'Client Retention'!$AF85)</f>
        <v>0</v>
      </c>
      <c r="T85" s="195">
        <f>-COUNTIFS('Full Customer List'!$J:$J,T$1,'Full Customer List'!$E:$E,$AF80,'Full Customer List'!$H:$H,'Client Retention'!$AF85)</f>
        <v>-5</v>
      </c>
      <c r="U85" s="195">
        <f>-COUNTIFS('Full Customer List'!$J:$J,U$1,'Full Customer List'!$E:$E,$AF80,'Full Customer List'!$H:$H,'Client Retention'!$AF85)</f>
        <v>-3</v>
      </c>
      <c r="V85" s="195">
        <f>-COUNTIFS('Full Customer List'!$J:$J,V$1,'Full Customer List'!$E:$E,$AF80,'Full Customer List'!$H:$H,'Client Retention'!$AF85)</f>
        <v>-1</v>
      </c>
      <c r="W85" s="195">
        <f>-COUNTIFS('Full Customer List'!$J:$J,W$1,'Full Customer List'!$E:$E,$AF80,'Full Customer List'!$H:$H,'Client Retention'!$AF85)</f>
        <v>0</v>
      </c>
      <c r="X85" s="195">
        <f>-COUNTIFS('Full Customer List'!$J:$J,X$1,'Full Customer List'!$E:$E,$AF80,'Full Customer List'!$H:$H,'Client Retention'!$AF85)</f>
        <v>0</v>
      </c>
      <c r="Y85" s="195">
        <f>-COUNTIFS('Full Customer List'!$J:$J,Y$1,'Full Customer List'!$E:$E,$AF80,'Full Customer List'!$H:$H,'Client Retention'!$AF85)</f>
        <v>0</v>
      </c>
      <c r="Z85" s="195">
        <f>-COUNTIFS('Full Customer List'!$J:$J,Z$1,'Full Customer List'!$E:$E,$AF80,'Full Customer List'!$H:$H,'Client Retention'!$AF85)</f>
        <v>0</v>
      </c>
      <c r="AA85" s="195">
        <f>-COUNTIFS('Full Customer List'!$J:$J,AA$1,'Full Customer List'!$E:$E,$AF80,'Full Customer List'!$H:$H,'Client Retention'!$AF85)</f>
        <v>0</v>
      </c>
      <c r="AB85" s="195">
        <f>-COUNTIFS('Full Customer List'!$J:$J,AB$1,'Full Customer List'!$E:$E,$AF80,'Full Customer List'!$H:$H,'Client Retention'!$AF85)</f>
        <v>-1</v>
      </c>
      <c r="AC85" s="195">
        <f>-COUNTIFS('Full Customer List'!$J:$J,AC$1,'Full Customer List'!$E:$E,$AF80,'Full Customer List'!$H:$H,'Client Retention'!$AF85)</f>
        <v>0</v>
      </c>
      <c r="AD85" s="195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5" t="s">
        <v>1533</v>
      </c>
      <c r="E86" s="197">
        <f t="shared" si="198"/>
        <v>0</v>
      </c>
      <c r="F86" s="197">
        <f t="shared" si="199"/>
        <v>0</v>
      </c>
      <c r="H86" s="197">
        <f t="shared" si="200"/>
        <v>0</v>
      </c>
      <c r="J86" s="195">
        <f>-COUNTIFS('Full Customer List'!$J:$J,J$1,'Full Customer List'!$E:$E,$AF80,'Full Customer List'!$H:$H,'Client Retention'!$AF86)</f>
        <v>0</v>
      </c>
      <c r="K86" s="195">
        <f>-COUNTIFS('Full Customer List'!$J:$J,K$1,'Full Customer List'!$E:$E,$AF80,'Full Customer List'!$H:$H,'Client Retention'!$AF86)</f>
        <v>0</v>
      </c>
      <c r="L86" s="195">
        <f>-COUNTIFS('Full Customer List'!$J:$J,L$1,'Full Customer List'!$E:$E,$AF80,'Full Customer List'!$H:$H,'Client Retention'!$AF86)</f>
        <v>0</v>
      </c>
      <c r="M86" s="195">
        <f>-COUNTIFS('Full Customer List'!$J:$J,M$1,'Full Customer List'!$E:$E,$AF80,'Full Customer List'!$H:$H,'Client Retention'!$AF86)</f>
        <v>0</v>
      </c>
      <c r="N86" s="195">
        <f>-COUNTIFS('Full Customer List'!$J:$J,N$1,'Full Customer List'!$E:$E,$AF80,'Full Customer List'!$H:$H,'Client Retention'!$AF86)</f>
        <v>0</v>
      </c>
      <c r="O86" s="195">
        <f>-COUNTIFS('Full Customer List'!$J:$J,O$1,'Full Customer List'!$E:$E,$AF80,'Full Customer List'!$H:$H,'Client Retention'!$AF86)</f>
        <v>0</v>
      </c>
      <c r="P86" s="195">
        <f>-COUNTIFS('Full Customer List'!$J:$J,P$1,'Full Customer List'!$E:$E,$AF80,'Full Customer List'!$H:$H,'Client Retention'!$AF86)</f>
        <v>0</v>
      </c>
      <c r="Q86" s="195">
        <f>-COUNTIFS('Full Customer List'!$J:$J,Q$1,'Full Customer List'!$E:$E,$AF80,'Full Customer List'!$H:$H,'Client Retention'!$AF86)</f>
        <v>0</v>
      </c>
      <c r="R86" s="195">
        <f>-COUNTIFS('Full Customer List'!$J:$J,R$1,'Full Customer List'!$E:$E,$AF80,'Full Customer List'!$H:$H,'Client Retention'!$AF86)</f>
        <v>0</v>
      </c>
      <c r="S86" s="195">
        <f>-COUNTIFS('Full Customer List'!$J:$J,S$1,'Full Customer List'!$E:$E,$AF80,'Full Customer List'!$H:$H,'Client Retention'!$AF86)</f>
        <v>0</v>
      </c>
      <c r="T86" s="195">
        <f>-COUNTIFS('Full Customer List'!$J:$J,T$1,'Full Customer List'!$E:$E,$AF80,'Full Customer List'!$H:$H,'Client Retention'!$AF86)</f>
        <v>0</v>
      </c>
      <c r="U86" s="195">
        <f>-COUNTIFS('Full Customer List'!$J:$J,U$1,'Full Customer List'!$E:$E,$AF80,'Full Customer List'!$H:$H,'Client Retention'!$AF86)</f>
        <v>0</v>
      </c>
      <c r="V86" s="195">
        <f>-COUNTIFS('Full Customer List'!$J:$J,V$1,'Full Customer List'!$E:$E,$AF80,'Full Customer List'!$H:$H,'Client Retention'!$AF86)</f>
        <v>0</v>
      </c>
      <c r="W86" s="195">
        <f>-COUNTIFS('Full Customer List'!$J:$J,W$1,'Full Customer List'!$E:$E,$AF80,'Full Customer List'!$H:$H,'Client Retention'!$AF86)</f>
        <v>0</v>
      </c>
      <c r="X86" s="195">
        <f>-COUNTIFS('Full Customer List'!$J:$J,X$1,'Full Customer List'!$E:$E,$AF80,'Full Customer List'!$H:$H,'Client Retention'!$AF86)</f>
        <v>0</v>
      </c>
      <c r="Y86" s="195">
        <f>-COUNTIFS('Full Customer List'!$J:$J,Y$1,'Full Customer List'!$E:$E,$AF80,'Full Customer List'!$H:$H,'Client Retention'!$AF86)</f>
        <v>0</v>
      </c>
      <c r="Z86" s="195">
        <f>-COUNTIFS('Full Customer List'!$J:$J,Z$1,'Full Customer List'!$E:$E,$AF80,'Full Customer List'!$H:$H,'Client Retention'!$AF86)</f>
        <v>0</v>
      </c>
      <c r="AA86" s="195">
        <f>-COUNTIFS('Full Customer List'!$J:$J,AA$1,'Full Customer List'!$E:$E,$AF80,'Full Customer List'!$H:$H,'Client Retention'!$AF86)</f>
        <v>0</v>
      </c>
      <c r="AB86" s="195">
        <f>-COUNTIFS('Full Customer List'!$J:$J,AB$1,'Full Customer List'!$E:$E,$AF80,'Full Customer List'!$H:$H,'Client Retention'!$AF86)</f>
        <v>0</v>
      </c>
      <c r="AC86" s="195">
        <f>-COUNTIFS('Full Customer List'!$J:$J,AC$1,'Full Customer List'!$E:$E,$AF80,'Full Customer List'!$H:$H,'Client Retention'!$AF86)</f>
        <v>0</v>
      </c>
      <c r="AD86" s="195">
        <f>-COUNTIFS('Full Customer List'!$J:$J,AD$1,'Full Customer List'!$E:$E,$AF80,'Full Customer List'!$H:$H,'Client Retention'!$AF86)</f>
        <v>0</v>
      </c>
      <c r="AF86" s="173" t="s">
        <v>1534</v>
      </c>
    </row>
    <row r="87" spans="2:34" ht="12" customHeight="1">
      <c r="B87" s="255" t="s">
        <v>1535</v>
      </c>
      <c r="C87" s="258"/>
      <c r="D87" s="258"/>
      <c r="E87" s="256">
        <f>SUM(J87:U87)</f>
        <v>-43</v>
      </c>
      <c r="F87" s="256">
        <f>SUM(V87:AD87)</f>
        <v>-4</v>
      </c>
      <c r="G87" s="257"/>
      <c r="H87" s="256">
        <f>SUM(S87:AD87)</f>
        <v>-21</v>
      </c>
      <c r="I87" s="257"/>
      <c r="J87" s="258">
        <f>-COUNTIFS('Full Customer List'!$J:$J,J$1,'Full Customer List'!$E:$E,$AF80)</f>
        <v>-4</v>
      </c>
      <c r="K87" s="258">
        <f>-COUNTIFS('Full Customer List'!$J:$J,K$1,'Full Customer List'!$E:$E,$AF80)</f>
        <v>-3</v>
      </c>
      <c r="L87" s="258">
        <f>-COUNTIFS('Full Customer List'!$J:$J,L$1,'Full Customer List'!$E:$E,$AF80)</f>
        <v>-2</v>
      </c>
      <c r="M87" s="258">
        <f>-COUNTIFS('Full Customer List'!$J:$J,M$1,'Full Customer List'!$E:$E,$AF80)</f>
        <v>-4</v>
      </c>
      <c r="N87" s="258">
        <f>-COUNTIFS('Full Customer List'!$J:$J,N$1,'Full Customer List'!$E:$E,$AF80)</f>
        <v>-2</v>
      </c>
      <c r="O87" s="258">
        <f>-COUNTIFS('Full Customer List'!$J:$J,O$1,'Full Customer List'!$E:$E,$AF80)</f>
        <v>-6</v>
      </c>
      <c r="P87" s="258">
        <f>-COUNTIFS('Full Customer List'!$J:$J,P$1,'Full Customer List'!$E:$E,$AF80)</f>
        <v>0</v>
      </c>
      <c r="Q87" s="258">
        <f>-COUNTIFS('Full Customer List'!$J:$J,Q$1,'Full Customer List'!$E:$E,$AF80)</f>
        <v>-2</v>
      </c>
      <c r="R87" s="258">
        <f>-COUNTIFS('Full Customer List'!$J:$J,R$1,'Full Customer List'!$E:$E,$AF80)</f>
        <v>-3</v>
      </c>
      <c r="S87" s="258">
        <f>-COUNTIFS('Full Customer List'!$J:$J,S$1,'Full Customer List'!$E:$E,$AF80)</f>
        <v>-1</v>
      </c>
      <c r="T87" s="258">
        <f>-COUNTIFS('Full Customer List'!$J:$J,T$1,'Full Customer List'!$E:$E,$AF80)</f>
        <v>-8</v>
      </c>
      <c r="U87" s="258">
        <f>-COUNTIFS('Full Customer List'!$J:$J,U$1,'Full Customer List'!$E:$E,$AF80)</f>
        <v>-8</v>
      </c>
      <c r="V87" s="258">
        <f>-COUNTIFS('Full Customer List'!$J:$J,V$1,'Full Customer List'!$E:$E,$AF80)</f>
        <v>-2</v>
      </c>
      <c r="W87" s="258">
        <f>-COUNTIFS('Full Customer List'!$J:$J,W$1,'Full Customer List'!$E:$E,$AF80)</f>
        <v>0</v>
      </c>
      <c r="X87" s="258">
        <f>-COUNTIFS('Full Customer List'!$J:$J,X$1,'Full Customer List'!$E:$E,$AF80)</f>
        <v>0</v>
      </c>
      <c r="Y87" s="258">
        <f>-COUNTIFS('Full Customer List'!$J:$J,Y$1,'Full Customer List'!$E:$E,$AF80)</f>
        <v>0</v>
      </c>
      <c r="Z87" s="258">
        <f>-COUNTIFS('Full Customer List'!$J:$J,Z$1,'Full Customer List'!$E:$E,$AF80)</f>
        <v>-1</v>
      </c>
      <c r="AA87" s="258">
        <f>-COUNTIFS('Full Customer List'!$J:$J,AA$1,'Full Customer List'!$E:$E,$AF80)</f>
        <v>0</v>
      </c>
      <c r="AB87" s="258">
        <f>-COUNTIFS('Full Customer List'!$J:$J,AB$1,'Full Customer List'!$E:$E,$AF80)</f>
        <v>-1</v>
      </c>
      <c r="AC87" s="258">
        <f>-COUNTIFS('Full Customer List'!$J:$J,AC$1,'Full Customer List'!$E:$E,$AF80)</f>
        <v>0</v>
      </c>
      <c r="AD87" s="258">
        <f>-COUNTIFS('Full Customer List'!$J:$J,AD$1,'Full Customer List'!$E:$E,$AF80)</f>
        <v>0</v>
      </c>
    </row>
    <row r="88" spans="2:34">
      <c r="B88" s="259" t="s">
        <v>1318</v>
      </c>
      <c r="C88" s="260"/>
      <c r="D88" s="260"/>
      <c r="E88" s="260">
        <f>+F82</f>
        <v>3</v>
      </c>
      <c r="F88" s="261">
        <f>+$AD88</f>
        <v>0</v>
      </c>
      <c r="H88" s="264">
        <f>+$AD88</f>
        <v>0</v>
      </c>
      <c r="J88" s="262">
        <f t="shared" ref="J88:AC88" si="201">+K82</f>
        <v>26</v>
      </c>
      <c r="K88" s="260">
        <f t="shared" si="201"/>
        <v>26</v>
      </c>
      <c r="L88" s="260">
        <f t="shared" si="201"/>
        <v>26</v>
      </c>
      <c r="M88" s="260">
        <f t="shared" si="201"/>
        <v>23</v>
      </c>
      <c r="N88" s="260">
        <f t="shared" si="201"/>
        <v>23</v>
      </c>
      <c r="O88" s="260">
        <f t="shared" si="201"/>
        <v>18</v>
      </c>
      <c r="P88" s="260">
        <f t="shared" si="201"/>
        <v>19</v>
      </c>
      <c r="Q88" s="260">
        <f t="shared" si="201"/>
        <v>18</v>
      </c>
      <c r="R88" s="260">
        <f t="shared" si="201"/>
        <v>17</v>
      </c>
      <c r="S88" s="262">
        <f t="shared" si="201"/>
        <v>17</v>
      </c>
      <c r="T88" s="260">
        <f t="shared" si="201"/>
        <v>10</v>
      </c>
      <c r="U88" s="260">
        <f t="shared" si="201"/>
        <v>3</v>
      </c>
      <c r="V88" s="260">
        <f t="shared" si="201"/>
        <v>1</v>
      </c>
      <c r="W88" s="260">
        <f t="shared" si="201"/>
        <v>1</v>
      </c>
      <c r="X88" s="260">
        <f t="shared" si="201"/>
        <v>1</v>
      </c>
      <c r="Y88" s="260">
        <f t="shared" si="201"/>
        <v>2</v>
      </c>
      <c r="Z88" s="260">
        <f t="shared" si="201"/>
        <v>1</v>
      </c>
      <c r="AA88" s="260">
        <f t="shared" si="201"/>
        <v>1</v>
      </c>
      <c r="AB88" s="260">
        <f t="shared" si="201"/>
        <v>0</v>
      </c>
      <c r="AC88" s="260">
        <f t="shared" si="201"/>
        <v>0</v>
      </c>
      <c r="AD88" s="261">
        <f>COUNTIFS('Full Customer List'!$C:$C,"Active",'Full Customer List'!$E:$E,'Client Retention'!$AF80)</f>
        <v>0</v>
      </c>
    </row>
    <row r="89" spans="2:34" ht="3.95" customHeight="1">
      <c r="B89" s="180"/>
      <c r="C89" s="232"/>
      <c r="D89" s="232"/>
      <c r="E89" s="232"/>
      <c r="F89" s="232"/>
      <c r="H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3"/>
      <c r="AC89" s="233"/>
      <c r="AD89" s="233"/>
    </row>
    <row r="90" spans="2:34">
      <c r="B90" s="259" t="s">
        <v>1854</v>
      </c>
      <c r="C90" s="260"/>
      <c r="D90" s="260"/>
      <c r="E90" s="260">
        <f>AVERAGE(E82,E88)</f>
        <v>16.5</v>
      </c>
      <c r="F90" s="261">
        <f>AVERAGE(F82,F88)</f>
        <v>1.5</v>
      </c>
      <c r="H90" s="264">
        <f>AVERAGE(H82,H88)</f>
        <v>8.5</v>
      </c>
      <c r="J90" s="262">
        <f>AVERAGE(J82,J88)</f>
        <v>28</v>
      </c>
      <c r="K90" s="260">
        <f t="shared" ref="K90:AD90" si="202">AVERAGE(K82,K88)</f>
        <v>26</v>
      </c>
      <c r="L90" s="260">
        <f t="shared" si="202"/>
        <v>26</v>
      </c>
      <c r="M90" s="260">
        <f t="shared" si="202"/>
        <v>24.5</v>
      </c>
      <c r="N90" s="260">
        <f t="shared" si="202"/>
        <v>23</v>
      </c>
      <c r="O90" s="260">
        <f t="shared" si="202"/>
        <v>20.5</v>
      </c>
      <c r="P90" s="260">
        <f t="shared" si="202"/>
        <v>18.5</v>
      </c>
      <c r="Q90" s="260">
        <f t="shared" si="202"/>
        <v>18.5</v>
      </c>
      <c r="R90" s="260">
        <f t="shared" si="202"/>
        <v>17.5</v>
      </c>
      <c r="S90" s="262">
        <f t="shared" si="202"/>
        <v>17</v>
      </c>
      <c r="T90" s="260">
        <f t="shared" si="202"/>
        <v>13.5</v>
      </c>
      <c r="U90" s="260">
        <f t="shared" si="202"/>
        <v>6.5</v>
      </c>
      <c r="V90" s="260">
        <f t="shared" si="202"/>
        <v>2</v>
      </c>
      <c r="W90" s="260">
        <f t="shared" si="202"/>
        <v>1</v>
      </c>
      <c r="X90" s="260">
        <f t="shared" si="202"/>
        <v>1</v>
      </c>
      <c r="Y90" s="260">
        <f t="shared" si="202"/>
        <v>1.5</v>
      </c>
      <c r="Z90" s="260">
        <f t="shared" si="202"/>
        <v>1.5</v>
      </c>
      <c r="AA90" s="260">
        <f t="shared" si="202"/>
        <v>1</v>
      </c>
      <c r="AB90" s="260">
        <f t="shared" si="202"/>
        <v>0.5</v>
      </c>
      <c r="AC90" s="260">
        <f t="shared" si="202"/>
        <v>0</v>
      </c>
      <c r="AD90" s="263">
        <f t="shared" si="202"/>
        <v>0</v>
      </c>
    </row>
    <row r="91" spans="2:34" ht="3.95" customHeight="1">
      <c r="B91" s="180"/>
      <c r="C91" s="232"/>
      <c r="D91" s="232"/>
      <c r="E91" s="232"/>
      <c r="F91" s="232"/>
      <c r="H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3"/>
      <c r="AC91" s="233"/>
      <c r="AD91" s="233"/>
    </row>
    <row r="92" spans="2:34">
      <c r="B92" s="234" t="s">
        <v>1521</v>
      </c>
      <c r="C92" s="235"/>
      <c r="D92" s="235"/>
      <c r="E92" s="236">
        <f>(E83+E82)/E82-1</f>
        <v>0.53333333333333344</v>
      </c>
      <c r="F92" s="247">
        <f>(F83+F82)/F82-1</f>
        <v>0.33333333333333326</v>
      </c>
      <c r="G92" s="248"/>
      <c r="H92" s="249">
        <f>(H83+H82)/H82-1</f>
        <v>0.23529411764705888</v>
      </c>
      <c r="J92" s="246">
        <f t="shared" ref="J92:AB92" si="203">(J83+J82)/J82-1</f>
        <v>0</v>
      </c>
      <c r="K92" s="236">
        <f t="shared" si="203"/>
        <v>0.11538461538461542</v>
      </c>
      <c r="L92" s="236">
        <f t="shared" si="203"/>
        <v>7.6923076923076872E-2</v>
      </c>
      <c r="M92" s="236">
        <f t="shared" si="203"/>
        <v>3.8461538461538547E-2</v>
      </c>
      <c r="N92" s="236">
        <f t="shared" si="203"/>
        <v>8.6956521739130377E-2</v>
      </c>
      <c r="O92" s="236">
        <f t="shared" si="203"/>
        <v>4.3478260869565188E-2</v>
      </c>
      <c r="P92" s="236">
        <f t="shared" si="203"/>
        <v>5.555555555555558E-2</v>
      </c>
      <c r="Q92" s="236">
        <f t="shared" si="203"/>
        <v>5.2631578947368363E-2</v>
      </c>
      <c r="R92" s="236">
        <f t="shared" si="203"/>
        <v>0.11111111111111116</v>
      </c>
      <c r="S92" s="246">
        <f t="shared" si="203"/>
        <v>5.8823529411764719E-2</v>
      </c>
      <c r="T92" s="236">
        <f t="shared" si="203"/>
        <v>5.8823529411764719E-2</v>
      </c>
      <c r="U92" s="236">
        <f t="shared" si="203"/>
        <v>0.10000000000000009</v>
      </c>
      <c r="V92" s="236">
        <f t="shared" si="203"/>
        <v>0</v>
      </c>
      <c r="W92" s="236">
        <f t="shared" si="203"/>
        <v>0</v>
      </c>
      <c r="X92" s="236">
        <f t="shared" si="203"/>
        <v>0</v>
      </c>
      <c r="Y92" s="236">
        <f t="shared" si="203"/>
        <v>1</v>
      </c>
      <c r="Z92" s="236">
        <f t="shared" si="203"/>
        <v>0</v>
      </c>
      <c r="AA92" s="236">
        <f t="shared" si="203"/>
        <v>0</v>
      </c>
      <c r="AB92" s="236">
        <f t="shared" si="203"/>
        <v>0</v>
      </c>
      <c r="AC92" s="236">
        <f>IFERROR((AC83+AC82)/AC82-1,0)</f>
        <v>0</v>
      </c>
      <c r="AD92" s="247">
        <f>IFERROR((AD83+AD82)/AD82-1,0)</f>
        <v>0</v>
      </c>
    </row>
    <row r="93" spans="2:34" ht="12" customHeight="1">
      <c r="B93" s="237" t="s">
        <v>1522</v>
      </c>
      <c r="C93" s="238"/>
      <c r="D93" s="238"/>
      <c r="E93" s="239">
        <f>(E87+E90)/E90-1</f>
        <v>-2.606060606060606</v>
      </c>
      <c r="F93" s="240">
        <f>(F87+F90)/F90-1</f>
        <v>-2.666666666666667</v>
      </c>
      <c r="G93" s="248"/>
      <c r="H93" s="242">
        <f>(H87+H90)/H90-1</f>
        <v>-2.4705882352941178</v>
      </c>
      <c r="J93" s="241">
        <f t="shared" ref="J93:AB93" si="204">(J87+J90)/J90-1</f>
        <v>-0.1428571428571429</v>
      </c>
      <c r="K93" s="239">
        <f t="shared" si="204"/>
        <v>-0.11538461538461542</v>
      </c>
      <c r="L93" s="239">
        <f t="shared" si="204"/>
        <v>-7.6923076923076872E-2</v>
      </c>
      <c r="M93" s="239">
        <f t="shared" si="204"/>
        <v>-0.16326530612244894</v>
      </c>
      <c r="N93" s="239">
        <f t="shared" si="204"/>
        <v>-8.6956521739130488E-2</v>
      </c>
      <c r="O93" s="239">
        <f t="shared" si="204"/>
        <v>-0.29268292682926833</v>
      </c>
      <c r="P93" s="239">
        <f t="shared" si="204"/>
        <v>0</v>
      </c>
      <c r="Q93" s="239">
        <f t="shared" si="204"/>
        <v>-0.10810810810810811</v>
      </c>
      <c r="R93" s="239">
        <f t="shared" si="204"/>
        <v>-0.17142857142857137</v>
      </c>
      <c r="S93" s="241">
        <f t="shared" si="204"/>
        <v>-5.8823529411764719E-2</v>
      </c>
      <c r="T93" s="239">
        <f t="shared" si="204"/>
        <v>-0.59259259259259256</v>
      </c>
      <c r="U93" s="239">
        <f t="shared" si="204"/>
        <v>-1.2307692307692308</v>
      </c>
      <c r="V93" s="239">
        <f t="shared" si="204"/>
        <v>-1</v>
      </c>
      <c r="W93" s="239">
        <f t="shared" si="204"/>
        <v>0</v>
      </c>
      <c r="X93" s="239">
        <f t="shared" si="204"/>
        <v>0</v>
      </c>
      <c r="Y93" s="239">
        <f t="shared" si="204"/>
        <v>0</v>
      </c>
      <c r="Z93" s="239">
        <f t="shared" si="204"/>
        <v>-0.66666666666666674</v>
      </c>
      <c r="AA93" s="239">
        <f t="shared" si="204"/>
        <v>0</v>
      </c>
      <c r="AB93" s="239">
        <f t="shared" si="204"/>
        <v>-2</v>
      </c>
      <c r="AC93" s="239">
        <f>IFERROR((AC87+AC90)/AC90-1,0)</f>
        <v>0</v>
      </c>
      <c r="AD93" s="240">
        <f>IFERROR((AD87+AD90)/AD90-1,0)</f>
        <v>0</v>
      </c>
    </row>
    <row r="94" spans="2:34" ht="3.95" customHeight="1">
      <c r="AF94" s="220"/>
    </row>
    <row r="95" spans="2:34" ht="24">
      <c r="B95" s="159" t="s">
        <v>1311</v>
      </c>
      <c r="C95" s="176" t="s">
        <v>1319</v>
      </c>
      <c r="D95" s="176" t="s">
        <v>3</v>
      </c>
      <c r="E95" s="176" t="s">
        <v>4</v>
      </c>
      <c r="F95" s="176" t="s">
        <v>1320</v>
      </c>
      <c r="G95" s="193"/>
      <c r="H95" s="176" t="s">
        <v>1530</v>
      </c>
      <c r="J95" s="192">
        <v>45658</v>
      </c>
      <c r="K95" s="192">
        <f t="shared" ref="K95" si="205">EOMONTH(J95,0)+1</f>
        <v>45689</v>
      </c>
      <c r="L95" s="192">
        <f t="shared" ref="L95" si="206">EOMONTH(K95,0)+1</f>
        <v>45717</v>
      </c>
      <c r="M95" s="192">
        <f t="shared" ref="M95" si="207">EOMONTH(L95,0)+1</f>
        <v>45748</v>
      </c>
      <c r="N95" s="192">
        <f t="shared" ref="N95" si="208">EOMONTH(M95,0)+1</f>
        <v>45778</v>
      </c>
      <c r="O95" s="192">
        <f t="shared" ref="O95" si="209">EOMONTH(N95,0)+1</f>
        <v>45809</v>
      </c>
      <c r="P95" s="192">
        <f t="shared" ref="P95" si="210">EOMONTH(O95,0)+1</f>
        <v>45839</v>
      </c>
      <c r="Q95" s="192">
        <v>45870</v>
      </c>
      <c r="R95" s="192">
        <f t="shared" ref="R95" si="211">EOMONTH(Q95,0)+1</f>
        <v>45901</v>
      </c>
      <c r="S95" s="192">
        <f t="shared" ref="S95" si="212">EOMONTH(R95,0)+1</f>
        <v>45931</v>
      </c>
      <c r="T95" s="192">
        <f t="shared" ref="T95" si="213">EOMONTH(S95,0)+1</f>
        <v>45962</v>
      </c>
      <c r="U95" s="192">
        <f t="shared" ref="U95" si="214">EOMONTH(T95,0)+1</f>
        <v>45992</v>
      </c>
      <c r="V95" s="192">
        <f t="shared" ref="V95" si="215">EOMONTH(U95,0)+1</f>
        <v>46023</v>
      </c>
      <c r="W95" s="192">
        <f t="shared" ref="W95" si="216">EOMONTH(V95,0)+1</f>
        <v>46054</v>
      </c>
      <c r="X95" s="192">
        <f t="shared" ref="X95" si="217">EOMONTH(W95,0)+1</f>
        <v>46082</v>
      </c>
      <c r="Y95" s="192">
        <f t="shared" ref="Y95" si="218">EOMONTH(X95,0)+1</f>
        <v>46113</v>
      </c>
      <c r="Z95" s="192">
        <f t="shared" ref="Z95" si="219">EOMONTH(Y95,0)+1</f>
        <v>46143</v>
      </c>
      <c r="AA95" s="192">
        <f t="shared" ref="AA95" si="220">EOMONTH(Z95,0)+1</f>
        <v>46174</v>
      </c>
      <c r="AB95" s="192">
        <f t="shared" ref="AB95" si="221">EOMONTH(AA95,0)+1</f>
        <v>46204</v>
      </c>
      <c r="AC95" s="192">
        <f t="shared" ref="AC95" si="222">EOMONTH(AB95,0)+1</f>
        <v>46235</v>
      </c>
      <c r="AD95" s="192">
        <f t="shared" ref="AD95" si="223">EOMONTH(AC95,0)+1</f>
        <v>46266</v>
      </c>
      <c r="AE95" s="187"/>
      <c r="AF95" s="243" t="s">
        <v>1304</v>
      </c>
      <c r="AG95" s="187"/>
      <c r="AH95" s="187"/>
    </row>
    <row r="96" spans="2:34">
      <c r="B96" s="186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1316</v>
      </c>
      <c r="C97" s="182"/>
      <c r="D97" s="182"/>
      <c r="E97" s="182">
        <f>+E103-E98-E102</f>
        <v>0</v>
      </c>
      <c r="F97" s="182">
        <f>+F103-F98-F102</f>
        <v>8</v>
      </c>
      <c r="H97" s="182">
        <f t="shared" ref="H97" si="224">+H103-H98-H102</f>
        <v>1</v>
      </c>
      <c r="J97" s="182">
        <f t="shared" ref="J97:Z97" si="225">+J103-J98-J102</f>
        <v>0</v>
      </c>
      <c r="K97" s="182">
        <f t="shared" si="225"/>
        <v>0</v>
      </c>
      <c r="L97" s="182">
        <f t="shared" si="225"/>
        <v>0</v>
      </c>
      <c r="M97" s="182">
        <f t="shared" si="225"/>
        <v>0</v>
      </c>
      <c r="N97" s="182">
        <f t="shared" si="225"/>
        <v>0</v>
      </c>
      <c r="O97" s="182">
        <f t="shared" si="225"/>
        <v>0</v>
      </c>
      <c r="P97" s="182">
        <f t="shared" si="225"/>
        <v>0</v>
      </c>
      <c r="Q97" s="182">
        <f t="shared" si="225"/>
        <v>0</v>
      </c>
      <c r="R97" s="182">
        <f t="shared" si="225"/>
        <v>0</v>
      </c>
      <c r="S97" s="182">
        <f t="shared" si="225"/>
        <v>1</v>
      </c>
      <c r="T97" s="182">
        <f t="shared" si="225"/>
        <v>9</v>
      </c>
      <c r="U97" s="182">
        <f t="shared" si="225"/>
        <v>8</v>
      </c>
      <c r="V97" s="182">
        <f t="shared" si="225"/>
        <v>8</v>
      </c>
      <c r="W97" s="182">
        <f t="shared" si="225"/>
        <v>9</v>
      </c>
      <c r="X97" s="182">
        <f t="shared" si="225"/>
        <v>11</v>
      </c>
      <c r="Y97" s="182">
        <f t="shared" si="225"/>
        <v>11</v>
      </c>
      <c r="Z97" s="182">
        <f t="shared" si="225"/>
        <v>11</v>
      </c>
      <c r="AA97" s="182">
        <f>+AA103-AA98-AA102</f>
        <v>11</v>
      </c>
      <c r="AB97" s="182">
        <f>+AB103-AB98-AB102</f>
        <v>11</v>
      </c>
      <c r="AC97" s="182">
        <f t="shared" ref="AC97:AD97" si="226">+AC103-AC98-AC102</f>
        <v>11</v>
      </c>
      <c r="AD97" s="182">
        <f t="shared" si="226"/>
        <v>11</v>
      </c>
    </row>
    <row r="98" spans="2:37">
      <c r="B98" s="191" t="s">
        <v>1317</v>
      </c>
      <c r="E98" s="197">
        <f>SUM(J98:U98)</f>
        <v>10</v>
      </c>
      <c r="F98" s="197">
        <f>SUM(V98:AD98)</f>
        <v>3</v>
      </c>
      <c r="H98" s="197">
        <f>SUM(S98:AD98)</f>
        <v>11</v>
      </c>
      <c r="J98" s="195">
        <f>COUNTIFS('Full Customer List'!$I:$I,'Client Retention'!J$5,'Full Customer List'!$E:$E,$AF95)</f>
        <v>0</v>
      </c>
      <c r="K98" s="195">
        <f>COUNTIFS('Full Customer List'!$I:$I,'Client Retention'!K$5,'Full Customer List'!$E:$E,$AF95)</f>
        <v>0</v>
      </c>
      <c r="L98" s="195">
        <f>COUNTIFS('Full Customer List'!$I:$I,'Client Retention'!L$5,'Full Customer List'!$E:$E,$AF95)</f>
        <v>0</v>
      </c>
      <c r="M98" s="195">
        <f>COUNTIFS('Full Customer List'!$I:$I,'Client Retention'!M$5,'Full Customer List'!$E:$E,$AF95)</f>
        <v>0</v>
      </c>
      <c r="N98" s="195">
        <f>COUNTIFS('Full Customer List'!$I:$I,'Client Retention'!N$5,'Full Customer List'!$E:$E,$AF95)</f>
        <v>0</v>
      </c>
      <c r="O98" s="195">
        <f>COUNTIFS('Full Customer List'!$I:$I,'Client Retention'!O$5,'Full Customer List'!$E:$E,$AF95)</f>
        <v>0</v>
      </c>
      <c r="P98" s="195">
        <f>COUNTIFS('Full Customer List'!$I:$I,'Client Retention'!P$5,'Full Customer List'!$E:$E,$AF95)</f>
        <v>0</v>
      </c>
      <c r="Q98" s="195">
        <f>COUNTIFS('Full Customer List'!$I:$I,'Client Retention'!Q$5,'Full Customer List'!$E:$E,$AF95)</f>
        <v>0</v>
      </c>
      <c r="R98" s="195">
        <f>COUNTIFS('Full Customer List'!$I:$I,'Client Retention'!R$5,'Full Customer List'!$E:$E,$AF95)</f>
        <v>2</v>
      </c>
      <c r="S98" s="195">
        <f>COUNTIFS('Full Customer List'!$I:$I,'Client Retention'!S$5,'Full Customer List'!$E:$E,$AF95)</f>
        <v>8</v>
      </c>
      <c r="T98" s="195">
        <f>COUNTIFS('Full Customer List'!$I:$I,'Client Retention'!T$5,'Full Customer List'!$E:$E,$AF95)</f>
        <v>0</v>
      </c>
      <c r="U98" s="195">
        <f>COUNTIFS('Full Customer List'!$I:$I,'Client Retention'!U$5,'Full Customer List'!$E:$E,$AF95)</f>
        <v>0</v>
      </c>
      <c r="V98" s="195">
        <f>COUNTIFS('Full Customer List'!$I:$I,'Client Retention'!V$5,'Full Customer List'!$E:$E,$AF95)</f>
        <v>1</v>
      </c>
      <c r="W98" s="195">
        <f>COUNTIFS('Full Customer List'!$I:$I,'Client Retention'!W$5,'Full Customer List'!$E:$E,$AF95)</f>
        <v>2</v>
      </c>
      <c r="X98" s="195">
        <f>COUNTIFS('Full Customer List'!$I:$I,'Client Retention'!X$5,'Full Customer List'!$E:$E,$AF95)</f>
        <v>0</v>
      </c>
      <c r="Y98" s="195">
        <f>COUNTIFS('Full Customer List'!$I:$I,'Client Retention'!Y$5,'Full Customer List'!$E:$E,$AF95)</f>
        <v>0</v>
      </c>
      <c r="Z98" s="195">
        <f>COUNTIFS('Full Customer List'!$I:$I,'Client Retention'!Z$5,'Full Customer List'!$E:$E,$AF95)</f>
        <v>0</v>
      </c>
      <c r="AA98" s="195">
        <f>COUNTIFS('Full Customer List'!$I:$I,'Client Retention'!AA$5,'Full Customer List'!$E:$E,$AF95)</f>
        <v>0</v>
      </c>
      <c r="AB98" s="195">
        <f>COUNTIFS('Full Customer List'!$I:$I,'Client Retention'!AB$5,'Full Customer List'!$E:$E,$AF95)</f>
        <v>0</v>
      </c>
      <c r="AC98" s="195">
        <f>COUNTIFS('Full Customer List'!$I:$I,'Client Retention'!AC$5,'Full Customer List'!$E:$E,$AF95)</f>
        <v>0</v>
      </c>
      <c r="AD98" s="195">
        <f>COUNTIFS('Full Customer List'!$I:$I,'Client Retention'!AD$5,'Full Customer List'!$E:$E,$AF95)</f>
        <v>0</v>
      </c>
    </row>
    <row r="99" spans="2:37">
      <c r="B99" s="265" t="s">
        <v>1531</v>
      </c>
      <c r="E99" s="197">
        <f t="shared" ref="E99:E101" si="227">SUM(J99:U99)</f>
        <v>0</v>
      </c>
      <c r="F99" s="197">
        <f t="shared" ref="F99:F101" si="228">SUM(V99:AD99)</f>
        <v>0</v>
      </c>
      <c r="H99" s="197">
        <f t="shared" ref="H99:H101" si="229">SUM(S99:AD99)</f>
        <v>0</v>
      </c>
      <c r="J99" s="195">
        <f>-COUNTIFS('Full Customer List'!$J:$J,J$1,'Full Customer List'!$E:$E,$AF95,'Full Customer List'!$H:$H,'Client Retention'!$AF99)</f>
        <v>0</v>
      </c>
      <c r="K99" s="195">
        <f>-COUNTIFS('Full Customer List'!$J:$J,K$1,'Full Customer List'!$E:$E,$AF95,'Full Customer List'!$H:$H,'Client Retention'!$AF99)</f>
        <v>0</v>
      </c>
      <c r="L99" s="195">
        <f>-COUNTIFS('Full Customer List'!$J:$J,L$1,'Full Customer List'!$E:$E,$AF95,'Full Customer List'!$H:$H,'Client Retention'!$AF99)</f>
        <v>0</v>
      </c>
      <c r="M99" s="195">
        <f>-COUNTIFS('Full Customer List'!$J:$J,M$1,'Full Customer List'!$E:$E,$AF95,'Full Customer List'!$H:$H,'Client Retention'!$AF99)</f>
        <v>0</v>
      </c>
      <c r="N99" s="195">
        <f>-COUNTIFS('Full Customer List'!$J:$J,N$1,'Full Customer List'!$E:$E,$AF95,'Full Customer List'!$H:$H,'Client Retention'!$AF99)</f>
        <v>0</v>
      </c>
      <c r="O99" s="195">
        <f>-COUNTIFS('Full Customer List'!$J:$J,O$1,'Full Customer List'!$E:$E,$AF95,'Full Customer List'!$H:$H,'Client Retention'!$AF99)</f>
        <v>0</v>
      </c>
      <c r="P99" s="195">
        <f>-COUNTIFS('Full Customer List'!$J:$J,P$1,'Full Customer List'!$E:$E,$AF95,'Full Customer List'!$H:$H,'Client Retention'!$AF99)</f>
        <v>0</v>
      </c>
      <c r="Q99" s="195">
        <f>-COUNTIFS('Full Customer List'!$J:$J,Q$1,'Full Customer List'!$E:$E,$AF95,'Full Customer List'!$H:$H,'Client Retention'!$AF99)</f>
        <v>0</v>
      </c>
      <c r="R99" s="195">
        <f>-COUNTIFS('Full Customer List'!$J:$J,R$1,'Full Customer List'!$E:$E,$AF95,'Full Customer List'!$H:$H,'Client Retention'!$AF99)</f>
        <v>0</v>
      </c>
      <c r="S99" s="195">
        <f>-COUNTIFS('Full Customer List'!$J:$J,S$1,'Full Customer List'!$E:$E,$AF95,'Full Customer List'!$H:$H,'Client Retention'!$AF99)</f>
        <v>0</v>
      </c>
      <c r="T99" s="195">
        <f>-COUNTIFS('Full Customer List'!$J:$J,T$1,'Full Customer List'!$E:$E,$AF95,'Full Customer List'!$H:$H,'Client Retention'!$AF99)</f>
        <v>0</v>
      </c>
      <c r="U99" s="195">
        <f>-COUNTIFS('Full Customer List'!$J:$J,U$1,'Full Customer List'!$E:$E,$AF95,'Full Customer List'!$H:$H,'Client Retention'!$AF99)</f>
        <v>0</v>
      </c>
      <c r="V99" s="195">
        <f>-COUNTIFS('Full Customer List'!$J:$J,V$1,'Full Customer List'!$E:$E,$AF95,'Full Customer List'!$H:$H,'Client Retention'!$AF99)</f>
        <v>0</v>
      </c>
      <c r="W99" s="195">
        <f>-COUNTIFS('Full Customer List'!$J:$J,W$1,'Full Customer List'!$E:$E,$AF95,'Full Customer List'!$H:$H,'Client Retention'!$AF99)</f>
        <v>0</v>
      </c>
      <c r="X99" s="195">
        <f>-COUNTIFS('Full Customer List'!$J:$J,X$1,'Full Customer List'!$E:$E,$AF95,'Full Customer List'!$H:$H,'Client Retention'!$AF99)</f>
        <v>0</v>
      </c>
      <c r="Y99" s="195">
        <f>-COUNTIFS('Full Customer List'!$J:$J,Y$1,'Full Customer List'!$E:$E,$AF95,'Full Customer List'!$H:$H,'Client Retention'!$AF99)</f>
        <v>0</v>
      </c>
      <c r="Z99" s="195">
        <f>-COUNTIFS('Full Customer List'!$J:$J,Z$1,'Full Customer List'!$E:$E,$AF95,'Full Customer List'!$H:$H,'Client Retention'!$AF99)</f>
        <v>0</v>
      </c>
      <c r="AA99" s="195">
        <f>-COUNTIFS('Full Customer List'!$J:$J,AA$1,'Full Customer List'!$E:$E,$AF95,'Full Customer List'!$H:$H,'Client Retention'!$AF99)</f>
        <v>0</v>
      </c>
      <c r="AB99" s="195">
        <f>-COUNTIFS('Full Customer List'!$J:$J,AB$1,'Full Customer List'!$E:$E,$AF95,'Full Customer List'!$H:$H,'Client Retention'!$AF99)</f>
        <v>0</v>
      </c>
      <c r="AC99" s="195">
        <f>-COUNTIFS('Full Customer List'!$J:$J,AC$1,'Full Customer List'!$E:$E,$AF95,'Full Customer List'!$H:$H,'Client Retention'!$AF99)</f>
        <v>0</v>
      </c>
      <c r="AD99" s="195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5" t="s">
        <v>1532</v>
      </c>
      <c r="E100" s="197">
        <f t="shared" si="227"/>
        <v>0</v>
      </c>
      <c r="F100" s="197">
        <f t="shared" si="228"/>
        <v>0</v>
      </c>
      <c r="H100" s="197">
        <f t="shared" si="229"/>
        <v>0</v>
      </c>
      <c r="J100" s="195">
        <f>-COUNTIFS('Full Customer List'!$J:$J,J$1,'Full Customer List'!$E:$E,$AF95,'Full Customer List'!$H:$H,'Client Retention'!$AF100)</f>
        <v>0</v>
      </c>
      <c r="K100" s="195">
        <f>-COUNTIFS('Full Customer List'!$J:$J,K$1,'Full Customer List'!$E:$E,$AF95,'Full Customer List'!$H:$H,'Client Retention'!$AF100)</f>
        <v>0</v>
      </c>
      <c r="L100" s="195">
        <f>-COUNTIFS('Full Customer List'!$J:$J,L$1,'Full Customer List'!$E:$E,$AF95,'Full Customer List'!$H:$H,'Client Retention'!$AF100)</f>
        <v>0</v>
      </c>
      <c r="M100" s="195">
        <f>-COUNTIFS('Full Customer List'!$J:$J,M$1,'Full Customer List'!$E:$E,$AF95,'Full Customer List'!$H:$H,'Client Retention'!$AF100)</f>
        <v>0</v>
      </c>
      <c r="N100" s="195">
        <f>-COUNTIFS('Full Customer List'!$J:$J,N$1,'Full Customer List'!$E:$E,$AF95,'Full Customer List'!$H:$H,'Client Retention'!$AF100)</f>
        <v>0</v>
      </c>
      <c r="O100" s="195">
        <f>-COUNTIFS('Full Customer List'!$J:$J,O$1,'Full Customer List'!$E:$E,$AF95,'Full Customer List'!$H:$H,'Client Retention'!$AF100)</f>
        <v>0</v>
      </c>
      <c r="P100" s="195">
        <f>-COUNTIFS('Full Customer List'!$J:$J,P$1,'Full Customer List'!$E:$E,$AF95,'Full Customer List'!$H:$H,'Client Retention'!$AF100)</f>
        <v>0</v>
      </c>
      <c r="Q100" s="195">
        <f>-COUNTIFS('Full Customer List'!$J:$J,Q$1,'Full Customer List'!$E:$E,$AF95,'Full Customer List'!$H:$H,'Client Retention'!$AF100)</f>
        <v>0</v>
      </c>
      <c r="R100" s="195">
        <f>-COUNTIFS('Full Customer List'!$J:$J,R$1,'Full Customer List'!$E:$E,$AF95,'Full Customer List'!$H:$H,'Client Retention'!$AF100)</f>
        <v>0</v>
      </c>
      <c r="S100" s="195">
        <f>-COUNTIFS('Full Customer List'!$J:$J,S$1,'Full Customer List'!$E:$E,$AF95,'Full Customer List'!$H:$H,'Client Retention'!$AF100)</f>
        <v>0</v>
      </c>
      <c r="T100" s="195">
        <f>-COUNTIFS('Full Customer List'!$J:$J,T$1,'Full Customer List'!$E:$E,$AF95,'Full Customer List'!$H:$H,'Client Retention'!$AF100)</f>
        <v>0</v>
      </c>
      <c r="U100" s="195">
        <f>-COUNTIFS('Full Customer List'!$J:$J,U$1,'Full Customer List'!$E:$E,$AF95,'Full Customer List'!$H:$H,'Client Retention'!$AF100)</f>
        <v>0</v>
      </c>
      <c r="V100" s="195">
        <f>-COUNTIFS('Full Customer List'!$J:$J,V$1,'Full Customer List'!$E:$E,$AF95,'Full Customer List'!$H:$H,'Client Retention'!$AF100)</f>
        <v>0</v>
      </c>
      <c r="W100" s="195">
        <f>-COUNTIFS('Full Customer List'!$J:$J,W$1,'Full Customer List'!$E:$E,$AF95,'Full Customer List'!$H:$H,'Client Retention'!$AF100)</f>
        <v>0</v>
      </c>
      <c r="X100" s="195">
        <f>-COUNTIFS('Full Customer List'!$J:$J,X$1,'Full Customer List'!$E:$E,$AF95,'Full Customer List'!$H:$H,'Client Retention'!$AF100)</f>
        <v>0</v>
      </c>
      <c r="Y100" s="195">
        <f>-COUNTIFS('Full Customer List'!$J:$J,Y$1,'Full Customer List'!$E:$E,$AF95,'Full Customer List'!$H:$H,'Client Retention'!$AF100)</f>
        <v>0</v>
      </c>
      <c r="Z100" s="195">
        <f>-COUNTIFS('Full Customer List'!$J:$J,Z$1,'Full Customer List'!$E:$E,$AF95,'Full Customer List'!$H:$H,'Client Retention'!$AF100)</f>
        <v>0</v>
      </c>
      <c r="AA100" s="195">
        <f>-COUNTIFS('Full Customer List'!$J:$J,AA$1,'Full Customer List'!$E:$E,$AF95,'Full Customer List'!$H:$H,'Client Retention'!$AF100)</f>
        <v>0</v>
      </c>
      <c r="AB100" s="195">
        <f>-COUNTIFS('Full Customer List'!$J:$J,AB$1,'Full Customer List'!$E:$E,$AF95,'Full Customer List'!$H:$H,'Client Retention'!$AF100)</f>
        <v>0</v>
      </c>
      <c r="AC100" s="195">
        <f>-COUNTIFS('Full Customer List'!$J:$J,AC$1,'Full Customer List'!$E:$E,$AF95,'Full Customer List'!$H:$H,'Client Retention'!$AF100)</f>
        <v>0</v>
      </c>
      <c r="AD100" s="195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5" t="s">
        <v>1533</v>
      </c>
      <c r="E101" s="197">
        <f t="shared" si="227"/>
        <v>-2</v>
      </c>
      <c r="F101" s="197">
        <f t="shared" si="228"/>
        <v>0</v>
      </c>
      <c r="H101" s="197">
        <f t="shared" si="229"/>
        <v>-1</v>
      </c>
      <c r="J101" s="195">
        <f>-COUNTIFS('Full Customer List'!$J:$J,J$1,'Full Customer List'!$E:$E,$AF95,'Full Customer List'!$H:$H,'Client Retention'!$AF101)</f>
        <v>0</v>
      </c>
      <c r="K101" s="195">
        <f>-COUNTIFS('Full Customer List'!$J:$J,K$1,'Full Customer List'!$E:$E,$AF95,'Full Customer List'!$H:$H,'Client Retention'!$AF101)</f>
        <v>0</v>
      </c>
      <c r="L101" s="195">
        <f>-COUNTIFS('Full Customer List'!$J:$J,L$1,'Full Customer List'!$E:$E,$AF95,'Full Customer List'!$H:$H,'Client Retention'!$AF101)</f>
        <v>0</v>
      </c>
      <c r="M101" s="195">
        <f>-COUNTIFS('Full Customer List'!$J:$J,M$1,'Full Customer List'!$E:$E,$AF95,'Full Customer List'!$H:$H,'Client Retention'!$AF101)</f>
        <v>0</v>
      </c>
      <c r="N101" s="195">
        <f>-COUNTIFS('Full Customer List'!$J:$J,N$1,'Full Customer List'!$E:$E,$AF95,'Full Customer List'!$H:$H,'Client Retention'!$AF101)</f>
        <v>0</v>
      </c>
      <c r="O101" s="195">
        <f>-COUNTIFS('Full Customer List'!$J:$J,O$1,'Full Customer List'!$E:$E,$AF95,'Full Customer List'!$H:$H,'Client Retention'!$AF101)</f>
        <v>0</v>
      </c>
      <c r="P101" s="195">
        <f>-COUNTIFS('Full Customer List'!$J:$J,P$1,'Full Customer List'!$E:$E,$AF95,'Full Customer List'!$H:$H,'Client Retention'!$AF101)</f>
        <v>0</v>
      </c>
      <c r="Q101" s="195">
        <f>-COUNTIFS('Full Customer List'!$J:$J,Q$1,'Full Customer List'!$E:$E,$AF95,'Full Customer List'!$H:$H,'Client Retention'!$AF101)</f>
        <v>0</v>
      </c>
      <c r="R101" s="195">
        <f>-COUNTIFS('Full Customer List'!$J:$J,R$1,'Full Customer List'!$E:$E,$AF95,'Full Customer List'!$H:$H,'Client Retention'!$AF101)</f>
        <v>-1</v>
      </c>
      <c r="S101" s="195">
        <f>-COUNTIFS('Full Customer List'!$J:$J,S$1,'Full Customer List'!$E:$E,$AF95,'Full Customer List'!$H:$H,'Client Retention'!$AF101)</f>
        <v>0</v>
      </c>
      <c r="T101" s="195">
        <f>-COUNTIFS('Full Customer List'!$J:$J,T$1,'Full Customer List'!$E:$E,$AF95,'Full Customer List'!$H:$H,'Client Retention'!$AF101)</f>
        <v>-1</v>
      </c>
      <c r="U101" s="195">
        <f>-COUNTIFS('Full Customer List'!$J:$J,U$1,'Full Customer List'!$E:$E,$AF95,'Full Customer List'!$H:$H,'Client Retention'!$AF101)</f>
        <v>0</v>
      </c>
      <c r="V101" s="195">
        <f>-COUNTIFS('Full Customer List'!$J:$J,V$1,'Full Customer List'!$E:$E,$AF95,'Full Customer List'!$H:$H,'Client Retention'!$AF101)</f>
        <v>0</v>
      </c>
      <c r="W101" s="195">
        <f>-COUNTIFS('Full Customer List'!$J:$J,W$1,'Full Customer List'!$E:$E,$AF95,'Full Customer List'!$H:$H,'Client Retention'!$AF101)</f>
        <v>0</v>
      </c>
      <c r="X101" s="195">
        <f>-COUNTIFS('Full Customer List'!$J:$J,X$1,'Full Customer List'!$E:$E,$AF95,'Full Customer List'!$H:$H,'Client Retention'!$AF101)</f>
        <v>0</v>
      </c>
      <c r="Y101" s="195">
        <f>-COUNTIFS('Full Customer List'!$J:$J,Y$1,'Full Customer List'!$E:$E,$AF95,'Full Customer List'!$H:$H,'Client Retention'!$AF101)</f>
        <v>0</v>
      </c>
      <c r="Z101" s="195">
        <f>-COUNTIFS('Full Customer List'!$J:$J,Z$1,'Full Customer List'!$E:$E,$AF95,'Full Customer List'!$H:$H,'Client Retention'!$AF101)</f>
        <v>0</v>
      </c>
      <c r="AA101" s="195">
        <f>-COUNTIFS('Full Customer List'!$J:$J,AA$1,'Full Customer List'!$E:$E,$AF95,'Full Customer List'!$H:$H,'Client Retention'!$AF101)</f>
        <v>0</v>
      </c>
      <c r="AB101" s="195">
        <f>-COUNTIFS('Full Customer List'!$J:$J,AB$1,'Full Customer List'!$E:$E,$AF95,'Full Customer List'!$H:$H,'Client Retention'!$AF101)</f>
        <v>0</v>
      </c>
      <c r="AC101" s="195">
        <f>-COUNTIFS('Full Customer List'!$J:$J,AC$1,'Full Customer List'!$E:$E,$AF95,'Full Customer List'!$H:$H,'Client Retention'!$AF101)</f>
        <v>0</v>
      </c>
      <c r="AD101" s="195">
        <f>-COUNTIFS('Full Customer List'!$J:$J,AD$1,'Full Customer List'!$E:$E,$AF95,'Full Customer List'!$H:$H,'Client Retention'!$AF101)</f>
        <v>0</v>
      </c>
      <c r="AF101" s="173" t="s">
        <v>1534</v>
      </c>
    </row>
    <row r="102" spans="2:37" ht="12" customHeight="1">
      <c r="B102" s="255" t="s">
        <v>1535</v>
      </c>
      <c r="C102" s="258"/>
      <c r="D102" s="258"/>
      <c r="E102" s="256">
        <f>SUM(J102:U102)</f>
        <v>-2</v>
      </c>
      <c r="F102" s="256">
        <f>SUM(V102:AD102)</f>
        <v>0</v>
      </c>
      <c r="G102" s="257"/>
      <c r="H102" s="256">
        <f>SUM(S102:AD102)</f>
        <v>-1</v>
      </c>
      <c r="I102" s="257"/>
      <c r="J102" s="258">
        <f>-COUNTIFS('Full Customer List'!$J:$J,J$1,'Full Customer List'!$E:$E,$AF95)</f>
        <v>0</v>
      </c>
      <c r="K102" s="258">
        <f>-COUNTIFS('Full Customer List'!$J:$J,K$1,'Full Customer List'!$E:$E,$AF95)</f>
        <v>0</v>
      </c>
      <c r="L102" s="258">
        <f>-COUNTIFS('Full Customer List'!$J:$J,L$1,'Full Customer List'!$E:$E,$AF95)</f>
        <v>0</v>
      </c>
      <c r="M102" s="258">
        <f>-COUNTIFS('Full Customer List'!$J:$J,M$1,'Full Customer List'!$E:$E,$AF95)</f>
        <v>0</v>
      </c>
      <c r="N102" s="258">
        <f>-COUNTIFS('Full Customer List'!$J:$J,N$1,'Full Customer List'!$E:$E,$AF95)</f>
        <v>0</v>
      </c>
      <c r="O102" s="258">
        <f>-COUNTIFS('Full Customer List'!$J:$J,O$1,'Full Customer List'!$E:$E,$AF95)</f>
        <v>0</v>
      </c>
      <c r="P102" s="258">
        <f>-COUNTIFS('Full Customer List'!$J:$J,P$1,'Full Customer List'!$E:$E,$AF95)</f>
        <v>0</v>
      </c>
      <c r="Q102" s="258">
        <f>-COUNTIFS('Full Customer List'!$J:$J,Q$1,'Full Customer List'!$E:$E,$AF95)</f>
        <v>0</v>
      </c>
      <c r="R102" s="258">
        <f>-COUNTIFS('Full Customer List'!$J:$J,R$1,'Full Customer List'!$E:$E,$AF95)</f>
        <v>-1</v>
      </c>
      <c r="S102" s="258">
        <f>-COUNTIFS('Full Customer List'!$J:$J,S$1,'Full Customer List'!$E:$E,$AF95)</f>
        <v>0</v>
      </c>
      <c r="T102" s="258">
        <f>-COUNTIFS('Full Customer List'!$J:$J,T$1,'Full Customer List'!$E:$E,$AF95)</f>
        <v>-1</v>
      </c>
      <c r="U102" s="258">
        <f>-COUNTIFS('Full Customer List'!$J:$J,U$1,'Full Customer List'!$E:$E,$AF95)</f>
        <v>0</v>
      </c>
      <c r="V102" s="258">
        <f>-COUNTIFS('Full Customer List'!$J:$J,V$1,'Full Customer List'!$E:$E,$AF95)</f>
        <v>0</v>
      </c>
      <c r="W102" s="258">
        <f>-COUNTIFS('Full Customer List'!$J:$J,W$1,'Full Customer List'!$E:$E,$AF95)</f>
        <v>0</v>
      </c>
      <c r="X102" s="258">
        <f>-COUNTIFS('Full Customer List'!$J:$J,X$1,'Full Customer List'!$E:$E,$AF95)</f>
        <v>0</v>
      </c>
      <c r="Y102" s="258">
        <f>-COUNTIFS('Full Customer List'!$J:$J,Y$1,'Full Customer List'!$E:$E,$AF95)</f>
        <v>0</v>
      </c>
      <c r="Z102" s="258">
        <f>-COUNTIFS('Full Customer List'!$J:$J,Z$1,'Full Customer List'!$E:$E,$AF95)</f>
        <v>0</v>
      </c>
      <c r="AA102" s="258">
        <f>-COUNTIFS('Full Customer List'!$J:$J,AA$1,'Full Customer List'!$E:$E,$AF95)</f>
        <v>0</v>
      </c>
      <c r="AB102" s="258">
        <f>-COUNTIFS('Full Customer List'!$J:$J,AB$1,'Full Customer List'!$E:$E,$AF95)</f>
        <v>0</v>
      </c>
      <c r="AC102" s="258">
        <f>-COUNTIFS('Full Customer List'!$J:$J,AC$1,'Full Customer List'!$E:$E,$AF95)</f>
        <v>0</v>
      </c>
      <c r="AD102" s="258">
        <f>-COUNTIFS('Full Customer List'!$J:$J,AD$1,'Full Customer List'!$E:$E,$AF95)</f>
        <v>0</v>
      </c>
    </row>
    <row r="103" spans="2:37">
      <c r="B103" s="259" t="s">
        <v>1318</v>
      </c>
      <c r="C103" s="260"/>
      <c r="D103" s="260"/>
      <c r="E103" s="260">
        <f>+F97</f>
        <v>8</v>
      </c>
      <c r="F103" s="261">
        <f>+$AD103</f>
        <v>11</v>
      </c>
      <c r="H103" s="264">
        <f>+$AD103</f>
        <v>11</v>
      </c>
      <c r="J103" s="262">
        <f t="shared" ref="J103:AC103" si="230">+K97</f>
        <v>0</v>
      </c>
      <c r="K103" s="260">
        <f t="shared" si="230"/>
        <v>0</v>
      </c>
      <c r="L103" s="260">
        <f t="shared" si="230"/>
        <v>0</v>
      </c>
      <c r="M103" s="260">
        <f t="shared" si="230"/>
        <v>0</v>
      </c>
      <c r="N103" s="260">
        <f t="shared" si="230"/>
        <v>0</v>
      </c>
      <c r="O103" s="260">
        <f t="shared" si="230"/>
        <v>0</v>
      </c>
      <c r="P103" s="260">
        <f t="shared" si="230"/>
        <v>0</v>
      </c>
      <c r="Q103" s="260">
        <f t="shared" si="230"/>
        <v>0</v>
      </c>
      <c r="R103" s="260">
        <f t="shared" si="230"/>
        <v>1</v>
      </c>
      <c r="S103" s="260">
        <f t="shared" si="230"/>
        <v>9</v>
      </c>
      <c r="T103" s="260">
        <f t="shared" si="230"/>
        <v>8</v>
      </c>
      <c r="U103" s="260">
        <f t="shared" si="230"/>
        <v>8</v>
      </c>
      <c r="V103" s="260">
        <f t="shared" si="230"/>
        <v>9</v>
      </c>
      <c r="W103" s="260">
        <f t="shared" si="230"/>
        <v>11</v>
      </c>
      <c r="X103" s="260">
        <f t="shared" si="230"/>
        <v>11</v>
      </c>
      <c r="Y103" s="260">
        <f t="shared" si="230"/>
        <v>11</v>
      </c>
      <c r="Z103" s="260">
        <f t="shared" si="230"/>
        <v>11</v>
      </c>
      <c r="AA103" s="260">
        <f t="shared" si="230"/>
        <v>11</v>
      </c>
      <c r="AB103" s="260">
        <f t="shared" si="230"/>
        <v>11</v>
      </c>
      <c r="AC103" s="260">
        <f t="shared" si="230"/>
        <v>11</v>
      </c>
      <c r="AD103" s="261">
        <f>COUNTIFS('Full Customer List'!$C:$C,"Active",'Full Customer List'!$E:$E,'Client Retention'!$AF95)</f>
        <v>11</v>
      </c>
    </row>
    <row r="104" spans="2:37" ht="3.95" customHeight="1">
      <c r="B104" s="180"/>
      <c r="C104" s="232"/>
      <c r="D104" s="232"/>
      <c r="E104" s="232"/>
      <c r="F104" s="232"/>
      <c r="H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3"/>
      <c r="AC104" s="233"/>
      <c r="AD104" s="233"/>
    </row>
    <row r="105" spans="2:37">
      <c r="B105" s="259" t="s">
        <v>1854</v>
      </c>
      <c r="C105" s="260"/>
      <c r="D105" s="260"/>
      <c r="E105" s="260">
        <f>AVERAGE(E97,E103)</f>
        <v>4</v>
      </c>
      <c r="F105" s="261">
        <f>AVERAGE(F97,F103)</f>
        <v>9.5</v>
      </c>
      <c r="H105" s="264">
        <f>AVERAGE(H97,H103)</f>
        <v>6</v>
      </c>
      <c r="J105" s="262">
        <f>AVERAGE(J97,J103)</f>
        <v>0</v>
      </c>
      <c r="K105" s="260">
        <f t="shared" ref="K105:AD105" si="231">AVERAGE(K97,K103)</f>
        <v>0</v>
      </c>
      <c r="L105" s="260">
        <f t="shared" si="231"/>
        <v>0</v>
      </c>
      <c r="M105" s="260">
        <f t="shared" si="231"/>
        <v>0</v>
      </c>
      <c r="N105" s="260">
        <f t="shared" si="231"/>
        <v>0</v>
      </c>
      <c r="O105" s="260">
        <f t="shared" si="231"/>
        <v>0</v>
      </c>
      <c r="P105" s="260">
        <f t="shared" si="231"/>
        <v>0</v>
      </c>
      <c r="Q105" s="260">
        <f t="shared" si="231"/>
        <v>0</v>
      </c>
      <c r="R105" s="260">
        <f t="shared" si="231"/>
        <v>0.5</v>
      </c>
      <c r="S105" s="262">
        <f t="shared" si="231"/>
        <v>5</v>
      </c>
      <c r="T105" s="260">
        <f t="shared" si="231"/>
        <v>8.5</v>
      </c>
      <c r="U105" s="260">
        <f t="shared" si="231"/>
        <v>8</v>
      </c>
      <c r="V105" s="260">
        <f t="shared" si="231"/>
        <v>8.5</v>
      </c>
      <c r="W105" s="260">
        <f t="shared" si="231"/>
        <v>10</v>
      </c>
      <c r="X105" s="260">
        <f t="shared" si="231"/>
        <v>11</v>
      </c>
      <c r="Y105" s="260">
        <f t="shared" si="231"/>
        <v>11</v>
      </c>
      <c r="Z105" s="260">
        <f t="shared" si="231"/>
        <v>11</v>
      </c>
      <c r="AA105" s="260">
        <f t="shared" si="231"/>
        <v>11</v>
      </c>
      <c r="AB105" s="260">
        <f t="shared" si="231"/>
        <v>11</v>
      </c>
      <c r="AC105" s="260">
        <f t="shared" si="231"/>
        <v>11</v>
      </c>
      <c r="AD105" s="263">
        <f t="shared" si="231"/>
        <v>11</v>
      </c>
    </row>
    <row r="106" spans="2:37" ht="3.95" customHeight="1">
      <c r="B106" s="180"/>
      <c r="C106" s="232"/>
      <c r="D106" s="232"/>
      <c r="E106" s="232"/>
      <c r="F106" s="232"/>
      <c r="H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3"/>
      <c r="AC106" s="233"/>
      <c r="AD106" s="233"/>
    </row>
    <row r="107" spans="2:37">
      <c r="B107" s="234" t="s">
        <v>1521</v>
      </c>
      <c r="C107" s="235"/>
      <c r="D107" s="235"/>
      <c r="E107" s="236">
        <f>IFERROR((E98+E97)/E97-1,0)</f>
        <v>0</v>
      </c>
      <c r="F107" s="247">
        <f>(F98+F97)/F97-1</f>
        <v>0.375</v>
      </c>
      <c r="G107" s="248"/>
      <c r="H107" s="249">
        <f>(H98+H97)/H97-1</f>
        <v>11</v>
      </c>
      <c r="J107" s="246">
        <f t="shared" ref="J107:R107" si="232">IFERROR((J98+J97)/J97-1,0)</f>
        <v>0</v>
      </c>
      <c r="K107" s="236">
        <f t="shared" si="232"/>
        <v>0</v>
      </c>
      <c r="L107" s="236">
        <f t="shared" si="232"/>
        <v>0</v>
      </c>
      <c r="M107" s="236">
        <f t="shared" si="232"/>
        <v>0</v>
      </c>
      <c r="N107" s="236">
        <f t="shared" si="232"/>
        <v>0</v>
      </c>
      <c r="O107" s="236">
        <f t="shared" si="232"/>
        <v>0</v>
      </c>
      <c r="P107" s="236">
        <f t="shared" si="232"/>
        <v>0</v>
      </c>
      <c r="Q107" s="236">
        <f t="shared" si="232"/>
        <v>0</v>
      </c>
      <c r="R107" s="236">
        <f t="shared" si="232"/>
        <v>0</v>
      </c>
      <c r="S107" s="236">
        <f t="shared" ref="S107:T107" si="233">(S98+S97)/S97-1</f>
        <v>8</v>
      </c>
      <c r="T107" s="236">
        <f t="shared" si="233"/>
        <v>0</v>
      </c>
      <c r="U107" s="236">
        <f t="shared" ref="U107:AD107" si="234">IFERROR((U98+U97)/U97-1,0)</f>
        <v>0</v>
      </c>
      <c r="V107" s="236">
        <f t="shared" si="234"/>
        <v>0.125</v>
      </c>
      <c r="W107" s="236">
        <f t="shared" si="234"/>
        <v>0.22222222222222232</v>
      </c>
      <c r="X107" s="236">
        <f t="shared" si="234"/>
        <v>0</v>
      </c>
      <c r="Y107" s="236">
        <f t="shared" si="234"/>
        <v>0</v>
      </c>
      <c r="Z107" s="236">
        <f t="shared" si="234"/>
        <v>0</v>
      </c>
      <c r="AA107" s="236">
        <f t="shared" si="234"/>
        <v>0</v>
      </c>
      <c r="AB107" s="236">
        <f t="shared" si="234"/>
        <v>0</v>
      </c>
      <c r="AC107" s="236">
        <f t="shared" si="234"/>
        <v>0</v>
      </c>
      <c r="AD107" s="247">
        <f t="shared" si="234"/>
        <v>0</v>
      </c>
    </row>
    <row r="108" spans="2:37" ht="12" customHeight="1">
      <c r="B108" s="237" t="s">
        <v>1522</v>
      </c>
      <c r="C108" s="238"/>
      <c r="D108" s="238"/>
      <c r="E108" s="239">
        <f>(E102+E105)/E105-1</f>
        <v>-0.5</v>
      </c>
      <c r="F108" s="240">
        <f>(F102+F105)/F105-1</f>
        <v>0</v>
      </c>
      <c r="G108" s="248"/>
      <c r="H108" s="242">
        <f>(H102+H105)/H105-1</f>
        <v>-0.16666666666666663</v>
      </c>
      <c r="J108" s="241" t="e">
        <f t="shared" ref="J108:AD108" si="235">(J102+J105)/J105-1</f>
        <v>#DIV/0!</v>
      </c>
      <c r="K108" s="239" t="e">
        <f t="shared" si="235"/>
        <v>#DIV/0!</v>
      </c>
      <c r="L108" s="239" t="e">
        <f t="shared" si="235"/>
        <v>#DIV/0!</v>
      </c>
      <c r="M108" s="239" t="e">
        <f t="shared" si="235"/>
        <v>#DIV/0!</v>
      </c>
      <c r="N108" s="239" t="e">
        <f t="shared" si="235"/>
        <v>#DIV/0!</v>
      </c>
      <c r="O108" s="239" t="e">
        <f t="shared" si="235"/>
        <v>#DIV/0!</v>
      </c>
      <c r="P108" s="239" t="e">
        <f t="shared" si="235"/>
        <v>#DIV/0!</v>
      </c>
      <c r="Q108" s="239" t="e">
        <f t="shared" si="235"/>
        <v>#DIV/0!</v>
      </c>
      <c r="R108" s="239">
        <f t="shared" si="235"/>
        <v>-2</v>
      </c>
      <c r="S108" s="239">
        <f t="shared" si="235"/>
        <v>0</v>
      </c>
      <c r="T108" s="239">
        <f t="shared" si="235"/>
        <v>-0.11764705882352944</v>
      </c>
      <c r="U108" s="239">
        <f t="shared" si="235"/>
        <v>0</v>
      </c>
      <c r="V108" s="239">
        <f t="shared" si="235"/>
        <v>0</v>
      </c>
      <c r="W108" s="239">
        <f t="shared" si="235"/>
        <v>0</v>
      </c>
      <c r="X108" s="239">
        <f t="shared" si="235"/>
        <v>0</v>
      </c>
      <c r="Y108" s="239">
        <f t="shared" si="235"/>
        <v>0</v>
      </c>
      <c r="Z108" s="239">
        <f t="shared" si="235"/>
        <v>0</v>
      </c>
      <c r="AA108" s="239">
        <f t="shared" si="235"/>
        <v>0</v>
      </c>
      <c r="AB108" s="239">
        <f t="shared" si="235"/>
        <v>0</v>
      </c>
      <c r="AC108" s="239">
        <f t="shared" si="235"/>
        <v>0</v>
      </c>
      <c r="AD108" s="240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8">
        <v>44926</v>
      </c>
      <c r="D148" s="200">
        <f>C149</f>
        <v>45291</v>
      </c>
      <c r="E148" s="200">
        <f>D149</f>
        <v>45657</v>
      </c>
      <c r="AK148"/>
    </row>
    <row r="149" spans="3:37" ht="15">
      <c r="C149" s="199">
        <f>EOMONTH(C148,12)</f>
        <v>45291</v>
      </c>
      <c r="D149" s="199">
        <f>EOMONTH(D148,12)</f>
        <v>45657</v>
      </c>
      <c r="E149" s="199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59" priority="1">
      <formula>$AG$3=1</formula>
    </cfRule>
  </conditionalFormatting>
  <conditionalFormatting sqref="B6:H6 J6:AH6">
    <cfRule type="expression" dxfId="58" priority="19">
      <formula>$Y$3=1</formula>
    </cfRule>
  </conditionalFormatting>
  <conditionalFormatting sqref="B21:H21 J21:AH21">
    <cfRule type="expression" dxfId="57" priority="7">
      <formula>$Y$3=1</formula>
    </cfRule>
  </conditionalFormatting>
  <conditionalFormatting sqref="B36:H36">
    <cfRule type="expression" dxfId="56" priority="6">
      <formula>$Y$3=1</formula>
    </cfRule>
  </conditionalFormatting>
  <conditionalFormatting sqref="B51:H51">
    <cfRule type="expression" dxfId="55" priority="5">
      <formula>$Y$3=1</formula>
    </cfRule>
  </conditionalFormatting>
  <conditionalFormatting sqref="B66:H66">
    <cfRule type="expression" dxfId="54" priority="4">
      <formula>$Y$3=1</formula>
    </cfRule>
  </conditionalFormatting>
  <conditionalFormatting sqref="B81:H81">
    <cfRule type="expression" dxfId="53" priority="3">
      <formula>$Y$3=1</formula>
    </cfRule>
  </conditionalFormatting>
  <conditionalFormatting sqref="B96:H96">
    <cfRule type="expression" dxfId="52" priority="2">
      <formula>$Y$3=1</formula>
    </cfRule>
  </conditionalFormatting>
  <conditionalFormatting sqref="J36:AH36">
    <cfRule type="expression" dxfId="51" priority="17">
      <formula>$Y$3=1</formula>
    </cfRule>
  </conditionalFormatting>
  <conditionalFormatting sqref="J51:AH51">
    <cfRule type="expression" dxfId="50" priority="13">
      <formula>$Y$3=1</formula>
    </cfRule>
  </conditionalFormatting>
  <conditionalFormatting sqref="J66:AH66">
    <cfRule type="expression" dxfId="49" priority="16">
      <formula>$Y$3=1</formula>
    </cfRule>
  </conditionalFormatting>
  <conditionalFormatting sqref="J81:AH81">
    <cfRule type="expression" dxfId="48" priority="15">
      <formula>$Y$3=1</formula>
    </cfRule>
  </conditionalFormatting>
  <conditionalFormatting sqref="J96:AH96">
    <cfRule type="expression" dxfId="47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1536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1546</v>
      </c>
    </row>
    <row r="32" spans="2:2">
      <c r="B32" s="217" t="s">
        <v>1545</v>
      </c>
    </row>
    <row r="58" spans="2:2">
      <c r="B58" s="217" t="s">
        <v>1542</v>
      </c>
    </row>
    <row r="85" spans="2:2">
      <c r="B85" s="217" t="s">
        <v>1543</v>
      </c>
    </row>
    <row r="111" spans="2:23">
      <c r="B111" s="267" t="str">
        <f>+'Client Retention'!B21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1537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6" t="s">
        <v>1538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6" t="s">
        <v>1539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6" t="s">
        <v>1540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1537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1541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7" t="str">
        <f>+'Client Retention'!B36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1537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6" t="s">
        <v>1541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7" t="str">
        <f>+'Client Retention'!B51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1537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6" t="s">
        <v>1541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1311</v>
      </c>
      <c r="C5" s="176" t="s">
        <v>1319</v>
      </c>
      <c r="D5" s="176" t="s">
        <v>3</v>
      </c>
      <c r="E5" s="176" t="s">
        <v>4</v>
      </c>
      <c r="F5" s="176" t="s">
        <v>1320</v>
      </c>
      <c r="G5" s="193"/>
      <c r="H5" s="176" t="s">
        <v>1530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1554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1317</v>
      </c>
      <c r="C8" s="195">
        <f>SUMIFS('Full Customer List'!$G:$G,'Full Customer List'!$I:$I,"&gt;"&amp;'Client Retention $'!C$155,'Full Customer List'!$I:$I,"&lt;"&amp;'Client Retention $'!C$156)/1000*12</f>
        <v>425.01599999999996</v>
      </c>
      <c r="D8" s="195">
        <f>SUMIFS('Full Customer List'!$G:$G,'Full Customer List'!$I:$I,"&gt;"&amp;'Client Retention $'!D$155,'Full Customer List'!$I:$I,"&lt;"&amp;'Client Retention $'!D$156)/1000*12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1531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5" t="s">
        <v>1532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5" t="s">
        <v>1533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1534</v>
      </c>
    </row>
    <row r="12" spans="2:34" ht="12" customHeight="1">
      <c r="B12" s="255" t="s">
        <v>1535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>
      <c r="B13" s="259" t="s">
        <v>1553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>
      <c r="B15" s="234" t="s">
        <v>1855</v>
      </c>
      <c r="C15" s="341">
        <f>AVERAGE(C7,C13)</f>
        <v>824.52675999999883</v>
      </c>
      <c r="D15" s="341">
        <f>AVERAGE(D7,D13)</f>
        <v>1331.457429999999</v>
      </c>
      <c r="E15" s="341">
        <f>AVERAGE(E7,E13)</f>
        <v>2145.8316099999993</v>
      </c>
      <c r="F15" s="342">
        <f>AVERAGE(F7,F13)</f>
        <v>2851.6164199999994</v>
      </c>
      <c r="G15" s="270"/>
      <c r="H15" s="345">
        <f>AVERAGE(H7,H13)</f>
        <v>2709.7356999999993</v>
      </c>
      <c r="I15" s="270"/>
      <c r="J15" s="347">
        <f t="shared" ref="J15:AD15" si="5">AVERAGE(J7,J13)</f>
        <v>144.34786083333324</v>
      </c>
      <c r="K15" s="341">
        <f t="shared" si="5"/>
        <v>150.23771333333323</v>
      </c>
      <c r="L15" s="341">
        <f t="shared" si="5"/>
        <v>158.71475499999991</v>
      </c>
      <c r="M15" s="341">
        <f t="shared" si="5"/>
        <v>166.99054666666655</v>
      </c>
      <c r="N15" s="341">
        <f t="shared" si="5"/>
        <v>172.85212999999987</v>
      </c>
      <c r="O15" s="341">
        <f t="shared" si="5"/>
        <v>177.85969666666654</v>
      </c>
      <c r="P15" s="341">
        <f t="shared" si="5"/>
        <v>179.20891333333321</v>
      </c>
      <c r="Q15" s="341">
        <f t="shared" si="5"/>
        <v>183.07020666666654</v>
      </c>
      <c r="R15" s="341">
        <f t="shared" si="5"/>
        <v>190.03041166666651</v>
      </c>
      <c r="S15" s="347">
        <f t="shared" si="5"/>
        <v>201.7308483333332</v>
      </c>
      <c r="T15" s="341">
        <f t="shared" si="5"/>
        <v>210.6214733333332</v>
      </c>
      <c r="U15" s="341">
        <f t="shared" si="5"/>
        <v>214.62632499999989</v>
      </c>
      <c r="V15" s="341">
        <f t="shared" si="5"/>
        <v>221.29075999999986</v>
      </c>
      <c r="W15" s="341">
        <f t="shared" si="5"/>
        <v>229.06934333333322</v>
      </c>
      <c r="X15" s="341">
        <f t="shared" si="5"/>
        <v>234.77857666666657</v>
      </c>
      <c r="Y15" s="341">
        <f t="shared" si="5"/>
        <v>239.28489333333323</v>
      </c>
      <c r="Z15" s="341">
        <f t="shared" si="5"/>
        <v>245.14080999999993</v>
      </c>
      <c r="AA15" s="341">
        <f t="shared" si="5"/>
        <v>249.69068499999992</v>
      </c>
      <c r="AB15" s="341">
        <f t="shared" si="5"/>
        <v>250.45380999999992</v>
      </c>
      <c r="AC15" s="341">
        <f t="shared" si="5"/>
        <v>250.74714333333327</v>
      </c>
      <c r="AD15" s="342">
        <f t="shared" si="5"/>
        <v>254.76280999999994</v>
      </c>
    </row>
    <row r="16" spans="2:34">
      <c r="B16" s="237" t="s">
        <v>1856</v>
      </c>
      <c r="C16" s="343">
        <f>C15/'Client Retention'!C15</f>
        <v>9.4773190804597558</v>
      </c>
      <c r="D16" s="343">
        <f>D15/'Client Retention'!D15</f>
        <v>11.283537542372873</v>
      </c>
      <c r="E16" s="343">
        <f>E15/'Client Retention'!E15</f>
        <v>12.887877537537532</v>
      </c>
      <c r="F16" s="344">
        <f>F15/'Client Retention'!F15</f>
        <v>15.087917566137563</v>
      </c>
      <c r="G16" s="270"/>
      <c r="H16" s="346">
        <f>H15/'Client Retention'!H15</f>
        <v>14.726824456521735</v>
      </c>
      <c r="I16" s="270"/>
      <c r="J16" s="348">
        <f>J15/'Client Retention'!J15*12</f>
        <v>11.864207739726019</v>
      </c>
      <c r="K16" s="343">
        <f>K15/'Client Retention'!K15*12</f>
        <v>12.222729220338973</v>
      </c>
      <c r="L16" s="343">
        <f>L15/'Client Retention'!L15*12</f>
        <v>12.613093112582774</v>
      </c>
      <c r="M16" s="343">
        <f>M15/'Client Retention'!M15*12</f>
        <v>12.804386964856221</v>
      </c>
      <c r="N16" s="343">
        <f>N15/'Client Retention'!N15*12</f>
        <v>12.803861481481473</v>
      </c>
      <c r="O16" s="343">
        <f>O15/'Client Retention'!O15*12</f>
        <v>12.935250666666658</v>
      </c>
      <c r="P16" s="343">
        <f>P15/'Client Retention'!P15*12</f>
        <v>12.877287185628735</v>
      </c>
      <c r="Q16" s="343">
        <f>Q15/'Client Retention'!Q15*12</f>
        <v>12.772339999999993</v>
      </c>
      <c r="R16" s="343">
        <f>R15/'Client Retention'!R15*12</f>
        <v>12.919914674220951</v>
      </c>
      <c r="S16" s="348">
        <f>S15/'Client Retention'!S15*12</f>
        <v>13.12070558265582</v>
      </c>
      <c r="T16" s="343">
        <f>T15/'Client Retention'!T15*12</f>
        <v>13.302408842105255</v>
      </c>
      <c r="U16" s="343">
        <f>U15/'Client Retention'!U15*12</f>
        <v>13.66321432360742</v>
      </c>
      <c r="V16" s="343">
        <f>V15/'Client Retention'!V15*12</f>
        <v>13.866783916449076</v>
      </c>
      <c r="W16" s="343">
        <f>W15/'Client Retention'!W15*12</f>
        <v>13.778607117794479</v>
      </c>
      <c r="X16" s="343">
        <f>X15/'Client Retention'!X15*12</f>
        <v>13.844436953316947</v>
      </c>
      <c r="Y16" s="343">
        <f>Y15/'Client Retention'!Y15*12</f>
        <v>13.938925825242713</v>
      </c>
      <c r="Z16" s="343">
        <f>Z15/'Client Retention'!Z15*12</f>
        <v>14.38479080684596</v>
      </c>
      <c r="AA16" s="343">
        <f>AA15/'Client Retention'!AA15*12</f>
        <v>14.981441099999996</v>
      </c>
      <c r="AB16" s="343">
        <f>AB15/'Client Retention'!AB15*12</f>
        <v>15.612705038961034</v>
      </c>
      <c r="AC16" s="343">
        <f>AC15/'Client Retention'!AC15*12</f>
        <v>16.220839460916437</v>
      </c>
      <c r="AD16" s="344">
        <f>AD15/'Client Retention'!AD15*12</f>
        <v>16.261455957446806</v>
      </c>
    </row>
    <row r="17" spans="2:34" ht="3.95" customHeight="1">
      <c r="B17" s="180"/>
      <c r="C17" s="232"/>
      <c r="D17" s="232"/>
      <c r="E17" s="232"/>
      <c r="F17" s="232"/>
      <c r="H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3"/>
      <c r="AC17" s="233"/>
      <c r="AD17" s="233"/>
    </row>
    <row r="18" spans="2:34">
      <c r="B18" s="234" t="s">
        <v>1550</v>
      </c>
      <c r="C18" s="236">
        <f>(C8+C7)/C7-1</f>
        <v>0.63711679317281233</v>
      </c>
      <c r="D18" s="236">
        <f>(D8+D7)/D7-1</f>
        <v>0.98570674046079132</v>
      </c>
      <c r="E18" s="236">
        <f>(E8+E7)/E7-1</f>
        <v>0.7842146790325808</v>
      </c>
      <c r="F18" s="247">
        <f>(F8+F7)/F7-1</f>
        <v>0.38340334138795229</v>
      </c>
      <c r="G18" s="248"/>
      <c r="H18" s="249">
        <f>(H8+H7)/H7-1</f>
        <v>0.62110610067519878</v>
      </c>
      <c r="J18" s="246">
        <f t="shared" ref="J18:AD18" si="6">(J8+J7)/J7-1</f>
        <v>8.3290769212556182E-2</v>
      </c>
      <c r="K18" s="236">
        <f t="shared" si="6"/>
        <v>3.0635957530340319E-2</v>
      </c>
      <c r="L18" s="236">
        <f t="shared" si="6"/>
        <v>9.5360255169678831E-2</v>
      </c>
      <c r="M18" s="236">
        <f t="shared" si="6"/>
        <v>3.124855990171671E-2</v>
      </c>
      <c r="N18" s="236">
        <f t="shared" si="6"/>
        <v>5.7316198591305767E-2</v>
      </c>
      <c r="O18" s="236">
        <f t="shared" si="6"/>
        <v>2.4014609750887761E-2</v>
      </c>
      <c r="P18" s="236">
        <f t="shared" si="6"/>
        <v>3.1249008108481524E-2</v>
      </c>
      <c r="Q18" s="236">
        <f t="shared" si="6"/>
        <v>3.7418091914471097E-2</v>
      </c>
      <c r="R18" s="236">
        <f t="shared" si="6"/>
        <v>5.7635645946144676E-2</v>
      </c>
      <c r="S18" s="246">
        <f t="shared" si="6"/>
        <v>8.3888865090426146E-2</v>
      </c>
      <c r="T18" s="236">
        <f t="shared" si="6"/>
        <v>4.2869766088716954E-2</v>
      </c>
      <c r="U18" s="236">
        <f t="shared" si="6"/>
        <v>5.5631436554351543E-2</v>
      </c>
      <c r="V18" s="236">
        <f t="shared" si="6"/>
        <v>5.1258104158306228E-2</v>
      </c>
      <c r="W18" s="236">
        <f t="shared" si="6"/>
        <v>3.9213128504761885E-2</v>
      </c>
      <c r="X18" s="236">
        <f t="shared" si="6"/>
        <v>3.165144579218393E-2</v>
      </c>
      <c r="Y18" s="236">
        <f t="shared" si="6"/>
        <v>5.4700069649542327E-2</v>
      </c>
      <c r="Z18" s="236">
        <f t="shared" si="6"/>
        <v>6.2187263676145577E-2</v>
      </c>
      <c r="AA18" s="236">
        <f t="shared" si="6"/>
        <v>1.9609899376752171E-2</v>
      </c>
      <c r="AB18" s="236">
        <f t="shared" si="6"/>
        <v>4.9472861991731731E-2</v>
      </c>
      <c r="AC18" s="236">
        <f t="shared" si="6"/>
        <v>1.9537087443739276E-2</v>
      </c>
      <c r="AD18" s="247">
        <f t="shared" si="6"/>
        <v>2.3410014267996715E-2</v>
      </c>
    </row>
    <row r="19" spans="2:34">
      <c r="B19" s="237" t="s">
        <v>1551</v>
      </c>
      <c r="C19" s="239">
        <f>(C12+C15)/C15-1</f>
        <v>-0.1335893573666429</v>
      </c>
      <c r="D19" s="239">
        <f>(D12+D15)/D15-1</f>
        <v>-0.20198317568440793</v>
      </c>
      <c r="E19" s="239">
        <f>(E12+E15)/E15-1</f>
        <v>-0.18103650733339705</v>
      </c>
      <c r="F19" s="240">
        <f>(F12+F15)/F15-1</f>
        <v>-0.18205113295006203</v>
      </c>
      <c r="G19" s="248"/>
      <c r="H19" s="242">
        <f>(H12+H15)/H15-1</f>
        <v>-0.25083824964921864</v>
      </c>
      <c r="J19" s="241">
        <f t="shared" ref="J19:AD19" si="7">(J12+J15)/J15-1</f>
        <v>-2.1688059538441551E-2</v>
      </c>
      <c r="K19" s="239">
        <f t="shared" si="7"/>
        <v>-8.719515033442371E-3</v>
      </c>
      <c r="L19" s="239">
        <f t="shared" si="7"/>
        <v>-4.8530459565653272E-3</v>
      </c>
      <c r="M19" s="239">
        <f t="shared" si="7"/>
        <v>-1.3972846846180831E-2</v>
      </c>
      <c r="N19" s="239">
        <f t="shared" si="7"/>
        <v>-4.4546746401100679E-3</v>
      </c>
      <c r="O19" s="239">
        <f t="shared" si="7"/>
        <v>-1.7570965908727865E-2</v>
      </c>
      <c r="P19" s="239">
        <f t="shared" si="7"/>
        <v>-2.2374259137482699E-2</v>
      </c>
      <c r="Q19" s="239">
        <f t="shared" si="7"/>
        <v>-3.1590794802912603E-3</v>
      </c>
      <c r="R19" s="239">
        <f t="shared" si="7"/>
        <v>-1.5602765757309012E-2</v>
      </c>
      <c r="S19" s="241">
        <f t="shared" si="7"/>
        <v>-3.1229730366225672E-3</v>
      </c>
      <c r="T19" s="239">
        <f t="shared" si="7"/>
        <v>-3.2471364663957503E-2</v>
      </c>
      <c r="U19" s="239">
        <f t="shared" si="7"/>
        <v>-2.7542194556050004E-2</v>
      </c>
      <c r="V19" s="239">
        <f t="shared" si="7"/>
        <v>-1.6667362583658418E-2</v>
      </c>
      <c r="W19" s="239">
        <f t="shared" si="7"/>
        <v>-3.1868079306348607E-3</v>
      </c>
      <c r="X19" s="239">
        <f t="shared" si="7"/>
        <v>-1.7266623688109606E-2</v>
      </c>
      <c r="Y19" s="239">
        <f t="shared" si="7"/>
        <v>-3.0279108858076942E-2</v>
      </c>
      <c r="Z19" s="239">
        <f t="shared" si="7"/>
        <v>-3.6850249454589035E-2</v>
      </c>
      <c r="AA19" s="239">
        <f t="shared" si="7"/>
        <v>-7.1702047408510605E-3</v>
      </c>
      <c r="AB19" s="239">
        <f t="shared" si="7"/>
        <v>-5.5813352037514141E-2</v>
      </c>
      <c r="AC19" s="239">
        <f t="shared" si="7"/>
        <v>-1.0933989636811137E-2</v>
      </c>
      <c r="AD19" s="240">
        <f t="shared" si="7"/>
        <v>0</v>
      </c>
    </row>
    <row r="20" spans="2:34" ht="3.95" customHeight="1">
      <c r="B20" s="180"/>
      <c r="C20" s="184"/>
      <c r="D20" s="184"/>
    </row>
    <row r="21" spans="2:34" ht="24">
      <c r="B21" s="159" t="s">
        <v>1311</v>
      </c>
      <c r="C21" s="176" t="s">
        <v>1319</v>
      </c>
      <c r="D21" s="176" t="s">
        <v>3</v>
      </c>
      <c r="E21" s="176" t="s">
        <v>4</v>
      </c>
      <c r="F21" s="176" t="s">
        <v>1320</v>
      </c>
      <c r="G21" s="193"/>
      <c r="H21" s="176" t="s">
        <v>1530</v>
      </c>
      <c r="J21" s="192">
        <v>45658</v>
      </c>
      <c r="K21" s="192">
        <f t="shared" ref="K21:P21" si="8">EOMONTH(J21,0)+1</f>
        <v>45689</v>
      </c>
      <c r="L21" s="192">
        <f t="shared" si="8"/>
        <v>45717</v>
      </c>
      <c r="M21" s="192">
        <f t="shared" si="8"/>
        <v>45748</v>
      </c>
      <c r="N21" s="192">
        <f t="shared" si="8"/>
        <v>45778</v>
      </c>
      <c r="O21" s="192">
        <f t="shared" si="8"/>
        <v>45809</v>
      </c>
      <c r="P21" s="192">
        <f t="shared" si="8"/>
        <v>45839</v>
      </c>
      <c r="Q21" s="192">
        <v>45870</v>
      </c>
      <c r="R21" s="192">
        <f t="shared" ref="R21:AD21" si="9">EOMONTH(Q21,0)+1</f>
        <v>45901</v>
      </c>
      <c r="S21" s="192">
        <f t="shared" si="9"/>
        <v>45931</v>
      </c>
      <c r="T21" s="192">
        <f t="shared" si="9"/>
        <v>45962</v>
      </c>
      <c r="U21" s="192">
        <f t="shared" si="9"/>
        <v>45992</v>
      </c>
      <c r="V21" s="192">
        <f t="shared" si="9"/>
        <v>46023</v>
      </c>
      <c r="W21" s="192">
        <f t="shared" si="9"/>
        <v>46054</v>
      </c>
      <c r="X21" s="192">
        <f t="shared" si="9"/>
        <v>46082</v>
      </c>
      <c r="Y21" s="192">
        <f t="shared" si="9"/>
        <v>46113</v>
      </c>
      <c r="Z21" s="192">
        <f t="shared" si="9"/>
        <v>46143</v>
      </c>
      <c r="AA21" s="192">
        <f t="shared" si="9"/>
        <v>46174</v>
      </c>
      <c r="AB21" s="192">
        <f t="shared" si="9"/>
        <v>46204</v>
      </c>
      <c r="AC21" s="192">
        <f t="shared" si="9"/>
        <v>46235</v>
      </c>
      <c r="AD21" s="192">
        <f t="shared" si="9"/>
        <v>46266</v>
      </c>
      <c r="AE21" s="187"/>
      <c r="AF21" s="187"/>
      <c r="AG21" s="187"/>
      <c r="AH21" s="187"/>
    </row>
    <row r="22" spans="2:34">
      <c r="B22" s="186" t="s">
        <v>1544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1554</v>
      </c>
      <c r="C23" s="270"/>
      <c r="D23" s="270"/>
      <c r="E23" s="270">
        <f>+E29-E24-E28</f>
        <v>1520.3440999999998</v>
      </c>
      <c r="F23" s="270">
        <f>+F29-F24-F28</f>
        <v>2396.1001199999996</v>
      </c>
      <c r="G23" s="270"/>
      <c r="H23" s="270">
        <f>+H29-H24-H28</f>
        <v>2165.9176799999996</v>
      </c>
      <c r="I23" s="270"/>
      <c r="J23" s="270">
        <f t="shared" ref="J23:AD23" si="10">+J29-J24-J28</f>
        <v>126.69534166666658</v>
      </c>
      <c r="K23" s="270">
        <f t="shared" si="10"/>
        <v>136.83704666666657</v>
      </c>
      <c r="L23" s="270">
        <f t="shared" si="10"/>
        <v>140.48004666666657</v>
      </c>
      <c r="M23" s="270">
        <f t="shared" si="10"/>
        <v>154.1911299999999</v>
      </c>
      <c r="N23" s="270">
        <f t="shared" si="10"/>
        <v>157.03162999999989</v>
      </c>
      <c r="O23" s="270">
        <f t="shared" si="10"/>
        <v>166.21429666666657</v>
      </c>
      <c r="P23" s="270">
        <f t="shared" si="10"/>
        <v>167.31009666666657</v>
      </c>
      <c r="Q23" s="270">
        <f t="shared" si="10"/>
        <v>169.58606333333324</v>
      </c>
      <c r="R23" s="270">
        <f t="shared" si="10"/>
        <v>175.34268333333324</v>
      </c>
      <c r="S23" s="270">
        <f t="shared" si="10"/>
        <v>180.49313999999993</v>
      </c>
      <c r="T23" s="270">
        <f t="shared" si="10"/>
        <v>190.66497333333325</v>
      </c>
      <c r="U23" s="270">
        <f t="shared" si="10"/>
        <v>193.20913999999993</v>
      </c>
      <c r="V23" s="270">
        <f t="shared" si="10"/>
        <v>199.67500999999993</v>
      </c>
      <c r="W23" s="270">
        <f t="shared" si="10"/>
        <v>206.36334333333326</v>
      </c>
      <c r="X23" s="270">
        <f t="shared" si="10"/>
        <v>213.13717666666659</v>
      </c>
      <c r="Y23" s="270">
        <f t="shared" si="10"/>
        <v>216.82730999999993</v>
      </c>
      <c r="Z23" s="270">
        <f t="shared" si="10"/>
        <v>222.51530999999994</v>
      </c>
      <c r="AA23" s="270">
        <f t="shared" si="10"/>
        <v>228.87914333333327</v>
      </c>
      <c r="AB23" s="270">
        <f t="shared" si="10"/>
        <v>231.95505999999995</v>
      </c>
      <c r="AC23" s="270">
        <f t="shared" si="10"/>
        <v>238.8803933333333</v>
      </c>
      <c r="AD23" s="270">
        <f t="shared" si="10"/>
        <v>241.01672666666661</v>
      </c>
    </row>
    <row r="24" spans="2:34">
      <c r="B24" s="191" t="s">
        <v>1317</v>
      </c>
      <c r="C24" s="195"/>
      <c r="D24" s="195"/>
      <c r="E24" s="197">
        <f>SUM(J24:U24)*12</f>
        <v>1202.5058799999999</v>
      </c>
      <c r="F24" s="197">
        <f>SUM(V24:AD24)*12</f>
        <v>967.95459999999991</v>
      </c>
      <c r="H24" s="197">
        <f>SUM(S24:AD24)*12</f>
        <v>1346.6983999999998</v>
      </c>
      <c r="J24" s="195">
        <f t="shared" ref="J24:AD24" si="11">+J40+J56+J88</f>
        <v>11.66733</v>
      </c>
      <c r="K24" s="195">
        <f t="shared" si="11"/>
        <v>4.5529999999999999</v>
      </c>
      <c r="L24" s="195">
        <f t="shared" si="11"/>
        <v>14.481333333333332</v>
      </c>
      <c r="M24" s="195">
        <f t="shared" si="11"/>
        <v>5.1738333333333335</v>
      </c>
      <c r="N24" s="195">
        <f t="shared" si="11"/>
        <v>9.652666666666665</v>
      </c>
      <c r="O24" s="195">
        <f t="shared" si="11"/>
        <v>3.9176333333333337</v>
      </c>
      <c r="P24" s="195">
        <f t="shared" si="11"/>
        <v>5.5756333333333332</v>
      </c>
      <c r="Q24" s="195">
        <f t="shared" si="11"/>
        <v>6.334953333333333</v>
      </c>
      <c r="R24" s="195">
        <f t="shared" si="11"/>
        <v>7.2904566666666666</v>
      </c>
      <c r="S24" s="195">
        <f t="shared" si="11"/>
        <v>10.801833333333335</v>
      </c>
      <c r="T24" s="195">
        <f t="shared" si="11"/>
        <v>8.9833333333333343</v>
      </c>
      <c r="U24" s="195">
        <f t="shared" si="11"/>
        <v>11.776816666666665</v>
      </c>
      <c r="V24" s="195">
        <f t="shared" si="11"/>
        <v>10.026666666666666</v>
      </c>
      <c r="W24" s="195">
        <f t="shared" si="11"/>
        <v>7.198833333333333</v>
      </c>
      <c r="X24" s="195">
        <f t="shared" si="11"/>
        <v>7.3784666666666672</v>
      </c>
      <c r="Y24" s="195">
        <f t="shared" si="11"/>
        <v>12.933333333333334</v>
      </c>
      <c r="Z24" s="195">
        <f t="shared" si="11"/>
        <v>15.057333333333334</v>
      </c>
      <c r="AA24" s="195">
        <f t="shared" si="11"/>
        <v>4.86625</v>
      </c>
      <c r="AB24" s="195">
        <f t="shared" si="11"/>
        <v>12.428999999999998</v>
      </c>
      <c r="AC24" s="195">
        <f t="shared" si="11"/>
        <v>4.8780000000000001</v>
      </c>
      <c r="AD24" s="195">
        <f t="shared" si="11"/>
        <v>5.8949999999999996</v>
      </c>
    </row>
    <row r="25" spans="2:34">
      <c r="B25" s="265" t="s">
        <v>1531</v>
      </c>
      <c r="E25" s="197">
        <f>SUM(J25:U25)*12</f>
        <v>-213.98936000000003</v>
      </c>
      <c r="F25" s="197">
        <f>SUM(V25:AD25)*12</f>
        <v>-177.79399999999998</v>
      </c>
      <c r="H25" s="197">
        <f>SUM(S25:AD25)*12</f>
        <v>-257.72535999999997</v>
      </c>
      <c r="J25" s="195">
        <f t="shared" ref="J25:AD25" si="12">+J41+J57+J89</f>
        <v>0</v>
      </c>
      <c r="K25" s="195">
        <f t="shared" si="12"/>
        <v>-0.82499999999999996</v>
      </c>
      <c r="L25" s="195">
        <f t="shared" si="12"/>
        <v>-0.39500000000000002</v>
      </c>
      <c r="M25" s="195">
        <f t="shared" si="12"/>
        <v>-1.9383333333333332</v>
      </c>
      <c r="N25" s="195">
        <f t="shared" si="12"/>
        <v>0</v>
      </c>
      <c r="O25" s="195">
        <f t="shared" si="12"/>
        <v>-2.4851666666666663</v>
      </c>
      <c r="P25" s="195">
        <f t="shared" si="12"/>
        <v>-3.2996666666666665</v>
      </c>
      <c r="Q25" s="195">
        <f t="shared" si="12"/>
        <v>-0.57833333333333337</v>
      </c>
      <c r="R25" s="195">
        <f t="shared" si="12"/>
        <v>-1.65</v>
      </c>
      <c r="S25" s="195">
        <f t="shared" si="12"/>
        <v>-0.63</v>
      </c>
      <c r="T25" s="195">
        <f t="shared" si="12"/>
        <v>-2.1783333333333337</v>
      </c>
      <c r="U25" s="195">
        <f t="shared" si="12"/>
        <v>-3.8526133333333332</v>
      </c>
      <c r="V25" s="195">
        <f t="shared" si="12"/>
        <v>-0.11</v>
      </c>
      <c r="W25" s="195">
        <f t="shared" si="12"/>
        <v>-0.42499999999999999</v>
      </c>
      <c r="X25" s="195">
        <f t="shared" si="12"/>
        <v>-0.92333333333333334</v>
      </c>
      <c r="Y25" s="195">
        <f t="shared" si="12"/>
        <v>-3.9699999999999998</v>
      </c>
      <c r="Z25" s="195">
        <f t="shared" si="12"/>
        <v>-4.6908333333333339</v>
      </c>
      <c r="AA25" s="195">
        <f t="shared" si="12"/>
        <v>-1.7903333333333333</v>
      </c>
      <c r="AB25" s="195">
        <f t="shared" si="12"/>
        <v>-2.9066666666666667</v>
      </c>
      <c r="AC25" s="195">
        <f t="shared" si="12"/>
        <v>0</v>
      </c>
      <c r="AD25" s="195">
        <f t="shared" si="12"/>
        <v>0</v>
      </c>
    </row>
    <row r="26" spans="2:34">
      <c r="B26" s="265" t="s">
        <v>1532</v>
      </c>
      <c r="E26" s="197">
        <f>SUM(J26:U26)*12</f>
        <v>-112.76050000000001</v>
      </c>
      <c r="F26" s="197">
        <f>SUM(V26:AD26)*12</f>
        <v>-83.424000000000007</v>
      </c>
      <c r="H26" s="197">
        <f>SUM(S26:AD26)*12</f>
        <v>-152.05400000000003</v>
      </c>
      <c r="J26" s="195">
        <f t="shared" ref="J26:AD26" si="13">+J42+J58+J90</f>
        <v>-1.525625</v>
      </c>
      <c r="K26" s="195">
        <f t="shared" si="13"/>
        <v>-8.5000000000000006E-2</v>
      </c>
      <c r="L26" s="195">
        <f t="shared" si="13"/>
        <v>-0.37524999999999997</v>
      </c>
      <c r="M26" s="195">
        <f t="shared" si="13"/>
        <v>-0.39500000000000002</v>
      </c>
      <c r="N26" s="195">
        <f t="shared" si="13"/>
        <v>-0.47</v>
      </c>
      <c r="O26" s="195">
        <f t="shared" si="13"/>
        <v>-0.33666666666666667</v>
      </c>
      <c r="P26" s="195">
        <f t="shared" si="13"/>
        <v>0</v>
      </c>
      <c r="Q26" s="195">
        <f t="shared" si="13"/>
        <v>0</v>
      </c>
      <c r="R26" s="195">
        <f t="shared" si="13"/>
        <v>-0.49</v>
      </c>
      <c r="S26" s="195">
        <f t="shared" si="13"/>
        <v>0</v>
      </c>
      <c r="T26" s="195">
        <f t="shared" si="13"/>
        <v>-4.2608333333333341</v>
      </c>
      <c r="U26" s="195">
        <f t="shared" si="13"/>
        <v>-1.4583333333333335</v>
      </c>
      <c r="V26" s="195">
        <f t="shared" si="13"/>
        <v>-3.2283333333333335</v>
      </c>
      <c r="W26" s="195">
        <f t="shared" si="13"/>
        <v>0</v>
      </c>
      <c r="X26" s="195">
        <f t="shared" si="13"/>
        <v>0</v>
      </c>
      <c r="Y26" s="195">
        <f t="shared" si="13"/>
        <v>-0.54</v>
      </c>
      <c r="Z26" s="195">
        <f t="shared" si="13"/>
        <v>-1.6836666666666664</v>
      </c>
      <c r="AA26" s="195">
        <f t="shared" si="13"/>
        <v>0</v>
      </c>
      <c r="AB26" s="195">
        <f t="shared" si="13"/>
        <v>-1.5</v>
      </c>
      <c r="AC26" s="195">
        <f t="shared" si="13"/>
        <v>0</v>
      </c>
      <c r="AD26" s="195">
        <f t="shared" si="13"/>
        <v>0</v>
      </c>
    </row>
    <row r="27" spans="2:34">
      <c r="B27" s="265" t="s">
        <v>1533</v>
      </c>
      <c r="E27" s="197">
        <f>SUM(J27:U27)*12</f>
        <v>0</v>
      </c>
      <c r="F27" s="197">
        <f>SUM(V27:AD27)*12</f>
        <v>-139.89600000000002</v>
      </c>
      <c r="H27" s="197">
        <f>SUM(S27:AD27)*12</f>
        <v>-139.89600000000002</v>
      </c>
      <c r="J27" s="195">
        <f t="shared" ref="J27:AD27" si="14">+J43+J59+J91</f>
        <v>0</v>
      </c>
      <c r="K27" s="195">
        <f t="shared" si="14"/>
        <v>0</v>
      </c>
      <c r="L27" s="195">
        <f t="shared" si="14"/>
        <v>0</v>
      </c>
      <c r="M27" s="195">
        <f t="shared" si="14"/>
        <v>0</v>
      </c>
      <c r="N27" s="195">
        <f t="shared" si="14"/>
        <v>0</v>
      </c>
      <c r="O27" s="195">
        <f t="shared" si="14"/>
        <v>0</v>
      </c>
      <c r="P27" s="195">
        <f t="shared" si="14"/>
        <v>0</v>
      </c>
      <c r="Q27" s="195">
        <f t="shared" si="14"/>
        <v>0</v>
      </c>
      <c r="R27" s="195">
        <f t="shared" si="14"/>
        <v>0</v>
      </c>
      <c r="S27" s="195">
        <f t="shared" si="14"/>
        <v>0</v>
      </c>
      <c r="T27" s="195">
        <f t="shared" si="14"/>
        <v>0</v>
      </c>
      <c r="U27" s="195">
        <f t="shared" si="14"/>
        <v>0</v>
      </c>
      <c r="V27" s="195">
        <f t="shared" si="14"/>
        <v>0</v>
      </c>
      <c r="W27" s="195">
        <f t="shared" si="14"/>
        <v>0</v>
      </c>
      <c r="X27" s="195">
        <f t="shared" si="14"/>
        <v>-2.7650000000000001</v>
      </c>
      <c r="Y27" s="195">
        <f t="shared" si="14"/>
        <v>-2.7353333333333336</v>
      </c>
      <c r="Z27" s="195">
        <f t="shared" si="14"/>
        <v>-2.319</v>
      </c>
      <c r="AA27" s="195">
        <f t="shared" si="14"/>
        <v>0</v>
      </c>
      <c r="AB27" s="195">
        <f t="shared" si="14"/>
        <v>-1.097</v>
      </c>
      <c r="AC27" s="195">
        <f t="shared" si="14"/>
        <v>-2.7416666666666667</v>
      </c>
      <c r="AD27" s="195">
        <f t="shared" si="14"/>
        <v>0</v>
      </c>
    </row>
    <row r="28" spans="2:34" ht="12" customHeight="1">
      <c r="B28" s="255" t="s">
        <v>1535</v>
      </c>
      <c r="C28" s="258"/>
      <c r="D28" s="258"/>
      <c r="E28" s="256">
        <f>SUM(J28:U28)*12</f>
        <v>-326.74986000000001</v>
      </c>
      <c r="F28" s="256">
        <f>SUM(V28:AD28)*12</f>
        <v>-401.11400000000003</v>
      </c>
      <c r="G28" s="257"/>
      <c r="H28" s="256">
        <f>SUM(S28:AD28)*12</f>
        <v>-549.67535999999996</v>
      </c>
      <c r="I28" s="257"/>
      <c r="J28" s="258">
        <f t="shared" ref="J28:AD28" si="15">+J44+J60+J92</f>
        <v>-1.525625</v>
      </c>
      <c r="K28" s="258">
        <f t="shared" si="15"/>
        <v>-0.91</v>
      </c>
      <c r="L28" s="258">
        <f t="shared" si="15"/>
        <v>-0.77024999999999999</v>
      </c>
      <c r="M28" s="258">
        <f t="shared" si="15"/>
        <v>-2.333333333333333</v>
      </c>
      <c r="N28" s="258">
        <f t="shared" si="15"/>
        <v>-0.47</v>
      </c>
      <c r="O28" s="258">
        <f t="shared" si="15"/>
        <v>-2.8218333333333336</v>
      </c>
      <c r="P28" s="258">
        <f t="shared" si="15"/>
        <v>-3.2996666666666665</v>
      </c>
      <c r="Q28" s="258">
        <f t="shared" si="15"/>
        <v>-0.57833333333333337</v>
      </c>
      <c r="R28" s="258">
        <f t="shared" si="15"/>
        <v>-2.14</v>
      </c>
      <c r="S28" s="258">
        <f t="shared" si="15"/>
        <v>-0.63</v>
      </c>
      <c r="T28" s="258">
        <f t="shared" si="15"/>
        <v>-6.4391666666666678</v>
      </c>
      <c r="U28" s="258">
        <f t="shared" si="15"/>
        <v>-5.3109466666666663</v>
      </c>
      <c r="V28" s="258">
        <f t="shared" si="15"/>
        <v>-3.3383333333333334</v>
      </c>
      <c r="W28" s="258">
        <f t="shared" si="15"/>
        <v>-0.42499999999999999</v>
      </c>
      <c r="X28" s="258">
        <f t="shared" si="15"/>
        <v>-3.6883333333333335</v>
      </c>
      <c r="Y28" s="258">
        <f t="shared" si="15"/>
        <v>-7.245333333333333</v>
      </c>
      <c r="Z28" s="258">
        <f t="shared" si="15"/>
        <v>-8.6935000000000002</v>
      </c>
      <c r="AA28" s="258">
        <f t="shared" si="15"/>
        <v>-1.7903333333333333</v>
      </c>
      <c r="AB28" s="258">
        <f t="shared" si="15"/>
        <v>-5.5036666666666667</v>
      </c>
      <c r="AC28" s="258">
        <f t="shared" si="15"/>
        <v>-2.7416666666666667</v>
      </c>
      <c r="AD28" s="258">
        <f t="shared" si="15"/>
        <v>0</v>
      </c>
    </row>
    <row r="29" spans="2:34" ht="12" customHeight="1">
      <c r="B29" s="259" t="s">
        <v>1553</v>
      </c>
      <c r="C29" s="271"/>
      <c r="D29" s="271"/>
      <c r="E29" s="271">
        <f>+F23</f>
        <v>2396.1001199999996</v>
      </c>
      <c r="F29" s="272">
        <f>+$AD29*12</f>
        <v>2962.9407199999996</v>
      </c>
      <c r="G29" s="270"/>
      <c r="H29" s="273">
        <f>+$AD29*12</f>
        <v>2962.9407199999996</v>
      </c>
      <c r="I29" s="270"/>
      <c r="J29" s="274">
        <f t="shared" ref="J29:AA29" si="16">+K23</f>
        <v>136.83704666666657</v>
      </c>
      <c r="K29" s="271">
        <f t="shared" si="16"/>
        <v>140.48004666666657</v>
      </c>
      <c r="L29" s="271">
        <f t="shared" si="16"/>
        <v>154.1911299999999</v>
      </c>
      <c r="M29" s="271">
        <f t="shared" si="16"/>
        <v>157.03162999999989</v>
      </c>
      <c r="N29" s="271">
        <f t="shared" si="16"/>
        <v>166.21429666666657</v>
      </c>
      <c r="O29" s="271">
        <f t="shared" si="16"/>
        <v>167.31009666666657</v>
      </c>
      <c r="P29" s="271">
        <f t="shared" si="16"/>
        <v>169.58606333333324</v>
      </c>
      <c r="Q29" s="271">
        <f t="shared" si="16"/>
        <v>175.34268333333324</v>
      </c>
      <c r="R29" s="271">
        <f t="shared" si="16"/>
        <v>180.49313999999993</v>
      </c>
      <c r="S29" s="274">
        <f t="shared" si="16"/>
        <v>190.66497333333325</v>
      </c>
      <c r="T29" s="271">
        <f t="shared" si="16"/>
        <v>193.20913999999993</v>
      </c>
      <c r="U29" s="271">
        <f t="shared" si="16"/>
        <v>199.67500999999993</v>
      </c>
      <c r="V29" s="271">
        <f t="shared" si="16"/>
        <v>206.36334333333326</v>
      </c>
      <c r="W29" s="271">
        <f t="shared" si="16"/>
        <v>213.13717666666659</v>
      </c>
      <c r="X29" s="271">
        <f t="shared" si="16"/>
        <v>216.82730999999993</v>
      </c>
      <c r="Y29" s="271">
        <f t="shared" si="16"/>
        <v>222.51530999999994</v>
      </c>
      <c r="Z29" s="271">
        <f t="shared" si="16"/>
        <v>228.87914333333327</v>
      </c>
      <c r="AA29" s="271">
        <f t="shared" si="16"/>
        <v>231.95505999999995</v>
      </c>
      <c r="AB29" s="271">
        <f>+AB45+AB61</f>
        <v>238.88039333333327</v>
      </c>
      <c r="AC29" s="271">
        <f>+AC45+AC61</f>
        <v>241.01672666666661</v>
      </c>
      <c r="AD29" s="272">
        <f>+AD45+AD61+AD93</f>
        <v>246.91172666666662</v>
      </c>
    </row>
    <row r="30" spans="2:34" ht="3.95" customHeight="1">
      <c r="B30" s="180"/>
      <c r="C30" s="232"/>
      <c r="D30" s="232"/>
      <c r="E30" s="232"/>
      <c r="F30" s="232"/>
      <c r="H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3"/>
      <c r="AC30" s="233"/>
      <c r="AD30" s="233"/>
    </row>
    <row r="31" spans="2:34">
      <c r="B31" s="234" t="s">
        <v>1855</v>
      </c>
      <c r="C31" s="341"/>
      <c r="D31" s="341"/>
      <c r="E31" s="341">
        <f>AVERAGE(E23,E29)</f>
        <v>1958.2221099999997</v>
      </c>
      <c r="F31" s="342">
        <f>AVERAGE(F23,F29)</f>
        <v>2679.5204199999998</v>
      </c>
      <c r="G31" s="270"/>
      <c r="H31" s="345">
        <f>AVERAGE(H23,H29)</f>
        <v>2564.4291999999996</v>
      </c>
      <c r="I31" s="270"/>
      <c r="J31" s="347">
        <f t="shared" ref="J31:AD31" si="17">AVERAGE(J23,J29)</f>
        <v>131.76619416666657</v>
      </c>
      <c r="K31" s="341">
        <f t="shared" si="17"/>
        <v>138.65854666666655</v>
      </c>
      <c r="L31" s="341">
        <f t="shared" si="17"/>
        <v>147.33558833333325</v>
      </c>
      <c r="M31" s="341">
        <f t="shared" si="17"/>
        <v>155.61137999999988</v>
      </c>
      <c r="N31" s="341">
        <f t="shared" si="17"/>
        <v>161.62296333333325</v>
      </c>
      <c r="O31" s="341">
        <f t="shared" si="17"/>
        <v>166.76219666666657</v>
      </c>
      <c r="P31" s="341">
        <f t="shared" si="17"/>
        <v>168.44807999999989</v>
      </c>
      <c r="Q31" s="341">
        <f t="shared" si="17"/>
        <v>172.46437333333324</v>
      </c>
      <c r="R31" s="341">
        <f t="shared" si="17"/>
        <v>177.91791166666658</v>
      </c>
      <c r="S31" s="347">
        <f t="shared" si="17"/>
        <v>185.57905666666659</v>
      </c>
      <c r="T31" s="341">
        <f t="shared" si="17"/>
        <v>191.93705666666659</v>
      </c>
      <c r="U31" s="341">
        <f t="shared" si="17"/>
        <v>196.44207499999993</v>
      </c>
      <c r="V31" s="341">
        <f t="shared" si="17"/>
        <v>203.0191766666666</v>
      </c>
      <c r="W31" s="341">
        <f t="shared" si="17"/>
        <v>209.75025999999991</v>
      </c>
      <c r="X31" s="341">
        <f t="shared" si="17"/>
        <v>214.98224333333326</v>
      </c>
      <c r="Y31" s="341">
        <f t="shared" si="17"/>
        <v>219.67130999999995</v>
      </c>
      <c r="Z31" s="341">
        <f t="shared" si="17"/>
        <v>225.69722666666661</v>
      </c>
      <c r="AA31" s="341">
        <f t="shared" si="17"/>
        <v>230.41710166666661</v>
      </c>
      <c r="AB31" s="341">
        <f t="shared" si="17"/>
        <v>235.41772666666662</v>
      </c>
      <c r="AC31" s="341">
        <f t="shared" si="17"/>
        <v>239.94855999999996</v>
      </c>
      <c r="AD31" s="342">
        <f t="shared" si="17"/>
        <v>243.9642266666666</v>
      </c>
    </row>
    <row r="32" spans="2:34">
      <c r="B32" s="237" t="s">
        <v>1856</v>
      </c>
      <c r="C32" s="343"/>
      <c r="D32" s="343"/>
      <c r="E32" s="343">
        <f>IFERROR(E31/'Client Retention'!E30,"")</f>
        <v>14.505348962962961</v>
      </c>
      <c r="F32" s="344">
        <f>IFERROR(F31/'Client Retention'!F30,"")</f>
        <v>16.045032455089821</v>
      </c>
      <c r="G32" s="270"/>
      <c r="H32" s="346">
        <f>IFERROR(H31/'Client Retention'!H30,"")</f>
        <v>15.636763414634144</v>
      </c>
      <c r="I32" s="270"/>
      <c r="J32" s="348">
        <f>IFERROR(J31/'Client Retention'!J30*12,"")</f>
        <v>13.689994199134189</v>
      </c>
      <c r="K32" s="343">
        <f>IFERROR(K31/'Client Retention'!K30*12,"")</f>
        <v>13.982374453781503</v>
      </c>
      <c r="L32" s="343">
        <f>IFERROR(L31/'Client Retention'!L30*12,"")</f>
        <v>14.374203739837391</v>
      </c>
      <c r="M32" s="343">
        <f>IFERROR(M31/'Client Retention'!M30*12,"")</f>
        <v>14.531802023346293</v>
      </c>
      <c r="N32" s="343">
        <f>IFERROR(N31/'Client Retention'!N30*12,"")</f>
        <v>14.419892639405196</v>
      </c>
      <c r="O32" s="343">
        <f>IFERROR(O31/'Client Retention'!O30*12,"")</f>
        <v>14.501060579710137</v>
      </c>
      <c r="P32" s="343">
        <f>IFERROR(P31/'Client Retention'!P30*12,"")</f>
        <v>14.38702462633451</v>
      </c>
      <c r="Q32" s="343">
        <f>IFERROR(Q31/'Client Retention'!Q30*12,"")</f>
        <v>14.223865841924392</v>
      </c>
      <c r="R32" s="343">
        <f>IFERROR(R31/'Client Retention'!R30*12,"")</f>
        <v>14.281036387959858</v>
      </c>
      <c r="S32" s="348">
        <f>IFERROR(S31/'Client Retention'!S30*12,"")</f>
        <v>14.507808990228007</v>
      </c>
      <c r="T32" s="343">
        <f>IFERROR(T31/'Client Retention'!T30*12,"")</f>
        <v>14.81186289389067</v>
      </c>
      <c r="U32" s="343">
        <f>IFERROR(U31/'Client Retention'!U30*12,"")</f>
        <v>15.11092884615384</v>
      </c>
      <c r="V32" s="343">
        <f>IFERROR(V31/'Client Retention'!V30*12,"")</f>
        <v>15.179003862928344</v>
      </c>
      <c r="W32" s="343">
        <f>IFERROR(W31/'Client Retention'!W30*12,"")</f>
        <v>14.982161428571422</v>
      </c>
      <c r="X32" s="343">
        <f>IFERROR(X31/'Client Retention'!X30*12,"")</f>
        <v>14.955286492753618</v>
      </c>
      <c r="Y32" s="343">
        <f>IFERROR(Y31/'Client Retention'!Y30*12,"")</f>
        <v>14.977589318181815</v>
      </c>
      <c r="Z32" s="343">
        <f>IFERROR(Z31/'Client Retention'!Z30*12,"")</f>
        <v>15.476381257142851</v>
      </c>
      <c r="AA32" s="343">
        <f>IFERROR(AA31/'Client Retention'!AA30*12,"")</f>
        <v>16.169621169590641</v>
      </c>
      <c r="AB32" s="343">
        <f>IFERROR(AB31/'Client Retention'!AB30*12,"")</f>
        <v>16.472377376093291</v>
      </c>
      <c r="AC32" s="343">
        <f>IFERROR(AC31/'Client Retention'!AC30*12,"")</f>
        <v>16.692073739130432</v>
      </c>
      <c r="AD32" s="344">
        <f>IFERROR(AD31/'Client Retention'!AD30*12,"")</f>
        <v>16.728975542857139</v>
      </c>
      <c r="AF32" s="248">
        <f>AD32/J32-1</f>
        <v>0.22198558301179916</v>
      </c>
    </row>
    <row r="33" spans="2:33" ht="3.95" customHeight="1">
      <c r="B33" s="180"/>
      <c r="C33" s="232"/>
      <c r="D33" s="232"/>
      <c r="E33" s="232"/>
      <c r="F33" s="232"/>
      <c r="H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  <c r="AA33" s="232"/>
      <c r="AB33" s="233"/>
      <c r="AC33" s="233"/>
      <c r="AD33" s="233"/>
    </row>
    <row r="34" spans="2:33" ht="12" customHeight="1">
      <c r="B34" s="234" t="s">
        <v>1550</v>
      </c>
      <c r="C34" s="235"/>
      <c r="D34" s="235"/>
      <c r="E34" s="236">
        <f>(E24+E23)/E23-1</f>
        <v>0.79094323449540171</v>
      </c>
      <c r="F34" s="247">
        <f>(F24+F23)/F23-1</f>
        <v>0.40397084909790837</v>
      </c>
      <c r="G34" s="248"/>
      <c r="H34" s="249">
        <f>(H24+H23)/H23-1</f>
        <v>0.62176804429612487</v>
      </c>
      <c r="J34" s="246">
        <f t="shared" ref="J34:AD34" si="18">(J24+J23)/J23-1</f>
        <v>9.2089652599040006E-2</v>
      </c>
      <c r="K34" s="236">
        <f t="shared" si="18"/>
        <v>3.3273153074481643E-2</v>
      </c>
      <c r="L34" s="236">
        <f t="shared" si="18"/>
        <v>0.1030846278667239</v>
      </c>
      <c r="M34" s="236">
        <f t="shared" si="18"/>
        <v>3.3554675507815102E-2</v>
      </c>
      <c r="N34" s="236">
        <f t="shared" si="18"/>
        <v>6.146956932604386E-2</v>
      </c>
      <c r="O34" s="236">
        <f t="shared" si="18"/>
        <v>2.3569773550766948E-2</v>
      </c>
      <c r="P34" s="236">
        <f t="shared" si="18"/>
        <v>3.3325145609363505E-2</v>
      </c>
      <c r="Q34" s="236">
        <f t="shared" si="18"/>
        <v>3.7355388814477974E-2</v>
      </c>
      <c r="R34" s="236">
        <f t="shared" si="18"/>
        <v>4.1578334083135049E-2</v>
      </c>
      <c r="S34" s="246">
        <f t="shared" si="18"/>
        <v>5.9846226473390107E-2</v>
      </c>
      <c r="T34" s="236">
        <f t="shared" si="18"/>
        <v>4.7115803056432926E-2</v>
      </c>
      <c r="U34" s="236">
        <f t="shared" si="18"/>
        <v>6.0953724376945351E-2</v>
      </c>
      <c r="V34" s="236">
        <f t="shared" si="18"/>
        <v>5.0214930083973375E-2</v>
      </c>
      <c r="W34" s="236">
        <f t="shared" si="18"/>
        <v>3.4884263925232473E-2</v>
      </c>
      <c r="X34" s="236">
        <f t="shared" si="18"/>
        <v>3.4618393571977046E-2</v>
      </c>
      <c r="Y34" s="236">
        <f t="shared" si="18"/>
        <v>5.9648082768417598E-2</v>
      </c>
      <c r="Z34" s="236">
        <f t="shared" si="18"/>
        <v>6.7668752021302847E-2</v>
      </c>
      <c r="AA34" s="236">
        <f t="shared" si="18"/>
        <v>2.1261220787220925E-2</v>
      </c>
      <c r="AB34" s="236">
        <f t="shared" si="18"/>
        <v>5.3583655385659679E-2</v>
      </c>
      <c r="AC34" s="236">
        <f t="shared" si="18"/>
        <v>2.0420261085191793E-2</v>
      </c>
      <c r="AD34" s="247">
        <f t="shared" si="18"/>
        <v>2.4458883337806547E-2</v>
      </c>
    </row>
    <row r="35" spans="2:33">
      <c r="B35" s="237" t="s">
        <v>1551</v>
      </c>
      <c r="C35" s="238"/>
      <c r="D35" s="238"/>
      <c r="E35" s="239">
        <f>(E28+E31)/E31-1</f>
        <v>-0.16686046916302055</v>
      </c>
      <c r="F35" s="240">
        <f>(F28+F31)/F31-1</f>
        <v>-0.14969619078327456</v>
      </c>
      <c r="G35" s="248"/>
      <c r="H35" s="242">
        <f>(H28+H31)/H31-1</f>
        <v>-0.21434608528088828</v>
      </c>
      <c r="J35" s="241">
        <f t="shared" ref="J35:AD35" si="19">(J28+J31)/J31-1</f>
        <v>-1.157827324108851E-2</v>
      </c>
      <c r="K35" s="239">
        <f t="shared" si="19"/>
        <v>-6.5628843073598508E-3</v>
      </c>
      <c r="L35" s="239">
        <f t="shared" si="19"/>
        <v>-5.2278611618082893E-3</v>
      </c>
      <c r="M35" s="239">
        <f t="shared" si="19"/>
        <v>-1.4994618859708986E-2</v>
      </c>
      <c r="N35" s="239">
        <f t="shared" si="19"/>
        <v>-2.9080026148924354E-3</v>
      </c>
      <c r="O35" s="239">
        <f t="shared" si="19"/>
        <v>-1.6921301048664961E-2</v>
      </c>
      <c r="P35" s="239">
        <f t="shared" si="19"/>
        <v>-1.9588627348359644E-2</v>
      </c>
      <c r="Q35" s="239">
        <f t="shared" si="19"/>
        <v>-3.3533495768169885E-3</v>
      </c>
      <c r="R35" s="239">
        <f t="shared" si="19"/>
        <v>-1.2028018876532931E-2</v>
      </c>
      <c r="S35" s="241">
        <f t="shared" si="19"/>
        <v>-3.394779622851507E-3</v>
      </c>
      <c r="T35" s="239">
        <f t="shared" si="19"/>
        <v>-3.3548324531460505E-2</v>
      </c>
      <c r="U35" s="239">
        <f t="shared" si="19"/>
        <v>-2.7035688086000209E-2</v>
      </c>
      <c r="V35" s="239">
        <f t="shared" si="19"/>
        <v>-1.6443438438401681E-2</v>
      </c>
      <c r="W35" s="239">
        <f t="shared" si="19"/>
        <v>-2.0262191808487762E-3</v>
      </c>
      <c r="X35" s="239">
        <f t="shared" si="19"/>
        <v>-1.7156455696736406E-2</v>
      </c>
      <c r="Y35" s="239">
        <f t="shared" si="19"/>
        <v>-3.2982610853157457E-2</v>
      </c>
      <c r="Z35" s="239">
        <f t="shared" si="19"/>
        <v>-3.8518417476345324E-2</v>
      </c>
      <c r="AA35" s="239">
        <f t="shared" si="19"/>
        <v>-7.7699672480184834E-3</v>
      </c>
      <c r="AB35" s="239">
        <f t="shared" si="19"/>
        <v>-2.3378301815221603E-2</v>
      </c>
      <c r="AC35" s="239">
        <f t="shared" si="19"/>
        <v>-1.1426060096658475E-2</v>
      </c>
      <c r="AD35" s="240">
        <f t="shared" si="19"/>
        <v>0</v>
      </c>
    </row>
    <row r="36" spans="2:33" ht="3.95" customHeight="1">
      <c r="B36" s="180"/>
      <c r="C36" s="184"/>
      <c r="D36" s="184"/>
    </row>
    <row r="37" spans="2:33" ht="24">
      <c r="B37" s="159" t="s">
        <v>1311</v>
      </c>
      <c r="C37" s="176" t="s">
        <v>1319</v>
      </c>
      <c r="D37" s="176" t="s">
        <v>3</v>
      </c>
      <c r="E37" s="176" t="s">
        <v>4</v>
      </c>
      <c r="F37" s="176" t="s">
        <v>1320</v>
      </c>
      <c r="G37" s="193"/>
      <c r="H37" s="176" t="s">
        <v>1530</v>
      </c>
      <c r="J37" s="192">
        <v>45658</v>
      </c>
      <c r="K37" s="192">
        <f t="shared" ref="K37:P37" si="20">EOMONTH(J37,0)+1</f>
        <v>45689</v>
      </c>
      <c r="L37" s="192">
        <f t="shared" si="20"/>
        <v>45717</v>
      </c>
      <c r="M37" s="192">
        <f t="shared" si="20"/>
        <v>45748</v>
      </c>
      <c r="N37" s="192">
        <f t="shared" si="20"/>
        <v>45778</v>
      </c>
      <c r="O37" s="192">
        <f t="shared" si="20"/>
        <v>45809</v>
      </c>
      <c r="P37" s="192">
        <f t="shared" si="20"/>
        <v>45839</v>
      </c>
      <c r="Q37" s="192">
        <v>45870</v>
      </c>
      <c r="R37" s="192">
        <f t="shared" ref="R37:AD37" si="21">EOMONTH(Q37,0)+1</f>
        <v>45901</v>
      </c>
      <c r="S37" s="192">
        <f t="shared" si="21"/>
        <v>45931</v>
      </c>
      <c r="T37" s="192">
        <f t="shared" si="21"/>
        <v>45962</v>
      </c>
      <c r="U37" s="192">
        <f t="shared" si="21"/>
        <v>45992</v>
      </c>
      <c r="V37" s="192">
        <f t="shared" si="21"/>
        <v>46023</v>
      </c>
      <c r="W37" s="192">
        <f t="shared" si="21"/>
        <v>46054</v>
      </c>
      <c r="X37" s="192">
        <f t="shared" si="21"/>
        <v>46082</v>
      </c>
      <c r="Y37" s="192">
        <f t="shared" si="21"/>
        <v>46113</v>
      </c>
      <c r="Z37" s="192">
        <f t="shared" si="21"/>
        <v>46143</v>
      </c>
      <c r="AA37" s="192">
        <f t="shared" si="21"/>
        <v>46174</v>
      </c>
      <c r="AB37" s="192">
        <f t="shared" si="21"/>
        <v>46204</v>
      </c>
      <c r="AC37" s="192">
        <f t="shared" si="21"/>
        <v>46235</v>
      </c>
      <c r="AD37" s="192">
        <f t="shared" si="21"/>
        <v>46266</v>
      </c>
      <c r="AE37" s="187"/>
      <c r="AF37" s="220" t="s">
        <v>1301</v>
      </c>
      <c r="AG37" s="187"/>
    </row>
    <row r="38" spans="2:33">
      <c r="B38" s="186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1554</v>
      </c>
      <c r="C39" s="270"/>
      <c r="D39" s="270"/>
      <c r="E39" s="270">
        <f>+E45-E40-E44</f>
        <v>1259.9982399999994</v>
      </c>
      <c r="F39" s="270">
        <f>+F45-F40-F44</f>
        <v>2229.1241199999995</v>
      </c>
      <c r="G39" s="270"/>
      <c r="H39" s="270">
        <f>+H45-H40-H44</f>
        <v>1892.5903199999996</v>
      </c>
      <c r="I39" s="270"/>
      <c r="J39" s="270">
        <f t="shared" ref="J39:AD39" si="22">+J45-J40-J44</f>
        <v>104.99985333333332</v>
      </c>
      <c r="K39" s="270">
        <f t="shared" si="22"/>
        <v>115.43184999999998</v>
      </c>
      <c r="L39" s="270">
        <f t="shared" si="22"/>
        <v>119.15818333333331</v>
      </c>
      <c r="M39" s="270">
        <f t="shared" si="22"/>
        <v>132.62451666666664</v>
      </c>
      <c r="N39" s="270">
        <f t="shared" si="22"/>
        <v>136.72251666666665</v>
      </c>
      <c r="O39" s="270">
        <f t="shared" si="22"/>
        <v>144.49551666666665</v>
      </c>
      <c r="P39" s="270">
        <f t="shared" si="22"/>
        <v>146.12048333333331</v>
      </c>
      <c r="Q39" s="270">
        <f t="shared" si="22"/>
        <v>147.88044999999997</v>
      </c>
      <c r="R39" s="270">
        <f t="shared" si="22"/>
        <v>152.9154033333333</v>
      </c>
      <c r="S39" s="270">
        <f t="shared" si="22"/>
        <v>157.71585999999996</v>
      </c>
      <c r="T39" s="270">
        <f t="shared" si="22"/>
        <v>167.73519333333329</v>
      </c>
      <c r="U39" s="270">
        <f t="shared" si="22"/>
        <v>175.91852666666662</v>
      </c>
      <c r="V39" s="270">
        <f t="shared" si="22"/>
        <v>185.76034333333328</v>
      </c>
      <c r="W39" s="270">
        <f t="shared" si="22"/>
        <v>192.31367666666662</v>
      </c>
      <c r="X39" s="270">
        <f t="shared" si="22"/>
        <v>197.42434333333327</v>
      </c>
      <c r="Y39" s="270">
        <f t="shared" si="22"/>
        <v>201.36114333333327</v>
      </c>
      <c r="Z39" s="270">
        <f t="shared" si="22"/>
        <v>205.37914333333327</v>
      </c>
      <c r="AA39" s="270">
        <f t="shared" si="22"/>
        <v>214.09980999999993</v>
      </c>
      <c r="AB39" s="270">
        <f t="shared" si="22"/>
        <v>217.57572666666661</v>
      </c>
      <c r="AC39" s="270">
        <f t="shared" si="22"/>
        <v>225.58305999999993</v>
      </c>
      <c r="AD39" s="270">
        <f t="shared" si="22"/>
        <v>227.71939333333327</v>
      </c>
    </row>
    <row r="40" spans="2:33">
      <c r="B40" s="191" t="s">
        <v>1317</v>
      </c>
      <c r="C40" s="195"/>
      <c r="D40" s="195"/>
      <c r="E40" s="197">
        <f>SUM(J40:U40)*12</f>
        <v>1012.32188</v>
      </c>
      <c r="F40" s="197">
        <f>SUM(V40:AD40)*12</f>
        <v>905.88059999999996</v>
      </c>
      <c r="H40" s="197">
        <f>SUM(S40:AD40)*12</f>
        <v>1246.0143999999998</v>
      </c>
      <c r="J40" s="195">
        <f>SUMIFS('Full Customer List'!$G:$G,'Full Customer List'!$I:$I,'Client Retention $'!J$5,'Full Customer List'!$E:$E,'Client Retention $'!$AF$37)/1000</f>
        <v>10.431996666666667</v>
      </c>
      <c r="K40" s="195">
        <f>SUMIFS('Full Customer List'!$G:$G,'Full Customer List'!$I:$I,'Client Retention $'!K$5,'Full Customer List'!$E:$E,'Client Retention $'!$AF$37)/1000</f>
        <v>3.7263333333333333</v>
      </c>
      <c r="L40" s="195">
        <f>SUMIFS('Full Customer List'!$G:$G,'Full Customer List'!$I:$I,'Client Retention $'!L$5,'Full Customer List'!$E:$E,'Client Retention $'!$AF$37)/1000</f>
        <v>13.466333333333331</v>
      </c>
      <c r="M40" s="195">
        <f>SUMIFS('Full Customer List'!$G:$G,'Full Customer List'!$I:$I,'Client Retention $'!M$5,'Full Customer List'!$E:$E,'Client Retention $'!$AF$37)/1000</f>
        <v>4.0979999999999999</v>
      </c>
      <c r="N40" s="195">
        <f>SUMIFS('Full Customer List'!$G:$G,'Full Customer List'!$I:$I,'Client Retention $'!N$5,'Full Customer List'!$E:$E,'Client Retention $'!$AF$37)/1000</f>
        <v>7.7729999999999988</v>
      </c>
      <c r="O40" s="195">
        <f>SUMIFS('Full Customer List'!$G:$G,'Full Customer List'!$I:$I,'Client Retention $'!O$5,'Full Customer List'!$E:$E,'Client Retention $'!$AF$37)/1000</f>
        <v>1.6249666666666667</v>
      </c>
      <c r="P40" s="195">
        <f>SUMIFS('Full Customer List'!$G:$G,'Full Customer List'!$I:$I,'Client Retention $'!P$5,'Full Customer List'!$E:$E,'Client Retention $'!$AF$37)/1000</f>
        <v>5.0596333333333332</v>
      </c>
      <c r="Q40" s="195">
        <f>SUMIFS('Full Customer List'!$G:$G,'Full Customer List'!$I:$I,'Client Retention $'!Q$5,'Full Customer List'!$E:$E,'Client Retention $'!$AF$37)/1000</f>
        <v>5.0349533333333332</v>
      </c>
      <c r="R40" s="195">
        <f>SUMIFS('Full Customer List'!$G:$G,'Full Customer List'!$I:$I,'Client Retention $'!R$5,'Full Customer List'!$E:$E,'Client Retention $'!$AF$37)/1000</f>
        <v>4.8004566666666664</v>
      </c>
      <c r="S40" s="195">
        <f>SUMIFS('Full Customer List'!$G:$G,'Full Customer List'!$I:$I,'Client Retention $'!S$5,'Full Customer List'!$E:$E,'Client Retention $'!$AF$37)/1000</f>
        <v>10.019333333333334</v>
      </c>
      <c r="T40" s="195">
        <f>SUMIFS('Full Customer List'!$G:$G,'Full Customer List'!$I:$I,'Client Retention $'!T$5,'Full Customer List'!$E:$E,'Client Retention $'!$AF$37)/1000</f>
        <v>8.1833333333333336</v>
      </c>
      <c r="U40" s="195">
        <f>SUMIFS('Full Customer List'!$G:$G,'Full Customer List'!$I:$I,'Client Retention $'!U$5,'Full Customer List'!$E:$E,'Client Retention $'!$AF$37)/1000</f>
        <v>10.141816666666665</v>
      </c>
      <c r="V40" s="195">
        <f>SUMIFS('Full Customer List'!$G:$G,'Full Customer List'!$I:$I,'Client Retention $'!V$5,'Full Customer List'!$E:$E,'Client Retention $'!$AF$37)/1000</f>
        <v>9.4066666666666663</v>
      </c>
      <c r="W40" s="195">
        <f>SUMIFS('Full Customer List'!$G:$G,'Full Customer List'!$I:$I,'Client Retention $'!W$5,'Full Customer List'!$E:$E,'Client Retention $'!$AF$37)/1000</f>
        <v>5.5356666666666658</v>
      </c>
      <c r="X40" s="195">
        <f>SUMIFS('Full Customer List'!$G:$G,'Full Customer List'!$I:$I,'Client Retention $'!X$5,'Full Customer List'!$E:$E,'Client Retention $'!$AF$37)/1000</f>
        <v>6.9768000000000008</v>
      </c>
      <c r="Y40" s="195">
        <f>SUMIFS('Full Customer List'!$G:$G,'Full Customer List'!$I:$I,'Client Retention $'!Y$5,'Full Customer List'!$E:$E,'Client Retention $'!$AF$37)/1000</f>
        <v>10.863333333333333</v>
      </c>
      <c r="Z40" s="195">
        <f>SUMIFS('Full Customer List'!$G:$G,'Full Customer List'!$I:$I,'Client Retention $'!Z$5,'Full Customer List'!$E:$E,'Client Retention $'!$AF$37)/1000</f>
        <v>15.057333333333334</v>
      </c>
      <c r="AA40" s="195">
        <f>SUMIFS('Full Customer List'!$G:$G,'Full Customer List'!$I:$I,'Client Retention $'!AA$5,'Full Customer List'!$E:$E,'Client Retention $'!$AF$37)/1000</f>
        <v>4.86625</v>
      </c>
      <c r="AB40" s="195">
        <f>SUMIFS('Full Customer List'!$G:$G,'Full Customer List'!$I:$I,'Client Retention $'!AB$5,'Full Customer List'!$E:$E,'Client Retention $'!$AF$37)/1000</f>
        <v>12.010999999999999</v>
      </c>
      <c r="AC40" s="195">
        <f>SUMIFS('Full Customer List'!$G:$G,'Full Customer List'!$I:$I,'Client Retention $'!AC$5,'Full Customer List'!$E:$E,'Client Retention $'!$AF$37)/1000</f>
        <v>4.8780000000000001</v>
      </c>
      <c r="AD40" s="195">
        <f>SUMIFS('Full Customer List'!$G:$G,'Full Customer List'!$I:$I,'Client Retention $'!AD$5,'Full Customer List'!$E:$E,'Client Retention $'!$AF$37)/1000</f>
        <v>5.8949999999999996</v>
      </c>
    </row>
    <row r="41" spans="2:33">
      <c r="B41" s="265" t="s">
        <v>1531</v>
      </c>
      <c r="E41" s="197">
        <f>SUM(J41:U41)*12</f>
        <v>-39.595999999999997</v>
      </c>
      <c r="F41" s="197">
        <f>SUM(V41:AD41)*12</f>
        <v>-138.59199999999998</v>
      </c>
      <c r="H41" s="197">
        <f>SUM(S41:AD41)*12</f>
        <v>-138.59199999999998</v>
      </c>
      <c r="J41" s="195">
        <f>-SUMIFS('Full Customer List'!$G:$G,'Full Customer List'!$J:$J,J$1,'Full Customer List'!$E:$E,'Client Retention $'!$AF$37,'Full Customer List'!$H:$H,'Client Retention $'!$AF41)/1000</f>
        <v>0</v>
      </c>
      <c r="K41" s="195">
        <f>-SUMIFS('Full Customer List'!$G:$G,'Full Customer List'!$J:$J,K$1,'Full Customer List'!$E:$E,'Client Retention $'!$AF$37,'Full Customer List'!$H:$H,'Client Retention $'!$AF41)/1000</f>
        <v>0</v>
      </c>
      <c r="L41" s="195">
        <f>-SUMIFS('Full Customer List'!$G:$G,'Full Customer List'!$J:$J,L$1,'Full Customer List'!$E:$E,'Client Retention $'!$AF$37,'Full Customer List'!$H:$H,'Client Retention $'!$AF41)/1000</f>
        <v>0</v>
      </c>
      <c r="M41" s="195">
        <f>-SUMIFS('Full Customer List'!$G:$G,'Full Customer List'!$J:$J,M$1,'Full Customer List'!$E:$E,'Client Retention $'!$AF$37,'Full Customer List'!$H:$H,'Client Retention $'!$AF41)/1000</f>
        <v>0</v>
      </c>
      <c r="N41" s="195">
        <f>-SUMIFS('Full Customer List'!$G:$G,'Full Customer List'!$J:$J,N$1,'Full Customer List'!$E:$E,'Client Retention $'!$AF$37,'Full Customer List'!$H:$H,'Client Retention $'!$AF41)/1000</f>
        <v>0</v>
      </c>
      <c r="O41" s="195">
        <f>-SUMIFS('Full Customer List'!$G:$G,'Full Customer List'!$J:$J,O$1,'Full Customer List'!$E:$E,'Client Retention $'!$AF$37,'Full Customer List'!$H:$H,'Client Retention $'!$AF41)/1000</f>
        <v>0</v>
      </c>
      <c r="P41" s="195">
        <f>-SUMIFS('Full Customer List'!$G:$G,'Full Customer List'!$J:$J,P$1,'Full Customer List'!$E:$E,'Client Retention $'!$AF$37,'Full Customer List'!$H:$H,'Client Retention $'!$AF41)/1000</f>
        <v>-3.2996666666666665</v>
      </c>
      <c r="Q41" s="195">
        <f>-SUMIFS('Full Customer List'!$G:$G,'Full Customer List'!$J:$J,Q$1,'Full Customer List'!$E:$E,'Client Retention $'!$AF$37,'Full Customer List'!$H:$H,'Client Retention $'!$AF41)/1000</f>
        <v>0</v>
      </c>
      <c r="R41" s="195">
        <f>-SUMIFS('Full Customer List'!$G:$G,'Full Customer List'!$J:$J,R$1,'Full Customer List'!$E:$E,'Client Retention $'!$AF$37,'Full Customer List'!$H:$H,'Client Retention $'!$AF41)/1000</f>
        <v>0</v>
      </c>
      <c r="S41" s="195">
        <f>-SUMIFS('Full Customer List'!$G:$G,'Full Customer List'!$J:$J,S$1,'Full Customer List'!$E:$E,'Client Retention $'!$AF$37,'Full Customer List'!$H:$H,'Client Retention $'!$AF41)/1000</f>
        <v>0</v>
      </c>
      <c r="T41" s="195">
        <f>-SUMIFS('Full Customer List'!$G:$G,'Full Customer List'!$J:$J,T$1,'Full Customer List'!$E:$E,'Client Retention $'!$AF$37,'Full Customer List'!$H:$H,'Client Retention $'!$AF41)/1000</f>
        <v>0</v>
      </c>
      <c r="U41" s="195">
        <f>-SUMIFS('Full Customer List'!$G:$G,'Full Customer List'!$J:$J,U$1,'Full Customer List'!$E:$E,'Client Retention $'!$AF$37,'Full Customer List'!$H:$H,'Client Retention $'!$AF41)/1000</f>
        <v>0</v>
      </c>
      <c r="V41" s="195">
        <f>-SUMIFS('Full Customer List'!$G:$G,'Full Customer List'!$J:$J,V$1,'Full Customer List'!$E:$E,'Client Retention $'!$AF$37,'Full Customer List'!$H:$H,'Client Retention $'!$AF41)/1000</f>
        <v>0</v>
      </c>
      <c r="W41" s="195">
        <f>-SUMIFS('Full Customer List'!$G:$G,'Full Customer List'!$J:$J,W$1,'Full Customer List'!$E:$E,'Client Retention $'!$AF$37,'Full Customer List'!$H:$H,'Client Retention $'!$AF41)/1000</f>
        <v>-0.42499999999999999</v>
      </c>
      <c r="X41" s="195">
        <f>-SUMIFS('Full Customer List'!$G:$G,'Full Customer List'!$J:$J,X$1,'Full Customer List'!$E:$E,'Client Retention $'!$AF$37,'Full Customer List'!$H:$H,'Client Retention $'!$AF41)/1000</f>
        <v>-0.92333333333333334</v>
      </c>
      <c r="Y41" s="195">
        <f>-SUMIFS('Full Customer List'!$G:$G,'Full Customer List'!$J:$J,Y$1,'Full Customer List'!$E:$E,'Client Retention $'!$AF$37,'Full Customer List'!$H:$H,'Client Retention $'!$AF41)/1000</f>
        <v>-3.57</v>
      </c>
      <c r="Z41" s="195">
        <f>-SUMIFS('Full Customer List'!$G:$G,'Full Customer List'!$J:$J,Z$1,'Full Customer List'!$E:$E,'Client Retention $'!$AF$37,'Full Customer List'!$H:$H,'Client Retention $'!$AF41)/1000</f>
        <v>-2.3340000000000001</v>
      </c>
      <c r="AA41" s="195">
        <f>-SUMIFS('Full Customer List'!$G:$G,'Full Customer List'!$J:$J,AA$1,'Full Customer List'!$E:$E,'Client Retention $'!$AF$37,'Full Customer List'!$H:$H,'Client Retention $'!$AF41)/1000</f>
        <v>-1.3903333333333334</v>
      </c>
      <c r="AB41" s="195">
        <f>-SUMIFS('Full Customer List'!$G:$G,'Full Customer List'!$J:$J,AB$1,'Full Customer List'!$E:$E,'Client Retention $'!$AF$37,'Full Customer List'!$H:$H,'Client Retention $'!$AF41)/1000</f>
        <v>-2.9066666666666667</v>
      </c>
      <c r="AC41" s="195">
        <f>-SUMIFS('Full Customer List'!$G:$G,'Full Customer List'!$J:$J,AC$1,'Full Customer List'!$E:$E,'Client Retention $'!$AF$37,'Full Customer List'!$H:$H,'Client Retention $'!$AF41)/1000</f>
        <v>0</v>
      </c>
      <c r="AD41" s="195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5" t="s">
        <v>1532</v>
      </c>
      <c r="E42" s="197">
        <f>SUM(J42:U42)*12</f>
        <v>-3.5999999999999996</v>
      </c>
      <c r="F42" s="197">
        <f>SUM(V42:AD42)*12</f>
        <v>-60.923999999999999</v>
      </c>
      <c r="H42" s="197">
        <f>SUM(S42:AD42)*12</f>
        <v>-64.524000000000001</v>
      </c>
      <c r="J42" s="195">
        <f>-SUMIFS('Full Customer List'!$G:$G,'Full Customer List'!$J:$J,J$1,'Full Customer List'!$E:$E,'Client Retention $'!$AF$37,'Full Customer List'!$H:$H,'Client Retention $'!$AF42)/1000</f>
        <v>0</v>
      </c>
      <c r="K42" s="195">
        <f>-SUMIFS('Full Customer List'!$G:$G,'Full Customer List'!$J:$J,K$1,'Full Customer List'!$E:$E,'Client Retention $'!$AF$37,'Full Customer List'!$H:$H,'Client Retention $'!$AF42)/1000</f>
        <v>0</v>
      </c>
      <c r="L42" s="195">
        <f>-SUMIFS('Full Customer List'!$G:$G,'Full Customer List'!$J:$J,L$1,'Full Customer List'!$E:$E,'Client Retention $'!$AF$37,'Full Customer List'!$H:$H,'Client Retention $'!$AF42)/1000</f>
        <v>0</v>
      </c>
      <c r="M42" s="195">
        <f>-SUMIFS('Full Customer List'!$G:$G,'Full Customer List'!$J:$J,M$1,'Full Customer List'!$E:$E,'Client Retention $'!$AF$37,'Full Customer List'!$H:$H,'Client Retention $'!$AF42)/1000</f>
        <v>0</v>
      </c>
      <c r="N42" s="195">
        <f>-SUMIFS('Full Customer List'!$G:$G,'Full Customer List'!$J:$J,N$1,'Full Customer List'!$E:$E,'Client Retention $'!$AF$37,'Full Customer List'!$H:$H,'Client Retention $'!$AF42)/1000</f>
        <v>0</v>
      </c>
      <c r="O42" s="195">
        <f>-SUMIFS('Full Customer List'!$G:$G,'Full Customer List'!$J:$J,O$1,'Full Customer List'!$E:$E,'Client Retention $'!$AF$37,'Full Customer List'!$H:$H,'Client Retention $'!$AF42)/1000</f>
        <v>0</v>
      </c>
      <c r="P42" s="195">
        <f>-SUMIFS('Full Customer List'!$G:$G,'Full Customer List'!$J:$J,P$1,'Full Customer List'!$E:$E,'Client Retention $'!$AF$37,'Full Customer List'!$H:$H,'Client Retention $'!$AF42)/1000</f>
        <v>0</v>
      </c>
      <c r="Q42" s="195">
        <f>-SUMIFS('Full Customer List'!$G:$G,'Full Customer List'!$J:$J,Q$1,'Full Customer List'!$E:$E,'Client Retention $'!$AF$37,'Full Customer List'!$H:$H,'Client Retention $'!$AF42)/1000</f>
        <v>0</v>
      </c>
      <c r="R42" s="195">
        <f>-SUMIFS('Full Customer List'!$G:$G,'Full Customer List'!$J:$J,R$1,'Full Customer List'!$E:$E,'Client Retention $'!$AF$37,'Full Customer List'!$H:$H,'Client Retention $'!$AF42)/1000</f>
        <v>0</v>
      </c>
      <c r="S42" s="195">
        <f>-SUMIFS('Full Customer List'!$G:$G,'Full Customer List'!$J:$J,S$1,'Full Customer List'!$E:$E,'Client Retention $'!$AF$37,'Full Customer List'!$H:$H,'Client Retention $'!$AF42)/1000</f>
        <v>0</v>
      </c>
      <c r="T42" s="195">
        <f>-SUMIFS('Full Customer List'!$G:$G,'Full Customer List'!$J:$J,T$1,'Full Customer List'!$E:$E,'Client Retention $'!$AF$37,'Full Customer List'!$H:$H,'Client Retention $'!$AF42)/1000</f>
        <v>0</v>
      </c>
      <c r="U42" s="195">
        <f>-SUMIFS('Full Customer List'!$G:$G,'Full Customer List'!$J:$J,U$1,'Full Customer List'!$E:$E,'Client Retention $'!$AF$37,'Full Customer List'!$H:$H,'Client Retention $'!$AF42)/1000</f>
        <v>-0.3</v>
      </c>
      <c r="V42" s="195">
        <f>-SUMIFS('Full Customer List'!$G:$G,'Full Customer List'!$J:$J,V$1,'Full Customer List'!$E:$E,'Client Retention $'!$AF$37,'Full Customer List'!$H:$H,'Client Retention $'!$AF42)/1000</f>
        <v>-2.8533333333333335</v>
      </c>
      <c r="W42" s="195">
        <f>-SUMIFS('Full Customer List'!$G:$G,'Full Customer List'!$J:$J,W$1,'Full Customer List'!$E:$E,'Client Retention $'!$AF$37,'Full Customer List'!$H:$H,'Client Retention $'!$AF42)/1000</f>
        <v>0</v>
      </c>
      <c r="X42" s="195">
        <f>-SUMIFS('Full Customer List'!$G:$G,'Full Customer List'!$J:$J,X$1,'Full Customer List'!$E:$E,'Client Retention $'!$AF$37,'Full Customer List'!$H:$H,'Client Retention $'!$AF42)/1000</f>
        <v>0</v>
      </c>
      <c r="Y42" s="195">
        <f>-SUMIFS('Full Customer List'!$G:$G,'Full Customer List'!$J:$J,Y$1,'Full Customer List'!$E:$E,'Client Retention $'!$AF$37,'Full Customer List'!$H:$H,'Client Retention $'!$AF42)/1000</f>
        <v>-0.54</v>
      </c>
      <c r="Z42" s="195">
        <f>-SUMIFS('Full Customer List'!$G:$G,'Full Customer List'!$J:$J,Z$1,'Full Customer List'!$E:$E,'Client Retention $'!$AF$37,'Full Customer List'!$H:$H,'Client Retention $'!$AF42)/1000</f>
        <v>-1.6836666666666664</v>
      </c>
      <c r="AA42" s="195">
        <f>-SUMIFS('Full Customer List'!$G:$G,'Full Customer List'!$J:$J,AA$1,'Full Customer List'!$E:$E,'Client Retention $'!$AF$37,'Full Customer List'!$H:$H,'Client Retention $'!$AF42)/1000</f>
        <v>0</v>
      </c>
      <c r="AB42" s="195">
        <f>-SUMIFS('Full Customer List'!$G:$G,'Full Customer List'!$J:$J,AB$1,'Full Customer List'!$E:$E,'Client Retention $'!$AF$37,'Full Customer List'!$H:$H,'Client Retention $'!$AF42)/1000</f>
        <v>0</v>
      </c>
      <c r="AC42" s="195">
        <f>-SUMIFS('Full Customer List'!$G:$G,'Full Customer List'!$J:$J,AC$1,'Full Customer List'!$E:$E,'Client Retention $'!$AF$37,'Full Customer List'!$H:$H,'Client Retention $'!$AF42)/1000</f>
        <v>0</v>
      </c>
      <c r="AD42" s="195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5" t="s">
        <v>1533</v>
      </c>
      <c r="E43" s="197">
        <f>SUM(J43:U43)*12</f>
        <v>0</v>
      </c>
      <c r="F43" s="197">
        <f>SUM(V43:AD43)*12</f>
        <v>-132.11600000000001</v>
      </c>
      <c r="H43" s="197">
        <f>SUM(S43:AD43)*12</f>
        <v>-132.11600000000001</v>
      </c>
      <c r="J43" s="195">
        <f>-SUMIFS('Full Customer List'!$G:$G,'Full Customer List'!$J:$J,J$1,'Full Customer List'!$E:$E,'Client Retention $'!$AF$37,'Full Customer List'!$H:$H,'Client Retention $'!$AF43)/1000</f>
        <v>0</v>
      </c>
      <c r="K43" s="195">
        <f>-SUMIFS('Full Customer List'!$G:$G,'Full Customer List'!$J:$J,K$1,'Full Customer List'!$E:$E,'Client Retention $'!$AF$37,'Full Customer List'!$H:$H,'Client Retention $'!$AF43)/1000</f>
        <v>0</v>
      </c>
      <c r="L43" s="195">
        <f>-SUMIFS('Full Customer List'!$G:$G,'Full Customer List'!$J:$J,L$1,'Full Customer List'!$E:$E,'Client Retention $'!$AF$37,'Full Customer List'!$H:$H,'Client Retention $'!$AF43)/1000</f>
        <v>0</v>
      </c>
      <c r="M43" s="195">
        <f>-SUMIFS('Full Customer List'!$G:$G,'Full Customer List'!$J:$J,M$1,'Full Customer List'!$E:$E,'Client Retention $'!$AF$37,'Full Customer List'!$H:$H,'Client Retention $'!$AF43)/1000</f>
        <v>0</v>
      </c>
      <c r="N43" s="195">
        <f>-SUMIFS('Full Customer List'!$G:$G,'Full Customer List'!$J:$J,N$1,'Full Customer List'!$E:$E,'Client Retention $'!$AF$37,'Full Customer List'!$H:$H,'Client Retention $'!$AF43)/1000</f>
        <v>0</v>
      </c>
      <c r="O43" s="195">
        <f>-SUMIFS('Full Customer List'!$G:$G,'Full Customer List'!$J:$J,O$1,'Full Customer List'!$E:$E,'Client Retention $'!$AF$37,'Full Customer List'!$H:$H,'Client Retention $'!$AF43)/1000</f>
        <v>0</v>
      </c>
      <c r="P43" s="195">
        <f>-SUMIFS('Full Customer List'!$G:$G,'Full Customer List'!$J:$J,P$1,'Full Customer List'!$E:$E,'Client Retention $'!$AF$37,'Full Customer List'!$H:$H,'Client Retention $'!$AF43)/1000</f>
        <v>0</v>
      </c>
      <c r="Q43" s="195">
        <f>-SUMIFS('Full Customer List'!$G:$G,'Full Customer List'!$J:$J,Q$1,'Full Customer List'!$E:$E,'Client Retention $'!$AF$37,'Full Customer List'!$H:$H,'Client Retention $'!$AF43)/1000</f>
        <v>0</v>
      </c>
      <c r="R43" s="195">
        <f>-SUMIFS('Full Customer List'!$G:$G,'Full Customer List'!$J:$J,R$1,'Full Customer List'!$E:$E,'Client Retention $'!$AF$37,'Full Customer List'!$H:$H,'Client Retention $'!$AF43)/1000</f>
        <v>0</v>
      </c>
      <c r="S43" s="195">
        <f>-SUMIFS('Full Customer List'!$G:$G,'Full Customer List'!$J:$J,S$1,'Full Customer List'!$E:$E,'Client Retention $'!$AF$37,'Full Customer List'!$H:$H,'Client Retention $'!$AF43)/1000</f>
        <v>0</v>
      </c>
      <c r="T43" s="195">
        <f>-SUMIFS('Full Customer List'!$G:$G,'Full Customer List'!$J:$J,T$1,'Full Customer List'!$E:$E,'Client Retention $'!$AF$37,'Full Customer List'!$H:$H,'Client Retention $'!$AF43)/1000</f>
        <v>0</v>
      </c>
      <c r="U43" s="195">
        <f>-SUMIFS('Full Customer List'!$G:$G,'Full Customer List'!$J:$J,U$1,'Full Customer List'!$E:$E,'Client Retention $'!$AF$37,'Full Customer List'!$H:$H,'Client Retention $'!$AF43)/1000</f>
        <v>0</v>
      </c>
      <c r="V43" s="195">
        <f>-SUMIFS('Full Customer List'!$G:$G,'Full Customer List'!$J:$J,V$1,'Full Customer List'!$E:$E,'Client Retention $'!$AF$37,'Full Customer List'!$H:$H,'Client Retention $'!$AF43)/1000</f>
        <v>0</v>
      </c>
      <c r="W43" s="195">
        <f>-SUMIFS('Full Customer List'!$G:$G,'Full Customer List'!$J:$J,W$1,'Full Customer List'!$E:$E,'Client Retention $'!$AF$37,'Full Customer List'!$H:$H,'Client Retention $'!$AF43)/1000</f>
        <v>0</v>
      </c>
      <c r="X43" s="195">
        <f>-SUMIFS('Full Customer List'!$G:$G,'Full Customer List'!$J:$J,X$1,'Full Customer List'!$E:$E,'Client Retention $'!$AF$37,'Full Customer List'!$H:$H,'Client Retention $'!$AF43)/1000</f>
        <v>-2.1166666666666667</v>
      </c>
      <c r="Y43" s="195">
        <f>-SUMIFS('Full Customer List'!$G:$G,'Full Customer List'!$J:$J,Y$1,'Full Customer List'!$E:$E,'Client Retention $'!$AF$37,'Full Customer List'!$H:$H,'Client Retention $'!$AF43)/1000</f>
        <v>-2.7353333333333336</v>
      </c>
      <c r="Z43" s="195">
        <f>-SUMIFS('Full Customer List'!$G:$G,'Full Customer List'!$J:$J,Z$1,'Full Customer List'!$E:$E,'Client Retention $'!$AF$37,'Full Customer List'!$H:$H,'Client Retention $'!$AF43)/1000</f>
        <v>-2.319</v>
      </c>
      <c r="AA43" s="195">
        <f>-SUMIFS('Full Customer List'!$G:$G,'Full Customer List'!$J:$J,AA$1,'Full Customer List'!$E:$E,'Client Retention $'!$AF$37,'Full Customer List'!$H:$H,'Client Retention $'!$AF43)/1000</f>
        <v>0</v>
      </c>
      <c r="AB43" s="195">
        <f>-SUMIFS('Full Customer List'!$G:$G,'Full Customer List'!$J:$J,AB$1,'Full Customer List'!$E:$E,'Client Retention $'!$AF$37,'Full Customer List'!$H:$H,'Client Retention $'!$AF43)/1000</f>
        <v>-1.097</v>
      </c>
      <c r="AC43" s="195">
        <f>-SUMIFS('Full Customer List'!$G:$G,'Full Customer List'!$J:$J,AC$1,'Full Customer List'!$E:$E,'Client Retention $'!$AF$37,'Full Customer List'!$H:$H,'Client Retention $'!$AF43)/1000</f>
        <v>-2.7416666666666667</v>
      </c>
      <c r="AD43" s="195">
        <f>-SUMIFS('Full Customer List'!$G:$G,'Full Customer List'!$J:$J,AD$1,'Full Customer List'!$E:$E,'Client Retention $'!$AF$37,'Full Customer List'!$H:$H,'Client Retention $'!$AF43)/1000</f>
        <v>0</v>
      </c>
      <c r="AF43" s="173" t="s">
        <v>1534</v>
      </c>
    </row>
    <row r="44" spans="2:33" ht="12" customHeight="1">
      <c r="B44" s="255" t="s">
        <v>1535</v>
      </c>
      <c r="C44" s="258"/>
      <c r="D44" s="258"/>
      <c r="E44" s="256">
        <f>SUM(J44:U44)*12</f>
        <v>-43.195999999999998</v>
      </c>
      <c r="F44" s="256">
        <f>SUM(V44:AD44)*12</f>
        <v>-331.63200000000006</v>
      </c>
      <c r="G44" s="257"/>
      <c r="H44" s="256">
        <f>SUM(S44:AD44)*12</f>
        <v>-335.23199999999997</v>
      </c>
      <c r="I44" s="257"/>
      <c r="J44" s="258">
        <f>-SUMIFS('Full Customer List'!$G:$G,'Full Customer List'!$J:$J,J$1,'Full Customer List'!$E:$E,'Client Retention $'!$AF$37)/1000</f>
        <v>0</v>
      </c>
      <c r="K44" s="258">
        <f>-SUMIFS('Full Customer List'!$G:$G,'Full Customer List'!$J:$J,K$1,'Full Customer List'!$E:$E,'Client Retention $'!$AF$37)/1000</f>
        <v>0</v>
      </c>
      <c r="L44" s="258">
        <f>-SUMIFS('Full Customer List'!$G:$G,'Full Customer List'!$J:$J,L$1,'Full Customer List'!$E:$E,'Client Retention $'!$AF$37)/1000</f>
        <v>0</v>
      </c>
      <c r="M44" s="258">
        <f>-SUMIFS('Full Customer List'!$G:$G,'Full Customer List'!$J:$J,M$1,'Full Customer List'!$E:$E,'Client Retention $'!$AF$37)/1000</f>
        <v>0</v>
      </c>
      <c r="N44" s="258">
        <f>-SUMIFS('Full Customer List'!$G:$G,'Full Customer List'!$J:$J,N$1,'Full Customer List'!$E:$E,'Client Retention $'!$AF$37)/1000</f>
        <v>0</v>
      </c>
      <c r="O44" s="258">
        <f>-SUMIFS('Full Customer List'!$G:$G,'Full Customer List'!$J:$J,O$1,'Full Customer List'!$E:$E,'Client Retention $'!$AF$37)/1000</f>
        <v>0</v>
      </c>
      <c r="P44" s="258">
        <f>-SUMIFS('Full Customer List'!$G:$G,'Full Customer List'!$J:$J,P$1,'Full Customer List'!$E:$E,'Client Retention $'!$AF$37)/1000</f>
        <v>-3.2996666666666665</v>
      </c>
      <c r="Q44" s="258">
        <f>-SUMIFS('Full Customer List'!$G:$G,'Full Customer List'!$J:$J,Q$1,'Full Customer List'!$E:$E,'Client Retention $'!$AF$37)/1000</f>
        <v>0</v>
      </c>
      <c r="R44" s="258">
        <f>-SUMIFS('Full Customer List'!$G:$G,'Full Customer List'!$J:$J,R$1,'Full Customer List'!$E:$E,'Client Retention $'!$AF$37)/1000</f>
        <v>0</v>
      </c>
      <c r="S44" s="258">
        <f>-SUMIFS('Full Customer List'!$G:$G,'Full Customer List'!$J:$J,S$1,'Full Customer List'!$E:$E,'Client Retention $'!$AF$37)/1000</f>
        <v>0</v>
      </c>
      <c r="T44" s="258">
        <f>-SUMIFS('Full Customer List'!$G:$G,'Full Customer List'!$J:$J,T$1,'Full Customer List'!$E:$E,'Client Retention $'!$AF$37)/1000</f>
        <v>0</v>
      </c>
      <c r="U44" s="258">
        <f>-SUMIFS('Full Customer List'!$G:$G,'Full Customer List'!$J:$J,U$1,'Full Customer List'!$E:$E,'Client Retention $'!$AF$37)/1000</f>
        <v>-0.3</v>
      </c>
      <c r="V44" s="258">
        <f>-SUMIFS('Full Customer List'!$G:$G,'Full Customer List'!$J:$J,V$1,'Full Customer List'!$E:$E,'Client Retention $'!$AF$37)/1000</f>
        <v>-2.8533333333333335</v>
      </c>
      <c r="W44" s="258">
        <f>-SUMIFS('Full Customer List'!$G:$G,'Full Customer List'!$J:$J,W$1,'Full Customer List'!$E:$E,'Client Retention $'!$AF$37)/1000</f>
        <v>-0.42499999999999999</v>
      </c>
      <c r="X44" s="258">
        <f>-SUMIFS('Full Customer List'!$G:$G,'Full Customer List'!$J:$J,X$1,'Full Customer List'!$E:$E,'Client Retention $'!$AF$37)/1000</f>
        <v>-3.04</v>
      </c>
      <c r="Y44" s="258">
        <f>-SUMIFS('Full Customer List'!$G:$G,'Full Customer List'!$J:$J,Y$1,'Full Customer List'!$E:$E,'Client Retention $'!$AF$37)/1000</f>
        <v>-6.8453333333333326</v>
      </c>
      <c r="Z44" s="258">
        <f>-SUMIFS('Full Customer List'!$G:$G,'Full Customer List'!$J:$J,Z$1,'Full Customer List'!$E:$E,'Client Retention $'!$AF$37)/1000</f>
        <v>-6.3366666666666669</v>
      </c>
      <c r="AA44" s="258">
        <f>-SUMIFS('Full Customer List'!$G:$G,'Full Customer List'!$J:$J,AA$1,'Full Customer List'!$E:$E,'Client Retention $'!$AF$37)/1000</f>
        <v>-1.3903333333333334</v>
      </c>
      <c r="AB44" s="258">
        <f>-SUMIFS('Full Customer List'!$G:$G,'Full Customer List'!$J:$J,AB$1,'Full Customer List'!$E:$E,'Client Retention $'!$AF$37)/1000</f>
        <v>-4.0036666666666667</v>
      </c>
      <c r="AC44" s="258">
        <f>-SUMIFS('Full Customer List'!$G:$G,'Full Customer List'!$J:$J,AC$1,'Full Customer List'!$E:$E,'Client Retention $'!$AF$37)/1000</f>
        <v>-2.7416666666666667</v>
      </c>
      <c r="AD44" s="258">
        <f>-SUMIFS('Full Customer List'!$G:$G,'Full Customer List'!$J:$J,AD$1,'Full Customer List'!$E:$E,'Client Retention $'!$AF$37)/1000</f>
        <v>0</v>
      </c>
    </row>
    <row r="45" spans="2:33" ht="12" customHeight="1">
      <c r="B45" s="259" t="s">
        <v>1553</v>
      </c>
      <c r="C45" s="271"/>
      <c r="D45" s="271"/>
      <c r="E45" s="271">
        <f>+F39</f>
        <v>2229.1241199999995</v>
      </c>
      <c r="F45" s="272">
        <f>+$AD45*12</f>
        <v>2803.3727199999994</v>
      </c>
      <c r="G45" s="270"/>
      <c r="H45" s="273">
        <f>+$AD45*12</f>
        <v>2803.3727199999994</v>
      </c>
      <c r="I45" s="270"/>
      <c r="J45" s="274">
        <f t="shared" ref="J45:AC45" si="23">+K39</f>
        <v>115.43184999999998</v>
      </c>
      <c r="K45" s="271">
        <f t="shared" si="23"/>
        <v>119.15818333333331</v>
      </c>
      <c r="L45" s="271">
        <f t="shared" si="23"/>
        <v>132.62451666666664</v>
      </c>
      <c r="M45" s="271">
        <f t="shared" si="23"/>
        <v>136.72251666666665</v>
      </c>
      <c r="N45" s="271">
        <f t="shared" si="23"/>
        <v>144.49551666666665</v>
      </c>
      <c r="O45" s="271">
        <f t="shared" si="23"/>
        <v>146.12048333333331</v>
      </c>
      <c r="P45" s="271">
        <f t="shared" si="23"/>
        <v>147.88044999999997</v>
      </c>
      <c r="Q45" s="271">
        <f t="shared" si="23"/>
        <v>152.9154033333333</v>
      </c>
      <c r="R45" s="271">
        <f t="shared" si="23"/>
        <v>157.71585999999996</v>
      </c>
      <c r="S45" s="274">
        <f t="shared" si="23"/>
        <v>167.73519333333329</v>
      </c>
      <c r="T45" s="271">
        <f t="shared" si="23"/>
        <v>175.91852666666662</v>
      </c>
      <c r="U45" s="271">
        <f t="shared" si="23"/>
        <v>185.76034333333328</v>
      </c>
      <c r="V45" s="271">
        <f t="shared" si="23"/>
        <v>192.31367666666662</v>
      </c>
      <c r="W45" s="271">
        <f t="shared" si="23"/>
        <v>197.42434333333327</v>
      </c>
      <c r="X45" s="271">
        <f t="shared" si="23"/>
        <v>201.36114333333327</v>
      </c>
      <c r="Y45" s="271">
        <f t="shared" si="23"/>
        <v>205.37914333333327</v>
      </c>
      <c r="Z45" s="271">
        <f t="shared" si="23"/>
        <v>214.09980999999993</v>
      </c>
      <c r="AA45" s="271">
        <f t="shared" si="23"/>
        <v>217.57572666666661</v>
      </c>
      <c r="AB45" s="271">
        <f t="shared" si="23"/>
        <v>225.58305999999993</v>
      </c>
      <c r="AC45" s="271">
        <f t="shared" si="23"/>
        <v>227.71939333333327</v>
      </c>
      <c r="AD45" s="272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80"/>
      <c r="C46" s="232"/>
      <c r="D46" s="232"/>
      <c r="E46" s="232"/>
      <c r="F46" s="232"/>
      <c r="H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3"/>
      <c r="AC46" s="233"/>
      <c r="AD46" s="233"/>
    </row>
    <row r="47" spans="2:33">
      <c r="B47" s="234" t="s">
        <v>1855</v>
      </c>
      <c r="C47" s="341"/>
      <c r="D47" s="341"/>
      <c r="E47" s="341">
        <f>AVERAGE(E39,E45)</f>
        <v>1744.5611799999995</v>
      </c>
      <c r="F47" s="342">
        <f>AVERAGE(F39,F45)</f>
        <v>2516.2484199999994</v>
      </c>
      <c r="G47" s="270"/>
      <c r="H47" s="345">
        <f>AVERAGE(H39,H45)</f>
        <v>2347.9815199999994</v>
      </c>
      <c r="I47" s="270"/>
      <c r="J47" s="347">
        <f t="shared" ref="J47:AD47" si="24">AVERAGE(J39,J45)</f>
        <v>110.21585166666665</v>
      </c>
      <c r="K47" s="341">
        <f t="shared" si="24"/>
        <v>117.29501666666664</v>
      </c>
      <c r="L47" s="341">
        <f t="shared" si="24"/>
        <v>125.89134999999997</v>
      </c>
      <c r="M47" s="341">
        <f t="shared" si="24"/>
        <v>134.67351666666664</v>
      </c>
      <c r="N47" s="341">
        <f t="shared" si="24"/>
        <v>140.60901666666666</v>
      </c>
      <c r="O47" s="341">
        <f t="shared" si="24"/>
        <v>145.30799999999999</v>
      </c>
      <c r="P47" s="341">
        <f t="shared" si="24"/>
        <v>147.00046666666663</v>
      </c>
      <c r="Q47" s="341">
        <f t="shared" si="24"/>
        <v>150.39792666666665</v>
      </c>
      <c r="R47" s="341">
        <f t="shared" si="24"/>
        <v>155.31563166666663</v>
      </c>
      <c r="S47" s="347">
        <f t="shared" si="24"/>
        <v>162.72552666666661</v>
      </c>
      <c r="T47" s="341">
        <f t="shared" si="24"/>
        <v>171.82685999999995</v>
      </c>
      <c r="U47" s="341">
        <f t="shared" si="24"/>
        <v>180.83943499999995</v>
      </c>
      <c r="V47" s="341">
        <f t="shared" si="24"/>
        <v>189.03700999999995</v>
      </c>
      <c r="W47" s="341">
        <f t="shared" si="24"/>
        <v>194.86900999999995</v>
      </c>
      <c r="X47" s="341">
        <f t="shared" si="24"/>
        <v>199.39274333333327</v>
      </c>
      <c r="Y47" s="341">
        <f t="shared" si="24"/>
        <v>203.37014333333326</v>
      </c>
      <c r="Z47" s="341">
        <f t="shared" si="24"/>
        <v>209.7394766666666</v>
      </c>
      <c r="AA47" s="341">
        <f t="shared" si="24"/>
        <v>215.83776833333326</v>
      </c>
      <c r="AB47" s="341">
        <f t="shared" si="24"/>
        <v>221.57939333333326</v>
      </c>
      <c r="AC47" s="341">
        <f t="shared" si="24"/>
        <v>226.65122666666662</v>
      </c>
      <c r="AD47" s="342">
        <f t="shared" si="24"/>
        <v>230.66689333333329</v>
      </c>
    </row>
    <row r="48" spans="2:33">
      <c r="B48" s="237" t="s">
        <v>1856</v>
      </c>
      <c r="C48" s="343"/>
      <c r="D48" s="343"/>
      <c r="E48" s="343">
        <f>IFERROR(E47/'Client Retention'!E45,"")</f>
        <v>18.17251229166666</v>
      </c>
      <c r="F48" s="344">
        <f>IFERROR(F47/'Client Retention'!F45,"")</f>
        <v>18.570099040590403</v>
      </c>
      <c r="G48" s="270"/>
      <c r="H48" s="346">
        <f>IFERROR(H47/'Client Retention'!H45,"")</f>
        <v>18.343605624999995</v>
      </c>
      <c r="I48" s="270"/>
      <c r="J48" s="348">
        <f>IFERROR(J47/'Client Retention'!J45*12,"")</f>
        <v>18.497765314685314</v>
      </c>
      <c r="K48" s="343">
        <f>IFERROR(K47/'Client Retention'!K45*12,"")</f>
        <v>18.52026578947368</v>
      </c>
      <c r="L48" s="343">
        <f>IFERROR(L47/'Client Retention'!L45*12,"")</f>
        <v>18.883702499999995</v>
      </c>
      <c r="M48" s="343">
        <f>IFERROR(M47/'Client Retention'!M45*12,"")</f>
        <v>18.68303121387283</v>
      </c>
      <c r="N48" s="343">
        <f>IFERROR(N47/'Client Retention'!N45*12,"")</f>
        <v>18.241169729729727</v>
      </c>
      <c r="O48" s="343">
        <f>IFERROR(O47/'Client Retention'!O45*12,"")</f>
        <v>18.06938860103627</v>
      </c>
      <c r="P48" s="343">
        <f>IFERROR(P47/'Client Retention'!P45*12,"")</f>
        <v>17.728699497487433</v>
      </c>
      <c r="Q48" s="343">
        <f>IFERROR(Q47/'Client Retention'!Q45*12,"")</f>
        <v>17.522088543689318</v>
      </c>
      <c r="R48" s="343">
        <f>IFERROR(R47/'Client Retention'!R45*12,"")</f>
        <v>17.418575514018688</v>
      </c>
      <c r="S48" s="348">
        <f>IFERROR(S47/'Client Retention'!S45*12,"")</f>
        <v>17.591948828828823</v>
      </c>
      <c r="T48" s="343">
        <f>IFERROR(T47/'Client Retention'!T45*12,"")</f>
        <v>17.852141298701294</v>
      </c>
      <c r="U48" s="343">
        <f>IFERROR(U47/'Client Retention'!U45*12,"")</f>
        <v>17.934489421487598</v>
      </c>
      <c r="V48" s="343">
        <f>IFERROR(V47/'Client Retention'!V45*12,"")</f>
        <v>17.861764724409447</v>
      </c>
      <c r="W48" s="343">
        <f>IFERROR(W47/'Client Retention'!W45*12,"")</f>
        <v>17.648514113207543</v>
      </c>
      <c r="X48" s="343">
        <f>IFERROR(X47/'Client Retention'!X45*12,"")</f>
        <v>17.65839793357933</v>
      </c>
      <c r="Y48" s="343">
        <f>IFERROR(Y47/'Client Retention'!Y45*12,"")</f>
        <v>17.684360289855064</v>
      </c>
      <c r="Z48" s="343">
        <f>IFERROR(Z47/'Client Retention'!Z45*12,"")</f>
        <v>17.977669428571424</v>
      </c>
      <c r="AA48" s="343">
        <f>IFERROR(AA47/'Client Retention'!AA45*12,"")</f>
        <v>18.434542491103198</v>
      </c>
      <c r="AB48" s="343">
        <f>IFERROR(AB47/'Client Retention'!AB45*12,"")</f>
        <v>18.791185300353352</v>
      </c>
      <c r="AC48" s="343">
        <f>IFERROR(AC47/'Client Retention'!AC45*12,"")</f>
        <v>19.086419087719293</v>
      </c>
      <c r="AD48" s="344">
        <f>IFERROR(AD47/'Client Retention'!AD45*12,"")</f>
        <v>19.089673931034479</v>
      </c>
    </row>
    <row r="49" spans="2:34" ht="3.95" customHeight="1">
      <c r="B49" s="180"/>
      <c r="C49" s="232"/>
      <c r="D49" s="232"/>
      <c r="E49" s="232"/>
      <c r="F49" s="232"/>
      <c r="H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3"/>
      <c r="AC49" s="233"/>
      <c r="AD49" s="233"/>
    </row>
    <row r="50" spans="2:34" ht="12" customHeight="1">
      <c r="B50" s="234" t="s">
        <v>1550</v>
      </c>
      <c r="C50" s="235"/>
      <c r="D50" s="235"/>
      <c r="E50" s="236">
        <f>(E40+E39)/E39-1</f>
        <v>0.8034311857451486</v>
      </c>
      <c r="F50" s="247">
        <f>(F40+F39)/F39-1</f>
        <v>0.40638410031649563</v>
      </c>
      <c r="G50" s="248"/>
      <c r="H50" s="249">
        <f>(H40+H39)/H39-1</f>
        <v>0.65836456354695927</v>
      </c>
      <c r="J50" s="246">
        <f t="shared" ref="J50:AD50" si="25">(J40+J39)/J39-1</f>
        <v>9.935248798442764E-2</v>
      </c>
      <c r="K50" s="236">
        <f t="shared" si="25"/>
        <v>3.2281673847671444E-2</v>
      </c>
      <c r="L50" s="236">
        <f t="shared" si="25"/>
        <v>0.11301224101128304</v>
      </c>
      <c r="M50" s="236">
        <f t="shared" si="25"/>
        <v>3.0899264351701872E-2</v>
      </c>
      <c r="N50" s="236">
        <f t="shared" si="25"/>
        <v>5.6852376547096295E-2</v>
      </c>
      <c r="O50" s="236">
        <f t="shared" si="25"/>
        <v>1.1245792977890634E-2</v>
      </c>
      <c r="P50" s="236">
        <f t="shared" si="25"/>
        <v>3.4626448105781193E-2</v>
      </c>
      <c r="Q50" s="236">
        <f t="shared" si="25"/>
        <v>3.4047457478884713E-2</v>
      </c>
      <c r="R50" s="236">
        <f t="shared" si="25"/>
        <v>3.1392891507485032E-2</v>
      </c>
      <c r="S50" s="246">
        <f t="shared" si="25"/>
        <v>6.3527747515901956E-2</v>
      </c>
      <c r="T50" s="236">
        <f t="shared" si="25"/>
        <v>4.8787217343654987E-2</v>
      </c>
      <c r="U50" s="236">
        <f t="shared" si="25"/>
        <v>5.7650645778108078E-2</v>
      </c>
      <c r="V50" s="236">
        <f t="shared" si="25"/>
        <v>5.0638723518006801E-2</v>
      </c>
      <c r="W50" s="236">
        <f t="shared" si="25"/>
        <v>2.8784570929198727E-2</v>
      </c>
      <c r="X50" s="236">
        <f t="shared" si="25"/>
        <v>3.5339107033119488E-2</v>
      </c>
      <c r="Y50" s="236">
        <f t="shared" si="25"/>
        <v>5.3949501644168674E-2</v>
      </c>
      <c r="Z50" s="236">
        <f t="shared" si="25"/>
        <v>7.3314812248949091E-2</v>
      </c>
      <c r="AA50" s="236">
        <f t="shared" si="25"/>
        <v>2.2728885186773518E-2</v>
      </c>
      <c r="AB50" s="236">
        <f t="shared" si="25"/>
        <v>5.5203768288000443E-2</v>
      </c>
      <c r="AC50" s="236">
        <f t="shared" si="25"/>
        <v>2.1623964139860341E-2</v>
      </c>
      <c r="AD50" s="247">
        <f t="shared" si="25"/>
        <v>2.5887123242819055E-2</v>
      </c>
    </row>
    <row r="51" spans="2:34">
      <c r="B51" s="237" t="s">
        <v>1551</v>
      </c>
      <c r="C51" s="238"/>
      <c r="D51" s="238"/>
      <c r="E51" s="239">
        <f>(E44+E47)/E47-1</f>
        <v>-2.4760381289694822E-2</v>
      </c>
      <c r="F51" s="240">
        <f>(F44+F47)/F47-1</f>
        <v>-0.13179620794357028</v>
      </c>
      <c r="G51" s="248"/>
      <c r="H51" s="242">
        <f>(H44+H47)/H47-1</f>
        <v>-0.14277454790189326</v>
      </c>
      <c r="J51" s="241">
        <f t="shared" ref="J51:AD51" si="26">(J44+J47)/J47-1</f>
        <v>0</v>
      </c>
      <c r="K51" s="239">
        <f t="shared" si="26"/>
        <v>0</v>
      </c>
      <c r="L51" s="239">
        <f t="shared" si="26"/>
        <v>0</v>
      </c>
      <c r="M51" s="239">
        <f t="shared" si="26"/>
        <v>0</v>
      </c>
      <c r="N51" s="239">
        <f t="shared" si="26"/>
        <v>0</v>
      </c>
      <c r="O51" s="239">
        <f t="shared" si="26"/>
        <v>0</v>
      </c>
      <c r="P51" s="239">
        <f t="shared" si="26"/>
        <v>-2.2446640758963632E-2</v>
      </c>
      <c r="Q51" s="239">
        <f t="shared" si="26"/>
        <v>0</v>
      </c>
      <c r="R51" s="239">
        <f t="shared" si="26"/>
        <v>0</v>
      </c>
      <c r="S51" s="241">
        <f t="shared" si="26"/>
        <v>0</v>
      </c>
      <c r="T51" s="239">
        <f t="shared" si="26"/>
        <v>0</v>
      </c>
      <c r="U51" s="239">
        <f t="shared" si="26"/>
        <v>-1.6589301995995065E-3</v>
      </c>
      <c r="V51" s="239">
        <f t="shared" si="26"/>
        <v>-1.5094046045974419E-2</v>
      </c>
      <c r="W51" s="239">
        <f t="shared" si="26"/>
        <v>-2.1809522201606812E-3</v>
      </c>
      <c r="X51" s="239">
        <f t="shared" si="26"/>
        <v>-1.5246292062484401E-2</v>
      </c>
      <c r="Y51" s="239">
        <f t="shared" si="26"/>
        <v>-3.3659480300967881E-2</v>
      </c>
      <c r="Z51" s="239">
        <f t="shared" si="26"/>
        <v>-3.0212083902246833E-2</v>
      </c>
      <c r="AA51" s="239">
        <f t="shared" si="26"/>
        <v>-6.4415664786996452E-3</v>
      </c>
      <c r="AB51" s="239">
        <f t="shared" si="26"/>
        <v>-1.8068768067451835E-2</v>
      </c>
      <c r="AC51" s="239">
        <f t="shared" si="26"/>
        <v>-1.2096412214432029E-2</v>
      </c>
      <c r="AD51" s="240">
        <f t="shared" si="26"/>
        <v>0</v>
      </c>
    </row>
    <row r="52" spans="2:34" ht="3.95" customHeight="1"/>
    <row r="53" spans="2:34" ht="24">
      <c r="B53" s="159" t="s">
        <v>1311</v>
      </c>
      <c r="C53" s="176" t="s">
        <v>1319</v>
      </c>
      <c r="D53" s="176" t="s">
        <v>3</v>
      </c>
      <c r="E53" s="176" t="s">
        <v>4</v>
      </c>
      <c r="F53" s="176" t="s">
        <v>1320</v>
      </c>
      <c r="G53" s="193"/>
      <c r="H53" s="176" t="s">
        <v>1530</v>
      </c>
      <c r="J53" s="192">
        <v>45658</v>
      </c>
      <c r="K53" s="192">
        <f t="shared" ref="K53:P53" si="27">EOMONTH(J53,0)+1</f>
        <v>45689</v>
      </c>
      <c r="L53" s="192">
        <f t="shared" si="27"/>
        <v>45717</v>
      </c>
      <c r="M53" s="192">
        <f t="shared" si="27"/>
        <v>45748</v>
      </c>
      <c r="N53" s="192">
        <f t="shared" si="27"/>
        <v>45778</v>
      </c>
      <c r="O53" s="192">
        <f t="shared" si="27"/>
        <v>45809</v>
      </c>
      <c r="P53" s="192">
        <f t="shared" si="27"/>
        <v>45839</v>
      </c>
      <c r="Q53" s="192">
        <v>45870</v>
      </c>
      <c r="R53" s="192">
        <f t="shared" ref="R53:AD53" si="28">EOMONTH(Q53,0)+1</f>
        <v>45901</v>
      </c>
      <c r="S53" s="192">
        <f t="shared" si="28"/>
        <v>45931</v>
      </c>
      <c r="T53" s="192">
        <f t="shared" si="28"/>
        <v>45962</v>
      </c>
      <c r="U53" s="192">
        <f t="shared" si="28"/>
        <v>45992</v>
      </c>
      <c r="V53" s="192">
        <f t="shared" si="28"/>
        <v>46023</v>
      </c>
      <c r="W53" s="192">
        <f t="shared" si="28"/>
        <v>46054</v>
      </c>
      <c r="X53" s="192">
        <f t="shared" si="28"/>
        <v>46082</v>
      </c>
      <c r="Y53" s="192">
        <f t="shared" si="28"/>
        <v>46113</v>
      </c>
      <c r="Z53" s="192">
        <f t="shared" si="28"/>
        <v>46143</v>
      </c>
      <c r="AA53" s="192">
        <f t="shared" si="28"/>
        <v>46174</v>
      </c>
      <c r="AB53" s="192">
        <f t="shared" si="28"/>
        <v>46204</v>
      </c>
      <c r="AC53" s="192">
        <f t="shared" si="28"/>
        <v>46235</v>
      </c>
      <c r="AD53" s="192">
        <f t="shared" si="28"/>
        <v>46266</v>
      </c>
      <c r="AE53" s="187"/>
      <c r="AF53" s="220" t="s">
        <v>1178</v>
      </c>
      <c r="AG53" s="187"/>
      <c r="AH53" s="187"/>
    </row>
    <row r="54" spans="2:34">
      <c r="B54" s="186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1554</v>
      </c>
      <c r="C55" s="270"/>
      <c r="D55" s="270"/>
      <c r="E55" s="270">
        <f>+E61-E56-E60</f>
        <v>74.919999999999959</v>
      </c>
      <c r="F55" s="270">
        <f>+F61-F56-F60</f>
        <v>158.75599999999997</v>
      </c>
      <c r="G55" s="270"/>
      <c r="H55" s="270">
        <f>+H61-H56-H60</f>
        <v>131.69599999999997</v>
      </c>
      <c r="I55" s="270"/>
      <c r="J55" s="270">
        <f t="shared" ref="J55:AD55" si="29">+J61-J56-J60</f>
        <v>6.2433333333333305</v>
      </c>
      <c r="K55" s="270">
        <f t="shared" si="29"/>
        <v>7.4786666666666637</v>
      </c>
      <c r="L55" s="270">
        <f t="shared" si="29"/>
        <v>7.4786666666666637</v>
      </c>
      <c r="M55" s="270">
        <f t="shared" si="29"/>
        <v>7.4786666666666637</v>
      </c>
      <c r="N55" s="270">
        <f t="shared" si="29"/>
        <v>8.1269999999999971</v>
      </c>
      <c r="O55" s="270">
        <f t="shared" si="29"/>
        <v>9.0399999999999974</v>
      </c>
      <c r="P55" s="270">
        <f t="shared" si="29"/>
        <v>9.7586666666666648</v>
      </c>
      <c r="Q55" s="270">
        <f t="shared" si="29"/>
        <v>10.164666666666665</v>
      </c>
      <c r="R55" s="270">
        <f t="shared" si="29"/>
        <v>10.974666666666666</v>
      </c>
      <c r="S55" s="270">
        <f t="shared" si="29"/>
        <v>10.974666666666666</v>
      </c>
      <c r="T55" s="270">
        <f t="shared" si="29"/>
        <v>11.394666666666666</v>
      </c>
      <c r="U55" s="270">
        <f t="shared" si="29"/>
        <v>11.794666666666666</v>
      </c>
      <c r="V55" s="270">
        <f t="shared" si="29"/>
        <v>13.229666666666667</v>
      </c>
      <c r="W55" s="270">
        <f t="shared" si="29"/>
        <v>13.849666666666666</v>
      </c>
      <c r="X55" s="270">
        <f t="shared" si="29"/>
        <v>15.512833333333333</v>
      </c>
      <c r="Y55" s="270">
        <f t="shared" si="29"/>
        <v>15.266166666666667</v>
      </c>
      <c r="Z55" s="270">
        <f t="shared" si="29"/>
        <v>15.436166666666667</v>
      </c>
      <c r="AA55" s="270">
        <f t="shared" si="29"/>
        <v>13.279333333333334</v>
      </c>
      <c r="AB55" s="270">
        <f t="shared" si="29"/>
        <v>12.879333333333333</v>
      </c>
      <c r="AC55" s="270">
        <f t="shared" si="29"/>
        <v>13.297333333333333</v>
      </c>
      <c r="AD55" s="270">
        <f t="shared" si="29"/>
        <v>13.297333333333333</v>
      </c>
    </row>
    <row r="56" spans="2:34">
      <c r="B56" s="191" t="s">
        <v>1317</v>
      </c>
      <c r="C56" s="195"/>
      <c r="D56" s="195"/>
      <c r="E56" s="197">
        <f>SUM(J56:U56)*12</f>
        <v>83.836000000000013</v>
      </c>
      <c r="F56" s="197">
        <f>SUM(V56:AD56)*12</f>
        <v>44.074000000000005</v>
      </c>
      <c r="H56" s="197">
        <f>SUM(S56:AD56)*12</f>
        <v>71.134000000000015</v>
      </c>
      <c r="J56" s="195">
        <f>SUMIFS('Full Customer List'!$G:$G,'Full Customer List'!$I:$I,'Client Retention $'!J$5,'Full Customer List'!$E:$E,$AF53)/1000</f>
        <v>1.2353333333333332</v>
      </c>
      <c r="K56" s="195">
        <f>SUMIFS('Full Customer List'!$G:$G,'Full Customer List'!$I:$I,'Client Retention $'!K$5,'Full Customer List'!$E:$E,$AF53)/1000</f>
        <v>0</v>
      </c>
      <c r="L56" s="195">
        <f>SUMIFS('Full Customer List'!$G:$G,'Full Customer List'!$I:$I,'Client Retention $'!L$5,'Full Customer List'!$E:$E,$AF53)/1000</f>
        <v>0</v>
      </c>
      <c r="M56" s="195">
        <f>SUMIFS('Full Customer List'!$G:$G,'Full Customer List'!$I:$I,'Client Retention $'!M$5,'Full Customer List'!$E:$E,$AF53)/1000</f>
        <v>0.64833333333333332</v>
      </c>
      <c r="N56" s="195">
        <f>SUMIFS('Full Customer List'!$G:$G,'Full Customer List'!$I:$I,'Client Retention $'!N$5,'Full Customer List'!$E:$E,$AF53)/1000</f>
        <v>0.91300000000000003</v>
      </c>
      <c r="O56" s="195">
        <f>SUMIFS('Full Customer List'!$G:$G,'Full Customer List'!$I:$I,'Client Retention $'!O$5,'Full Customer List'!$E:$E,$AF53)/1000</f>
        <v>0.71866666666666679</v>
      </c>
      <c r="P56" s="195">
        <f>SUMIFS('Full Customer List'!$G:$G,'Full Customer List'!$I:$I,'Client Retention $'!P$5,'Full Customer List'!$E:$E,$AF53)/1000</f>
        <v>0.40600000000000003</v>
      </c>
      <c r="Q56" s="195">
        <f>SUMIFS('Full Customer List'!$G:$G,'Full Customer List'!$I:$I,'Client Retention $'!Q$5,'Full Customer List'!$E:$E,$AF53)/1000</f>
        <v>0.81</v>
      </c>
      <c r="R56" s="195">
        <f>SUMIFS('Full Customer List'!$G:$G,'Full Customer List'!$I:$I,'Client Retention $'!R$5,'Full Customer List'!$E:$E,$AF53)/1000</f>
        <v>0</v>
      </c>
      <c r="S56" s="195">
        <f>SUMIFS('Full Customer List'!$G:$G,'Full Customer List'!$I:$I,'Client Retention $'!S$5,'Full Customer List'!$E:$E,$AF53)/1000</f>
        <v>0.42</v>
      </c>
      <c r="T56" s="195">
        <f>SUMIFS('Full Customer List'!$G:$G,'Full Customer List'!$I:$I,'Client Retention $'!T$5,'Full Customer List'!$E:$E,$AF53)/1000</f>
        <v>0.4</v>
      </c>
      <c r="U56" s="195">
        <f>SUMIFS('Full Customer List'!$G:$G,'Full Customer List'!$I:$I,'Client Retention $'!U$5,'Full Customer List'!$E:$E,$AF53)/1000</f>
        <v>1.4350000000000001</v>
      </c>
      <c r="V56" s="195">
        <f>SUMIFS('Full Customer List'!$G:$G,'Full Customer List'!$I:$I,'Client Retention $'!V$5,'Full Customer List'!$E:$E,$AF53)/1000</f>
        <v>0.62</v>
      </c>
      <c r="W56" s="195">
        <f>SUMIFS('Full Customer List'!$G:$G,'Full Customer List'!$I:$I,'Client Retention $'!W$5,'Full Customer List'!$E:$E,$AF53)/1000</f>
        <v>1.6631666666666667</v>
      </c>
      <c r="X56" s="195">
        <f>SUMIFS('Full Customer List'!$G:$G,'Full Customer List'!$I:$I,'Client Retention $'!X$5,'Full Customer List'!$E:$E,$AF53)/1000</f>
        <v>0.40166666666666667</v>
      </c>
      <c r="Y56" s="195">
        <f>SUMIFS('Full Customer List'!$G:$G,'Full Customer List'!$I:$I,'Client Retention $'!Y$5,'Full Customer List'!$E:$E,$AF53)/1000</f>
        <v>0.56999999999999995</v>
      </c>
      <c r="Z56" s="195">
        <f>SUMIFS('Full Customer List'!$G:$G,'Full Customer List'!$I:$I,'Client Retention $'!Z$5,'Full Customer List'!$E:$E,$AF53)/1000</f>
        <v>0</v>
      </c>
      <c r="AA56" s="195">
        <f>SUMIFS('Full Customer List'!$G:$G,'Full Customer List'!$I:$I,'Client Retention $'!AA$5,'Full Customer List'!$E:$E,$AF53)/1000</f>
        <v>0</v>
      </c>
      <c r="AB56" s="195">
        <f>SUMIFS('Full Customer List'!$G:$G,'Full Customer List'!$I:$I,'Client Retention $'!AB$5,'Full Customer List'!$E:$E,$AF53)/1000</f>
        <v>0.41799999999999998</v>
      </c>
      <c r="AC56" s="195">
        <f>SUMIFS('Full Customer List'!$G:$G,'Full Customer List'!$I:$I,'Client Retention $'!AC$5,'Full Customer List'!$E:$E,$AF53)/1000</f>
        <v>0</v>
      </c>
      <c r="AD56" s="195">
        <f>SUMIFS('Full Customer List'!$G:$G,'Full Customer List'!$I:$I,'Client Retention $'!AD$5,'Full Customer List'!$E:$E,$AF53)/1000</f>
        <v>0</v>
      </c>
    </row>
    <row r="57" spans="2:34">
      <c r="B57" s="265" t="s">
        <v>1531</v>
      </c>
      <c r="E57" s="197">
        <f>SUM(J57:U57)*12</f>
        <v>0</v>
      </c>
      <c r="F57" s="197">
        <f>SUM(V57:AD57)*12</f>
        <v>-35.481999999999999</v>
      </c>
      <c r="H57" s="197">
        <f>SUM(S57:AD57)*12</f>
        <v>-35.481999999999999</v>
      </c>
      <c r="J57" s="195">
        <f>-SUMIFS('Full Customer List'!$G:$G,'Full Customer List'!$J:$J,J$1,'Full Customer List'!$E:$E,$AF53,'Full Customer List'!$H:$H,'Client Retention $'!$AF57)/1000</f>
        <v>0</v>
      </c>
      <c r="K57" s="195">
        <f>-SUMIFS('Full Customer List'!$G:$G,'Full Customer List'!$J:$J,K$1,'Full Customer List'!$E:$E,$AF53,'Full Customer List'!$H:$H,'Client Retention $'!$AF57)/1000</f>
        <v>0</v>
      </c>
      <c r="L57" s="195">
        <f>-SUMIFS('Full Customer List'!$G:$G,'Full Customer List'!$J:$J,L$1,'Full Customer List'!$E:$E,$AF53,'Full Customer List'!$H:$H,'Client Retention $'!$AF57)/1000</f>
        <v>0</v>
      </c>
      <c r="M57" s="195">
        <f>-SUMIFS('Full Customer List'!$G:$G,'Full Customer List'!$J:$J,M$1,'Full Customer List'!$E:$E,$AF53,'Full Customer List'!$H:$H,'Client Retention $'!$AF57)/1000</f>
        <v>0</v>
      </c>
      <c r="N57" s="195">
        <f>-SUMIFS('Full Customer List'!$G:$G,'Full Customer List'!$J:$J,N$1,'Full Customer List'!$E:$E,$AF53,'Full Customer List'!$H:$H,'Client Retention $'!$AF57)/1000</f>
        <v>0</v>
      </c>
      <c r="O57" s="195">
        <f>-SUMIFS('Full Customer List'!$G:$G,'Full Customer List'!$J:$J,O$1,'Full Customer List'!$E:$E,$AF53,'Full Customer List'!$H:$H,'Client Retention $'!$AF57)/1000</f>
        <v>0</v>
      </c>
      <c r="P57" s="195">
        <f>-SUMIFS('Full Customer List'!$G:$G,'Full Customer List'!$J:$J,P$1,'Full Customer List'!$E:$E,$AF53,'Full Customer List'!$H:$H,'Client Retention $'!$AF57)/1000</f>
        <v>0</v>
      </c>
      <c r="Q57" s="195">
        <f>-SUMIFS('Full Customer List'!$G:$G,'Full Customer List'!$J:$J,Q$1,'Full Customer List'!$E:$E,$AF53,'Full Customer List'!$H:$H,'Client Retention $'!$AF57)/1000</f>
        <v>0</v>
      </c>
      <c r="R57" s="195">
        <f>-SUMIFS('Full Customer List'!$G:$G,'Full Customer List'!$J:$J,R$1,'Full Customer List'!$E:$E,$AF53,'Full Customer List'!$H:$H,'Client Retention $'!$AF57)/1000</f>
        <v>0</v>
      </c>
      <c r="S57" s="195">
        <f>-SUMIFS('Full Customer List'!$G:$G,'Full Customer List'!$J:$J,S$1,'Full Customer List'!$E:$E,$AF53,'Full Customer List'!$H:$H,'Client Retention $'!$AF57)/1000</f>
        <v>0</v>
      </c>
      <c r="T57" s="195">
        <f>-SUMIFS('Full Customer List'!$G:$G,'Full Customer List'!$J:$J,T$1,'Full Customer List'!$E:$E,$AF53,'Full Customer List'!$H:$H,'Client Retention $'!$AF57)/1000</f>
        <v>0</v>
      </c>
      <c r="U57" s="195">
        <f>-SUMIFS('Full Customer List'!$G:$G,'Full Customer List'!$J:$J,U$1,'Full Customer List'!$E:$E,$AF53,'Full Customer List'!$H:$H,'Client Retention $'!$AF57)/1000</f>
        <v>0</v>
      </c>
      <c r="V57" s="195">
        <f>-SUMIFS('Full Customer List'!$G:$G,'Full Customer List'!$J:$J,V$1,'Full Customer List'!$E:$E,$AF53,'Full Customer List'!$H:$H,'Client Retention $'!$AF57)/1000</f>
        <v>0</v>
      </c>
      <c r="W57" s="195">
        <f>-SUMIFS('Full Customer List'!$G:$G,'Full Customer List'!$J:$J,W$1,'Full Customer List'!$E:$E,$AF53,'Full Customer List'!$H:$H,'Client Retention $'!$AF57)/1000</f>
        <v>0</v>
      </c>
      <c r="X57" s="195">
        <f>-SUMIFS('Full Customer List'!$G:$G,'Full Customer List'!$J:$J,X$1,'Full Customer List'!$E:$E,$AF53,'Full Customer List'!$H:$H,'Client Retention $'!$AF57)/1000</f>
        <v>0</v>
      </c>
      <c r="Y57" s="195">
        <f>-SUMIFS('Full Customer List'!$G:$G,'Full Customer List'!$J:$J,Y$1,'Full Customer List'!$E:$E,$AF53,'Full Customer List'!$H:$H,'Client Retention $'!$AF57)/1000</f>
        <v>-0.4</v>
      </c>
      <c r="Z57" s="195">
        <f>-SUMIFS('Full Customer List'!$G:$G,'Full Customer List'!$J:$J,Z$1,'Full Customer List'!$E:$E,$AF53,'Full Customer List'!$H:$H,'Client Retention $'!$AF57)/1000</f>
        <v>-2.1568333333333336</v>
      </c>
      <c r="AA57" s="195">
        <f>-SUMIFS('Full Customer List'!$G:$G,'Full Customer List'!$J:$J,AA$1,'Full Customer List'!$E:$E,$AF53,'Full Customer List'!$H:$H,'Client Retention $'!$AF57)/1000</f>
        <v>-0.4</v>
      </c>
      <c r="AB57" s="195">
        <f>-SUMIFS('Full Customer List'!$G:$G,'Full Customer List'!$J:$J,AB$1,'Full Customer List'!$E:$E,$AF53,'Full Customer List'!$H:$H,'Client Retention $'!$AF57)/1000</f>
        <v>0</v>
      </c>
      <c r="AC57" s="195">
        <f>-SUMIFS('Full Customer List'!$G:$G,'Full Customer List'!$J:$J,AC$1,'Full Customer List'!$E:$E,$AF53,'Full Customer List'!$H:$H,'Client Retention $'!$AF57)/1000</f>
        <v>0</v>
      </c>
      <c r="AD57" s="195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5" t="s">
        <v>1532</v>
      </c>
      <c r="E58" s="197">
        <f>SUM(J58:U58)*12</f>
        <v>0</v>
      </c>
      <c r="F58" s="197">
        <f>SUM(V58:AD58)*12</f>
        <v>0</v>
      </c>
      <c r="H58" s="197">
        <f>SUM(S58:AD58)*12</f>
        <v>0</v>
      </c>
      <c r="J58" s="195">
        <f>-SUMIFS('Full Customer List'!$G:$G,'Full Customer List'!$J:$J,J$1,'Full Customer List'!$E:$E,$AF53,'Full Customer List'!$H:$H,'Client Retention $'!$AF58)/1000</f>
        <v>0</v>
      </c>
      <c r="K58" s="195">
        <f>-SUMIFS('Full Customer List'!$G:$G,'Full Customer List'!$J:$J,K$1,'Full Customer List'!$E:$E,$AF53,'Full Customer List'!$H:$H,'Client Retention $'!$AF58)/1000</f>
        <v>0</v>
      </c>
      <c r="L58" s="195">
        <f>-SUMIFS('Full Customer List'!$G:$G,'Full Customer List'!$J:$J,L$1,'Full Customer List'!$E:$E,$AF53,'Full Customer List'!$H:$H,'Client Retention $'!$AF58)/1000</f>
        <v>0</v>
      </c>
      <c r="M58" s="195">
        <f>-SUMIFS('Full Customer List'!$G:$G,'Full Customer List'!$J:$J,M$1,'Full Customer List'!$E:$E,$AF53,'Full Customer List'!$H:$H,'Client Retention $'!$AF58)/1000</f>
        <v>0</v>
      </c>
      <c r="N58" s="195">
        <f>-SUMIFS('Full Customer List'!$G:$G,'Full Customer List'!$J:$J,N$1,'Full Customer List'!$E:$E,$AF53,'Full Customer List'!$H:$H,'Client Retention $'!$AF58)/1000</f>
        <v>0</v>
      </c>
      <c r="O58" s="195">
        <f>-SUMIFS('Full Customer List'!$G:$G,'Full Customer List'!$J:$J,O$1,'Full Customer List'!$E:$E,$AF53,'Full Customer List'!$H:$H,'Client Retention $'!$AF58)/1000</f>
        <v>0</v>
      </c>
      <c r="P58" s="195">
        <f>-SUMIFS('Full Customer List'!$G:$G,'Full Customer List'!$J:$J,P$1,'Full Customer List'!$E:$E,$AF53,'Full Customer List'!$H:$H,'Client Retention $'!$AF58)/1000</f>
        <v>0</v>
      </c>
      <c r="Q58" s="195">
        <f>-SUMIFS('Full Customer List'!$G:$G,'Full Customer List'!$J:$J,Q$1,'Full Customer List'!$E:$E,$AF53,'Full Customer List'!$H:$H,'Client Retention $'!$AF58)/1000</f>
        <v>0</v>
      </c>
      <c r="R58" s="195">
        <f>-SUMIFS('Full Customer List'!$G:$G,'Full Customer List'!$J:$J,R$1,'Full Customer List'!$E:$E,$AF53,'Full Customer List'!$H:$H,'Client Retention $'!$AF58)/1000</f>
        <v>0</v>
      </c>
      <c r="S58" s="195">
        <f>-SUMIFS('Full Customer List'!$G:$G,'Full Customer List'!$J:$J,S$1,'Full Customer List'!$E:$E,$AF53,'Full Customer List'!$H:$H,'Client Retention $'!$AF58)/1000</f>
        <v>0</v>
      </c>
      <c r="T58" s="195">
        <f>-SUMIFS('Full Customer List'!$G:$G,'Full Customer List'!$J:$J,T$1,'Full Customer List'!$E:$E,$AF53,'Full Customer List'!$H:$H,'Client Retention $'!$AF58)/1000</f>
        <v>0</v>
      </c>
      <c r="U58" s="195">
        <f>-SUMIFS('Full Customer List'!$G:$G,'Full Customer List'!$J:$J,U$1,'Full Customer List'!$E:$E,$AF53,'Full Customer List'!$H:$H,'Client Retention $'!$AF58)/1000</f>
        <v>0</v>
      </c>
      <c r="V58" s="195">
        <f>-SUMIFS('Full Customer List'!$G:$G,'Full Customer List'!$J:$J,V$1,'Full Customer List'!$E:$E,$AF53,'Full Customer List'!$H:$H,'Client Retention $'!$AF58)/1000</f>
        <v>0</v>
      </c>
      <c r="W58" s="195">
        <f>-SUMIFS('Full Customer List'!$G:$G,'Full Customer List'!$J:$J,W$1,'Full Customer List'!$E:$E,$AF53,'Full Customer List'!$H:$H,'Client Retention $'!$AF58)/1000</f>
        <v>0</v>
      </c>
      <c r="X58" s="195">
        <f>-SUMIFS('Full Customer List'!$G:$G,'Full Customer List'!$J:$J,X$1,'Full Customer List'!$E:$E,$AF53,'Full Customer List'!$H:$H,'Client Retention $'!$AF58)/1000</f>
        <v>0</v>
      </c>
      <c r="Y58" s="195">
        <f>-SUMIFS('Full Customer List'!$G:$G,'Full Customer List'!$J:$J,Y$1,'Full Customer List'!$E:$E,$AF53,'Full Customer List'!$H:$H,'Client Retention $'!$AF58)/1000</f>
        <v>0</v>
      </c>
      <c r="Z58" s="195">
        <f>-SUMIFS('Full Customer List'!$G:$G,'Full Customer List'!$J:$J,Z$1,'Full Customer List'!$E:$E,$AF53,'Full Customer List'!$H:$H,'Client Retention $'!$AF58)/1000</f>
        <v>0</v>
      </c>
      <c r="AA58" s="195">
        <f>-SUMIFS('Full Customer List'!$G:$G,'Full Customer List'!$J:$J,AA$1,'Full Customer List'!$E:$E,$AF53,'Full Customer List'!$H:$H,'Client Retention $'!$AF58)/1000</f>
        <v>0</v>
      </c>
      <c r="AB58" s="195">
        <f>-SUMIFS('Full Customer List'!$G:$G,'Full Customer List'!$J:$J,AB$1,'Full Customer List'!$E:$E,$AF53,'Full Customer List'!$H:$H,'Client Retention $'!$AF58)/1000</f>
        <v>0</v>
      </c>
      <c r="AC58" s="195">
        <f>-SUMIFS('Full Customer List'!$G:$G,'Full Customer List'!$J:$J,AC$1,'Full Customer List'!$E:$E,$AF53,'Full Customer List'!$H:$H,'Client Retention $'!$AF58)/1000</f>
        <v>0</v>
      </c>
      <c r="AD58" s="195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5" t="s">
        <v>1533</v>
      </c>
      <c r="E59" s="197">
        <f>SUM(J59:U59)*12</f>
        <v>0</v>
      </c>
      <c r="F59" s="197">
        <f>SUM(V59:AD59)*12</f>
        <v>-7.7799999999999994</v>
      </c>
      <c r="H59" s="197">
        <f>SUM(S59:AD59)*12</f>
        <v>-7.7799999999999994</v>
      </c>
      <c r="J59" s="195">
        <f>-SUMIFS('Full Customer List'!$G:$G,'Full Customer List'!$J:$J,J$1,'Full Customer List'!$E:$E,$AF53,'Full Customer List'!$H:$H,'Client Retention $'!$AF59)/1000</f>
        <v>0</v>
      </c>
      <c r="K59" s="195">
        <f>-SUMIFS('Full Customer List'!$G:$G,'Full Customer List'!$J:$J,K$1,'Full Customer List'!$E:$E,$AF53,'Full Customer List'!$H:$H,'Client Retention $'!$AF59)/1000</f>
        <v>0</v>
      </c>
      <c r="L59" s="195">
        <f>-SUMIFS('Full Customer List'!$G:$G,'Full Customer List'!$J:$J,L$1,'Full Customer List'!$E:$E,$AF53,'Full Customer List'!$H:$H,'Client Retention $'!$AF59)/1000</f>
        <v>0</v>
      </c>
      <c r="M59" s="195">
        <f>-SUMIFS('Full Customer List'!$G:$G,'Full Customer List'!$J:$J,M$1,'Full Customer List'!$E:$E,$AF53,'Full Customer List'!$H:$H,'Client Retention $'!$AF59)/1000</f>
        <v>0</v>
      </c>
      <c r="N59" s="195">
        <f>-SUMIFS('Full Customer List'!$G:$G,'Full Customer List'!$J:$J,N$1,'Full Customer List'!$E:$E,$AF53,'Full Customer List'!$H:$H,'Client Retention $'!$AF59)/1000</f>
        <v>0</v>
      </c>
      <c r="O59" s="195">
        <f>-SUMIFS('Full Customer List'!$G:$G,'Full Customer List'!$J:$J,O$1,'Full Customer List'!$E:$E,$AF53,'Full Customer List'!$H:$H,'Client Retention $'!$AF59)/1000</f>
        <v>0</v>
      </c>
      <c r="P59" s="195">
        <f>-SUMIFS('Full Customer List'!$G:$G,'Full Customer List'!$J:$J,P$1,'Full Customer List'!$E:$E,$AF53,'Full Customer List'!$H:$H,'Client Retention $'!$AF59)/1000</f>
        <v>0</v>
      </c>
      <c r="Q59" s="195">
        <f>-SUMIFS('Full Customer List'!$G:$G,'Full Customer List'!$J:$J,Q$1,'Full Customer List'!$E:$E,$AF53,'Full Customer List'!$H:$H,'Client Retention $'!$AF59)/1000</f>
        <v>0</v>
      </c>
      <c r="R59" s="195">
        <f>-SUMIFS('Full Customer List'!$G:$G,'Full Customer List'!$J:$J,R$1,'Full Customer List'!$E:$E,$AF53,'Full Customer List'!$H:$H,'Client Retention $'!$AF59)/1000</f>
        <v>0</v>
      </c>
      <c r="S59" s="195">
        <f>-SUMIFS('Full Customer List'!$G:$G,'Full Customer List'!$J:$J,S$1,'Full Customer List'!$E:$E,$AF53,'Full Customer List'!$H:$H,'Client Retention $'!$AF59)/1000</f>
        <v>0</v>
      </c>
      <c r="T59" s="195">
        <f>-SUMIFS('Full Customer List'!$G:$G,'Full Customer List'!$J:$J,T$1,'Full Customer List'!$E:$E,$AF53,'Full Customer List'!$H:$H,'Client Retention $'!$AF59)/1000</f>
        <v>0</v>
      </c>
      <c r="U59" s="195">
        <f>-SUMIFS('Full Customer List'!$G:$G,'Full Customer List'!$J:$J,U$1,'Full Customer List'!$E:$E,$AF53,'Full Customer List'!$H:$H,'Client Retention $'!$AF59)/1000</f>
        <v>0</v>
      </c>
      <c r="V59" s="195">
        <f>-SUMIFS('Full Customer List'!$G:$G,'Full Customer List'!$J:$J,V$1,'Full Customer List'!$E:$E,$AF53,'Full Customer List'!$H:$H,'Client Retention $'!$AF59)/1000</f>
        <v>0</v>
      </c>
      <c r="W59" s="195">
        <f>-SUMIFS('Full Customer List'!$G:$G,'Full Customer List'!$J:$J,W$1,'Full Customer List'!$E:$E,$AF53,'Full Customer List'!$H:$H,'Client Retention $'!$AF59)/1000</f>
        <v>0</v>
      </c>
      <c r="X59" s="195">
        <f>-SUMIFS('Full Customer List'!$G:$G,'Full Customer List'!$J:$J,X$1,'Full Customer List'!$E:$E,$AF53,'Full Customer List'!$H:$H,'Client Retention $'!$AF59)/1000</f>
        <v>-0.64833333333333332</v>
      </c>
      <c r="Y59" s="195">
        <f>-SUMIFS('Full Customer List'!$G:$G,'Full Customer List'!$J:$J,Y$1,'Full Customer List'!$E:$E,$AF53,'Full Customer List'!$H:$H,'Client Retention $'!$AF59)/1000</f>
        <v>0</v>
      </c>
      <c r="Z59" s="195">
        <f>-SUMIFS('Full Customer List'!$G:$G,'Full Customer List'!$J:$J,Z$1,'Full Customer List'!$E:$E,$AF53,'Full Customer List'!$H:$H,'Client Retention $'!$AF59)/1000</f>
        <v>0</v>
      </c>
      <c r="AA59" s="195">
        <f>-SUMIFS('Full Customer List'!$G:$G,'Full Customer List'!$J:$J,AA$1,'Full Customer List'!$E:$E,$AF53,'Full Customer List'!$H:$H,'Client Retention $'!$AF59)/1000</f>
        <v>0</v>
      </c>
      <c r="AB59" s="195">
        <f>-SUMIFS('Full Customer List'!$G:$G,'Full Customer List'!$J:$J,AB$1,'Full Customer List'!$E:$E,$AF53,'Full Customer List'!$H:$H,'Client Retention $'!$AF59)/1000</f>
        <v>0</v>
      </c>
      <c r="AC59" s="195">
        <f>-SUMIFS('Full Customer List'!$G:$G,'Full Customer List'!$J:$J,AC$1,'Full Customer List'!$E:$E,$AF53,'Full Customer List'!$H:$H,'Client Retention $'!$AF59)/1000</f>
        <v>0</v>
      </c>
      <c r="AD59" s="195">
        <f>-SUMIFS('Full Customer List'!$G:$G,'Full Customer List'!$J:$J,AD$1,'Full Customer List'!$E:$E,$AF53,'Full Customer List'!$H:$H,'Client Retention $'!$AF59)/1000</f>
        <v>0</v>
      </c>
      <c r="AF59" s="173" t="s">
        <v>1534</v>
      </c>
    </row>
    <row r="60" spans="2:34" ht="12" customHeight="1">
      <c r="B60" s="255" t="s">
        <v>1535</v>
      </c>
      <c r="C60" s="258"/>
      <c r="D60" s="258"/>
      <c r="E60" s="256">
        <f>SUM(J60:U60)*12</f>
        <v>0</v>
      </c>
      <c r="F60" s="256">
        <f>SUM(V60:AD60)*12</f>
        <v>-43.262</v>
      </c>
      <c r="G60" s="257"/>
      <c r="H60" s="256">
        <f>SUM(S60:AD60)*12</f>
        <v>-43.262</v>
      </c>
      <c r="I60" s="257"/>
      <c r="J60" s="258">
        <f>-SUMIFS('Full Customer List'!$G:$G,'Full Customer List'!$J:$J,J$1,'Full Customer List'!$E:$E,$AF53)/1000</f>
        <v>0</v>
      </c>
      <c r="K60" s="258">
        <f>-SUMIFS('Full Customer List'!$G:$G,'Full Customer List'!$J:$J,K$1,'Full Customer List'!$E:$E,$AF53)/1000</f>
        <v>0</v>
      </c>
      <c r="L60" s="258">
        <f>-SUMIFS('Full Customer List'!$G:$G,'Full Customer List'!$J:$J,L$1,'Full Customer List'!$E:$E,$AF53)/1000</f>
        <v>0</v>
      </c>
      <c r="M60" s="258">
        <f>-SUMIFS('Full Customer List'!$G:$G,'Full Customer List'!$J:$J,M$1,'Full Customer List'!$E:$E,$AF53)/1000</f>
        <v>0</v>
      </c>
      <c r="N60" s="258">
        <f>-SUMIFS('Full Customer List'!$G:$G,'Full Customer List'!$J:$J,N$1,'Full Customer List'!$E:$E,$AF53)/1000</f>
        <v>0</v>
      </c>
      <c r="O60" s="258">
        <f>-SUMIFS('Full Customer List'!$G:$G,'Full Customer List'!$J:$J,O$1,'Full Customer List'!$E:$E,$AF53)/1000</f>
        <v>0</v>
      </c>
      <c r="P60" s="258">
        <f>-SUMIFS('Full Customer List'!$G:$G,'Full Customer List'!$J:$J,P$1,'Full Customer List'!$E:$E,$AF53)/1000</f>
        <v>0</v>
      </c>
      <c r="Q60" s="258">
        <f>-SUMIFS('Full Customer List'!$G:$G,'Full Customer List'!$J:$J,Q$1,'Full Customer List'!$E:$E,$AF53)/1000</f>
        <v>0</v>
      </c>
      <c r="R60" s="258">
        <f>-SUMIFS('Full Customer List'!$G:$G,'Full Customer List'!$J:$J,R$1,'Full Customer List'!$E:$E,$AF53)/1000</f>
        <v>0</v>
      </c>
      <c r="S60" s="258">
        <f>-SUMIFS('Full Customer List'!$G:$G,'Full Customer List'!$J:$J,S$1,'Full Customer List'!$E:$E,$AF53)/1000</f>
        <v>0</v>
      </c>
      <c r="T60" s="258">
        <f>-SUMIFS('Full Customer List'!$G:$G,'Full Customer List'!$J:$J,T$1,'Full Customer List'!$E:$E,$AF53)/1000</f>
        <v>0</v>
      </c>
      <c r="U60" s="258">
        <f>-SUMIFS('Full Customer List'!$G:$G,'Full Customer List'!$J:$J,U$1,'Full Customer List'!$E:$E,$AF53)/1000</f>
        <v>0</v>
      </c>
      <c r="V60" s="258">
        <f>-SUMIFS('Full Customer List'!$G:$G,'Full Customer List'!$J:$J,V$1,'Full Customer List'!$E:$E,$AF53)/1000</f>
        <v>0</v>
      </c>
      <c r="W60" s="258">
        <f>-SUMIFS('Full Customer List'!$G:$G,'Full Customer List'!$J:$J,W$1,'Full Customer List'!$E:$E,$AF53)/1000</f>
        <v>0</v>
      </c>
      <c r="X60" s="258">
        <f>-SUMIFS('Full Customer List'!$G:$G,'Full Customer List'!$J:$J,X$1,'Full Customer List'!$E:$E,$AF53)/1000</f>
        <v>-0.64833333333333332</v>
      </c>
      <c r="Y60" s="258">
        <f>-SUMIFS('Full Customer List'!$G:$G,'Full Customer List'!$J:$J,Y$1,'Full Customer List'!$E:$E,$AF53)/1000</f>
        <v>-0.4</v>
      </c>
      <c r="Z60" s="258">
        <f>-SUMIFS('Full Customer List'!$G:$G,'Full Customer List'!$J:$J,Z$1,'Full Customer List'!$E:$E,$AF53)/1000</f>
        <v>-2.1568333333333336</v>
      </c>
      <c r="AA60" s="258">
        <f>-SUMIFS('Full Customer List'!$G:$G,'Full Customer List'!$J:$J,AA$1,'Full Customer List'!$E:$E,$AF53)/1000</f>
        <v>-0.4</v>
      </c>
      <c r="AB60" s="258">
        <f>-SUMIFS('Full Customer List'!$G:$G,'Full Customer List'!$J:$J,AB$1,'Full Customer List'!$E:$E,$AF53)/1000</f>
        <v>0</v>
      </c>
      <c r="AC60" s="258">
        <f>-SUMIFS('Full Customer List'!$G:$G,'Full Customer List'!$J:$J,AC$1,'Full Customer List'!$E:$E,$AF53)/1000</f>
        <v>0</v>
      </c>
      <c r="AD60" s="258">
        <f>-SUMIFS('Full Customer List'!$G:$G,'Full Customer List'!$J:$J,AD$1,'Full Customer List'!$E:$E,$AF53)/1000</f>
        <v>0</v>
      </c>
    </row>
    <row r="61" spans="2:34" ht="12" customHeight="1">
      <c r="B61" s="259" t="s">
        <v>1553</v>
      </c>
      <c r="C61" s="271"/>
      <c r="D61" s="271"/>
      <c r="E61" s="271">
        <f>+F55</f>
        <v>158.75599999999997</v>
      </c>
      <c r="F61" s="272">
        <f>+$AD61*12</f>
        <v>159.56799999999998</v>
      </c>
      <c r="G61" s="270"/>
      <c r="H61" s="273">
        <f>+$AD61*12</f>
        <v>159.56799999999998</v>
      </c>
      <c r="I61" s="270"/>
      <c r="J61" s="274">
        <f t="shared" ref="J61:AC61" si="30">+K55</f>
        <v>7.4786666666666637</v>
      </c>
      <c r="K61" s="271">
        <f t="shared" si="30"/>
        <v>7.4786666666666637</v>
      </c>
      <c r="L61" s="271">
        <f t="shared" si="30"/>
        <v>7.4786666666666637</v>
      </c>
      <c r="M61" s="271">
        <f t="shared" si="30"/>
        <v>8.1269999999999971</v>
      </c>
      <c r="N61" s="271">
        <f t="shared" si="30"/>
        <v>9.0399999999999974</v>
      </c>
      <c r="O61" s="271">
        <f t="shared" si="30"/>
        <v>9.7586666666666648</v>
      </c>
      <c r="P61" s="271">
        <f t="shared" si="30"/>
        <v>10.164666666666665</v>
      </c>
      <c r="Q61" s="271">
        <f t="shared" si="30"/>
        <v>10.974666666666666</v>
      </c>
      <c r="R61" s="271">
        <f t="shared" si="30"/>
        <v>10.974666666666666</v>
      </c>
      <c r="S61" s="274">
        <f t="shared" si="30"/>
        <v>11.394666666666666</v>
      </c>
      <c r="T61" s="271">
        <f t="shared" si="30"/>
        <v>11.794666666666666</v>
      </c>
      <c r="U61" s="271">
        <f t="shared" si="30"/>
        <v>13.229666666666667</v>
      </c>
      <c r="V61" s="271">
        <f t="shared" si="30"/>
        <v>13.849666666666666</v>
      </c>
      <c r="W61" s="271">
        <f t="shared" si="30"/>
        <v>15.512833333333333</v>
      </c>
      <c r="X61" s="271">
        <f t="shared" si="30"/>
        <v>15.266166666666667</v>
      </c>
      <c r="Y61" s="271">
        <f t="shared" si="30"/>
        <v>15.436166666666667</v>
      </c>
      <c r="Z61" s="271">
        <f t="shared" si="30"/>
        <v>13.279333333333334</v>
      </c>
      <c r="AA61" s="271">
        <f t="shared" si="30"/>
        <v>12.879333333333333</v>
      </c>
      <c r="AB61" s="271">
        <f t="shared" si="30"/>
        <v>13.297333333333333</v>
      </c>
      <c r="AC61" s="271">
        <f t="shared" si="30"/>
        <v>13.297333333333333</v>
      </c>
      <c r="AD61" s="272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80"/>
      <c r="C62" s="232"/>
      <c r="D62" s="232"/>
      <c r="E62" s="232"/>
      <c r="F62" s="232"/>
      <c r="H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3"/>
      <c r="AC62" s="233"/>
      <c r="AD62" s="233"/>
    </row>
    <row r="63" spans="2:34">
      <c r="B63" s="234" t="s">
        <v>1855</v>
      </c>
      <c r="C63" s="341"/>
      <c r="D63" s="341"/>
      <c r="E63" s="341">
        <f>AVERAGE(E55,E61)</f>
        <v>116.83799999999997</v>
      </c>
      <c r="F63" s="342">
        <f>AVERAGE(F55,F61)</f>
        <v>159.16199999999998</v>
      </c>
      <c r="G63" s="270"/>
      <c r="H63" s="345">
        <f>AVERAGE(H55,H61)</f>
        <v>145.63199999999998</v>
      </c>
      <c r="I63" s="270"/>
      <c r="J63" s="347">
        <f t="shared" ref="J63:AD63" si="31">AVERAGE(J55,J61)</f>
        <v>6.8609999999999971</v>
      </c>
      <c r="K63" s="341">
        <f t="shared" si="31"/>
        <v>7.4786666666666637</v>
      </c>
      <c r="L63" s="341">
        <f t="shared" si="31"/>
        <v>7.4786666666666637</v>
      </c>
      <c r="M63" s="341">
        <f t="shared" si="31"/>
        <v>7.8028333333333304</v>
      </c>
      <c r="N63" s="341">
        <f t="shared" si="31"/>
        <v>8.5834999999999972</v>
      </c>
      <c r="O63" s="341">
        <f t="shared" si="31"/>
        <v>9.3993333333333311</v>
      </c>
      <c r="P63" s="341">
        <f t="shared" si="31"/>
        <v>9.961666666666666</v>
      </c>
      <c r="Q63" s="341">
        <f t="shared" si="31"/>
        <v>10.569666666666667</v>
      </c>
      <c r="R63" s="341">
        <f t="shared" si="31"/>
        <v>10.974666666666666</v>
      </c>
      <c r="S63" s="347">
        <f t="shared" si="31"/>
        <v>11.184666666666665</v>
      </c>
      <c r="T63" s="341">
        <f t="shared" si="31"/>
        <v>11.594666666666665</v>
      </c>
      <c r="U63" s="341">
        <f t="shared" si="31"/>
        <v>12.512166666666666</v>
      </c>
      <c r="V63" s="341">
        <f t="shared" si="31"/>
        <v>13.539666666666665</v>
      </c>
      <c r="W63" s="341">
        <f t="shared" si="31"/>
        <v>14.681249999999999</v>
      </c>
      <c r="X63" s="341">
        <f t="shared" si="31"/>
        <v>15.3895</v>
      </c>
      <c r="Y63" s="341">
        <f t="shared" si="31"/>
        <v>15.351166666666668</v>
      </c>
      <c r="Z63" s="341">
        <f t="shared" si="31"/>
        <v>14.357749999999999</v>
      </c>
      <c r="AA63" s="341">
        <f t="shared" si="31"/>
        <v>13.079333333333334</v>
      </c>
      <c r="AB63" s="341">
        <f t="shared" si="31"/>
        <v>13.088333333333333</v>
      </c>
      <c r="AC63" s="341">
        <f t="shared" si="31"/>
        <v>13.297333333333333</v>
      </c>
      <c r="AD63" s="342">
        <f t="shared" si="31"/>
        <v>13.297333333333333</v>
      </c>
    </row>
    <row r="64" spans="2:34">
      <c r="B64" s="237" t="s">
        <v>1856</v>
      </c>
      <c r="C64" s="343"/>
      <c r="D64" s="343"/>
      <c r="E64" s="343">
        <f>IFERROR(E63/'Client Retention'!E60,"")</f>
        <v>5.1927999999999983</v>
      </c>
      <c r="F64" s="344">
        <f>IFERROR(F63/'Client Retention'!F60,"")</f>
        <v>5.3053999999999997</v>
      </c>
      <c r="G64" s="270"/>
      <c r="H64" s="346">
        <f>IFERROR(H63/'Client Retention'!H60,"")</f>
        <v>5.2957090909090905</v>
      </c>
      <c r="I64" s="270"/>
      <c r="J64" s="348">
        <f>IFERROR(J63/'Client Retention'!J60*12,"")</f>
        <v>5.1457499999999978</v>
      </c>
      <c r="K64" s="343">
        <f>IFERROR(K63/'Client Retention'!K60*12,"")</f>
        <v>5.2790588235294091</v>
      </c>
      <c r="L64" s="343">
        <f>IFERROR(L63/'Client Retention'!L60*12,"")</f>
        <v>5.2790588235294091</v>
      </c>
      <c r="M64" s="343">
        <f>IFERROR(M63/'Client Retention'!M60*12,"")</f>
        <v>5.3505142857142838</v>
      </c>
      <c r="N64" s="343">
        <f>IFERROR(N63/'Client Retention'!N60*12,"")</f>
        <v>5.4211578947368402</v>
      </c>
      <c r="O64" s="343">
        <f>IFERROR(O63/'Client Retention'!O60*12,"")</f>
        <v>5.3710476190476175</v>
      </c>
      <c r="P64" s="343">
        <f>IFERROR(P63/'Client Retention'!P60*12,"")</f>
        <v>5.3128888888888888</v>
      </c>
      <c r="Q64" s="343">
        <f>IFERROR(Q63/'Client Retention'!Q60*12,"")</f>
        <v>5.2848333333333333</v>
      </c>
      <c r="R64" s="343">
        <f>IFERROR(R63/'Client Retention'!R60*12,"")</f>
        <v>5.2678399999999996</v>
      </c>
      <c r="S64" s="348">
        <f>IFERROR(S63/'Client Retention'!S60*12,"")</f>
        <v>5.263372549019607</v>
      </c>
      <c r="T64" s="343">
        <f>IFERROR(T63/'Client Retention'!T60*12,"")</f>
        <v>5.2504150943396226</v>
      </c>
      <c r="U64" s="343">
        <f>IFERROR(U63/'Client Retention'!U60*12,"")</f>
        <v>5.268280701754386</v>
      </c>
      <c r="V64" s="343">
        <f>IFERROR(V63/'Client Retention'!V60*12,"")</f>
        <v>5.157968253968253</v>
      </c>
      <c r="W64" s="343">
        <f>IFERROR(W63/'Client Retention'!W60*12,"")</f>
        <v>5.1065217391304341</v>
      </c>
      <c r="X64" s="343">
        <f>IFERROR(X63/'Client Retention'!X60*12,"")</f>
        <v>5.1298333333333339</v>
      </c>
      <c r="Y64" s="343">
        <f>IFERROR(Y63/'Client Retention'!Y60*12,"")</f>
        <v>5.0469589041095899</v>
      </c>
      <c r="Z64" s="343">
        <f>IFERROR(Z63/'Client Retention'!Z60*12,"")</f>
        <v>5.1430746268656717</v>
      </c>
      <c r="AA64" s="343">
        <f>IFERROR(AA63/'Client Retention'!AA60*12,"")</f>
        <v>5.3204067796610177</v>
      </c>
      <c r="AB64" s="343">
        <f>IFERROR(AB63/'Client Retention'!AB60*12,"")</f>
        <v>5.3240677966101693</v>
      </c>
      <c r="AC64" s="343">
        <f>IFERROR(AC63/'Client Retention'!AC60*12,"")</f>
        <v>5.3189333333333337</v>
      </c>
      <c r="AD64" s="344">
        <f>IFERROR(AD63/'Client Retention'!AD60*12,"")</f>
        <v>5.3189333333333337</v>
      </c>
    </row>
    <row r="65" spans="2:34" ht="3.95" customHeight="1">
      <c r="B65" s="180"/>
      <c r="C65" s="232"/>
      <c r="D65" s="232"/>
      <c r="E65" s="232"/>
      <c r="F65" s="232"/>
      <c r="H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  <c r="AA65" s="232"/>
      <c r="AB65" s="233"/>
      <c r="AC65" s="233"/>
      <c r="AD65" s="233"/>
    </row>
    <row r="66" spans="2:34" ht="12" customHeight="1">
      <c r="B66" s="234" t="s">
        <v>1550</v>
      </c>
      <c r="C66" s="235"/>
      <c r="D66" s="235"/>
      <c r="E66" s="236">
        <f>(E56+E55)/E55-1</f>
        <v>1.1190069407367869</v>
      </c>
      <c r="F66" s="247">
        <f>(F56+F55)/F55-1</f>
        <v>0.27762100330066275</v>
      </c>
      <c r="G66" s="248"/>
      <c r="H66" s="249">
        <f>(H56+H55)/H55-1</f>
        <v>0.54013789333009377</v>
      </c>
      <c r="J66" s="246">
        <f t="shared" ref="J66:AD66" si="32">(J56+J55)/J55-1</f>
        <v>0.19786438868126011</v>
      </c>
      <c r="K66" s="236">
        <f t="shared" si="32"/>
        <v>0</v>
      </c>
      <c r="L66" s="236">
        <f t="shared" si="32"/>
        <v>0</v>
      </c>
      <c r="M66" s="236">
        <f t="shared" si="32"/>
        <v>8.669103226956687E-2</v>
      </c>
      <c r="N66" s="236">
        <f t="shared" si="32"/>
        <v>0.11234157745785667</v>
      </c>
      <c r="O66" s="236">
        <f t="shared" si="32"/>
        <v>7.9498525073746329E-2</v>
      </c>
      <c r="P66" s="236">
        <f t="shared" si="32"/>
        <v>4.1604044268342744E-2</v>
      </c>
      <c r="Q66" s="236">
        <f t="shared" si="32"/>
        <v>7.9687807437528679E-2</v>
      </c>
      <c r="R66" s="236">
        <f t="shared" si="32"/>
        <v>0</v>
      </c>
      <c r="S66" s="246">
        <f t="shared" si="32"/>
        <v>3.8269955047989246E-2</v>
      </c>
      <c r="T66" s="236">
        <f t="shared" si="32"/>
        <v>3.5104142288790108E-2</v>
      </c>
      <c r="U66" s="236">
        <f t="shared" si="32"/>
        <v>0.12166515939407652</v>
      </c>
      <c r="V66" s="236">
        <f t="shared" si="32"/>
        <v>4.686437048048564E-2</v>
      </c>
      <c r="W66" s="236">
        <f t="shared" si="32"/>
        <v>0.12008712604394822</v>
      </c>
      <c r="X66" s="236">
        <f t="shared" si="32"/>
        <v>2.589254058467727E-2</v>
      </c>
      <c r="Y66" s="236">
        <f t="shared" si="32"/>
        <v>3.7337467384302991E-2</v>
      </c>
      <c r="Z66" s="236">
        <f t="shared" si="32"/>
        <v>0</v>
      </c>
      <c r="AA66" s="236">
        <f t="shared" si="32"/>
        <v>0</v>
      </c>
      <c r="AB66" s="236">
        <f t="shared" si="32"/>
        <v>3.2455096019462726E-2</v>
      </c>
      <c r="AC66" s="236">
        <f t="shared" si="32"/>
        <v>0</v>
      </c>
      <c r="AD66" s="247">
        <f t="shared" si="32"/>
        <v>0</v>
      </c>
    </row>
    <row r="67" spans="2:34" ht="12" customHeight="1">
      <c r="B67" s="237" t="s">
        <v>1551</v>
      </c>
      <c r="C67" s="238"/>
      <c r="D67" s="238"/>
      <c r="E67" s="239">
        <f>(E60+E63)/E63-1</f>
        <v>0</v>
      </c>
      <c r="F67" s="240">
        <f>(F60+F63)/F63-1</f>
        <v>-0.27181111069225072</v>
      </c>
      <c r="G67" s="248"/>
      <c r="H67" s="242">
        <f>(H60+H63)/H63-1</f>
        <v>-0.2970638321248078</v>
      </c>
      <c r="J67" s="241">
        <f t="shared" ref="J67:AD67" si="33">(J60+J63)/J63-1</f>
        <v>0</v>
      </c>
      <c r="K67" s="239">
        <f t="shared" si="33"/>
        <v>0</v>
      </c>
      <c r="L67" s="239">
        <f t="shared" si="33"/>
        <v>0</v>
      </c>
      <c r="M67" s="239">
        <f t="shared" si="33"/>
        <v>0</v>
      </c>
      <c r="N67" s="239">
        <f t="shared" si="33"/>
        <v>0</v>
      </c>
      <c r="O67" s="239">
        <f t="shared" si="33"/>
        <v>0</v>
      </c>
      <c r="P67" s="239">
        <f t="shared" si="33"/>
        <v>0</v>
      </c>
      <c r="Q67" s="239">
        <f t="shared" si="33"/>
        <v>0</v>
      </c>
      <c r="R67" s="239">
        <f t="shared" si="33"/>
        <v>0</v>
      </c>
      <c r="S67" s="241">
        <f t="shared" si="33"/>
        <v>0</v>
      </c>
      <c r="T67" s="239">
        <f t="shared" si="33"/>
        <v>0</v>
      </c>
      <c r="U67" s="239">
        <f t="shared" si="33"/>
        <v>0</v>
      </c>
      <c r="V67" s="239">
        <f t="shared" si="33"/>
        <v>0</v>
      </c>
      <c r="W67" s="239">
        <f t="shared" si="33"/>
        <v>0</v>
      </c>
      <c r="X67" s="239">
        <f t="shared" si="33"/>
        <v>-4.2128290934295043E-2</v>
      </c>
      <c r="Y67" s="239">
        <f t="shared" si="33"/>
        <v>-2.6056651503143069E-2</v>
      </c>
      <c r="Z67" s="239">
        <f t="shared" si="33"/>
        <v>-0.15022084472381347</v>
      </c>
      <c r="AA67" s="239">
        <f t="shared" si="33"/>
        <v>-3.0582598501452729E-2</v>
      </c>
      <c r="AB67" s="239">
        <f t="shared" si="33"/>
        <v>0</v>
      </c>
      <c r="AC67" s="239">
        <f t="shared" si="33"/>
        <v>0</v>
      </c>
      <c r="AD67" s="240">
        <f t="shared" si="33"/>
        <v>0</v>
      </c>
    </row>
    <row r="68" spans="2:34" ht="3.95" customHeight="1">
      <c r="AF68" s="220"/>
    </row>
    <row r="69" spans="2:34" ht="24">
      <c r="B69" s="159" t="s">
        <v>1311</v>
      </c>
      <c r="C69" s="176" t="s">
        <v>1319</v>
      </c>
      <c r="D69" s="176" t="s">
        <v>3</v>
      </c>
      <c r="E69" s="176" t="s">
        <v>4</v>
      </c>
      <c r="F69" s="176" t="s">
        <v>1320</v>
      </c>
      <c r="G69" s="193"/>
      <c r="H69" s="176" t="s">
        <v>1530</v>
      </c>
      <c r="J69" s="192">
        <v>45658</v>
      </c>
      <c r="K69" s="192">
        <f t="shared" ref="K69:P69" si="34">EOMONTH(J69,0)+1</f>
        <v>45689</v>
      </c>
      <c r="L69" s="192">
        <f t="shared" si="34"/>
        <v>45717</v>
      </c>
      <c r="M69" s="192">
        <f t="shared" si="34"/>
        <v>45748</v>
      </c>
      <c r="N69" s="192">
        <f t="shared" si="34"/>
        <v>45778</v>
      </c>
      <c r="O69" s="192">
        <f t="shared" si="34"/>
        <v>45809</v>
      </c>
      <c r="P69" s="192">
        <f t="shared" si="34"/>
        <v>45839</v>
      </c>
      <c r="Q69" s="192">
        <v>45870</v>
      </c>
      <c r="R69" s="192">
        <f t="shared" ref="R69:AD69" si="35">EOMONTH(Q69,0)+1</f>
        <v>45901</v>
      </c>
      <c r="S69" s="192">
        <f t="shared" si="35"/>
        <v>45931</v>
      </c>
      <c r="T69" s="192">
        <f t="shared" si="35"/>
        <v>45962</v>
      </c>
      <c r="U69" s="192">
        <f t="shared" si="35"/>
        <v>45992</v>
      </c>
      <c r="V69" s="192">
        <f t="shared" si="35"/>
        <v>46023</v>
      </c>
      <c r="W69" s="192">
        <f t="shared" si="35"/>
        <v>46054</v>
      </c>
      <c r="X69" s="192">
        <f t="shared" si="35"/>
        <v>46082</v>
      </c>
      <c r="Y69" s="192">
        <f t="shared" si="35"/>
        <v>46113</v>
      </c>
      <c r="Z69" s="192">
        <f t="shared" si="35"/>
        <v>46143</v>
      </c>
      <c r="AA69" s="192">
        <f t="shared" si="35"/>
        <v>46174</v>
      </c>
      <c r="AB69" s="192">
        <f t="shared" si="35"/>
        <v>46204</v>
      </c>
      <c r="AC69" s="192">
        <f t="shared" si="35"/>
        <v>46235</v>
      </c>
      <c r="AD69" s="192">
        <f t="shared" si="35"/>
        <v>46266</v>
      </c>
      <c r="AE69" s="187"/>
      <c r="AF69" s="220" t="s">
        <v>1302</v>
      </c>
      <c r="AG69" s="187"/>
      <c r="AH69" s="187"/>
    </row>
    <row r="70" spans="2:34">
      <c r="B70" s="186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20"/>
      <c r="AG70" s="6"/>
      <c r="AH70" s="6"/>
    </row>
    <row r="71" spans="2:34">
      <c r="B71" s="173" t="s">
        <v>1554</v>
      </c>
      <c r="C71" s="270"/>
      <c r="D71" s="270"/>
      <c r="E71" s="270">
        <f>+E77-E72-E76</f>
        <v>177.17000000000002</v>
      </c>
      <c r="F71" s="270">
        <f>+F77-F72-F76</f>
        <v>134.226</v>
      </c>
      <c r="G71" s="270"/>
      <c r="H71" s="270">
        <f>+H77-H72-H76</f>
        <v>141.43</v>
      </c>
      <c r="I71" s="270"/>
      <c r="J71" s="270">
        <f t="shared" ref="J71:AD71" si="36">+J77-J72-J76</f>
        <v>14.764166666666668</v>
      </c>
      <c r="K71" s="270">
        <f t="shared" si="36"/>
        <v>13.159166666666668</v>
      </c>
      <c r="L71" s="270">
        <f t="shared" si="36"/>
        <v>12.759166666666667</v>
      </c>
      <c r="M71" s="270">
        <f t="shared" si="36"/>
        <v>12.759166666666667</v>
      </c>
      <c r="N71" s="270">
        <f t="shared" si="36"/>
        <v>12.759166666666667</v>
      </c>
      <c r="O71" s="270">
        <f t="shared" si="36"/>
        <v>12.459166666666667</v>
      </c>
      <c r="P71" s="270">
        <f t="shared" si="36"/>
        <v>12.495833333333334</v>
      </c>
      <c r="Q71" s="270">
        <f t="shared" si="36"/>
        <v>11.785833333333333</v>
      </c>
      <c r="R71" s="270">
        <f t="shared" si="36"/>
        <v>12.185833333333333</v>
      </c>
      <c r="S71" s="270">
        <f t="shared" si="36"/>
        <v>11.785833333333333</v>
      </c>
      <c r="T71" s="270">
        <f t="shared" si="36"/>
        <v>11.785833333333333</v>
      </c>
      <c r="U71" s="270">
        <f t="shared" si="36"/>
        <v>11.785833333333333</v>
      </c>
      <c r="V71" s="270">
        <f t="shared" si="36"/>
        <v>11.185499999999999</v>
      </c>
      <c r="W71" s="270">
        <f t="shared" si="36"/>
        <v>10.8355</v>
      </c>
      <c r="X71" s="270">
        <f t="shared" si="36"/>
        <v>10.5305</v>
      </c>
      <c r="Y71" s="270">
        <f t="shared" si="36"/>
        <v>10.164999999999999</v>
      </c>
      <c r="Z71" s="270">
        <f t="shared" si="36"/>
        <v>10.164999999999999</v>
      </c>
      <c r="AA71" s="270">
        <f t="shared" si="36"/>
        <v>9.8249999999999993</v>
      </c>
      <c r="AB71" s="270">
        <f t="shared" si="36"/>
        <v>9.8249999999999993</v>
      </c>
      <c r="AC71" s="270">
        <f t="shared" si="36"/>
        <v>1.35</v>
      </c>
      <c r="AD71" s="270">
        <f t="shared" si="36"/>
        <v>1.35</v>
      </c>
    </row>
    <row r="72" spans="2:34">
      <c r="B72" s="191" t="s">
        <v>1317</v>
      </c>
      <c r="C72" s="195"/>
      <c r="D72" s="195"/>
      <c r="E72" s="197">
        <f>SUM(J72:U72)*12</f>
        <v>8.879999999999999</v>
      </c>
      <c r="F72" s="197">
        <f>SUM(V72:AD72)*12</f>
        <v>0</v>
      </c>
      <c r="H72" s="197">
        <f>SUM(S72:AD72)*12</f>
        <v>0</v>
      </c>
      <c r="J72" s="195">
        <f>SUMIFS('Full Customer List'!$G:$G,'Full Customer List'!$I:$I,'Client Retention $'!J$5,'Full Customer List'!$E:$E,$AF69)/1000</f>
        <v>0</v>
      </c>
      <c r="K72" s="195">
        <f>SUMIFS('Full Customer List'!$G:$G,'Full Customer List'!$I:$I,'Client Retention $'!K$5,'Full Customer List'!$E:$E,$AF69)/1000</f>
        <v>0</v>
      </c>
      <c r="L72" s="195">
        <f>SUMIFS('Full Customer List'!$G:$G,'Full Customer List'!$I:$I,'Client Retention $'!L$5,'Full Customer List'!$E:$E,$AF69)/1000</f>
        <v>0</v>
      </c>
      <c r="M72" s="195">
        <f>SUMIFS('Full Customer List'!$G:$G,'Full Customer List'!$I:$I,'Client Retention $'!M$5,'Full Customer List'!$E:$E,$AF69)/1000</f>
        <v>0</v>
      </c>
      <c r="N72" s="195">
        <f>SUMIFS('Full Customer List'!$G:$G,'Full Customer List'!$I:$I,'Client Retention $'!N$5,'Full Customer List'!$E:$E,$AF69)/1000</f>
        <v>0</v>
      </c>
      <c r="O72" s="195">
        <f>SUMIFS('Full Customer List'!$G:$G,'Full Customer List'!$I:$I,'Client Retention $'!O$5,'Full Customer List'!$E:$E,$AF69)/1000</f>
        <v>0.34</v>
      </c>
      <c r="P72" s="195">
        <f>SUMIFS('Full Customer List'!$G:$G,'Full Customer List'!$I:$I,'Client Retention $'!P$5,'Full Customer List'!$E:$E,$AF69)/1000</f>
        <v>0</v>
      </c>
      <c r="Q72" s="195">
        <f>SUMIFS('Full Customer List'!$G:$G,'Full Customer List'!$I:$I,'Client Retention $'!Q$5,'Full Customer List'!$E:$E,$AF69)/1000</f>
        <v>0.4</v>
      </c>
      <c r="R72" s="195">
        <f>SUMIFS('Full Customer List'!$G:$G,'Full Customer List'!$I:$I,'Client Retention $'!R$5,'Full Customer List'!$E:$E,$AF69)/1000</f>
        <v>0</v>
      </c>
      <c r="S72" s="195">
        <f>SUMIFS('Full Customer List'!$G:$G,'Full Customer List'!$I:$I,'Client Retention $'!S$5,'Full Customer List'!$E:$E,$AF69)/1000</f>
        <v>0</v>
      </c>
      <c r="T72" s="195">
        <f>SUMIFS('Full Customer List'!$G:$G,'Full Customer List'!$I:$I,'Client Retention $'!T$5,'Full Customer List'!$E:$E,$AF69)/1000</f>
        <v>0</v>
      </c>
      <c r="U72" s="195">
        <f>SUMIFS('Full Customer List'!$G:$G,'Full Customer List'!$I:$I,'Client Retention $'!U$5,'Full Customer List'!$E:$E,$AF69)/1000</f>
        <v>0</v>
      </c>
      <c r="V72" s="195">
        <f>SUMIFS('Full Customer List'!$G:$G,'Full Customer List'!$I:$I,'Client Retention $'!V$5,'Full Customer List'!$E:$E,$AF69)/1000</f>
        <v>0</v>
      </c>
      <c r="W72" s="195">
        <f>SUMIFS('Full Customer List'!$G:$G,'Full Customer List'!$I:$I,'Client Retention $'!W$5,'Full Customer List'!$E:$E,$AF69)/1000</f>
        <v>0</v>
      </c>
      <c r="X72" s="195">
        <f>SUMIFS('Full Customer List'!$G:$G,'Full Customer List'!$I:$I,'Client Retention $'!X$5,'Full Customer List'!$E:$E,$AF69)/1000</f>
        <v>0</v>
      </c>
      <c r="Y72" s="195">
        <f>SUMIFS('Full Customer List'!$G:$G,'Full Customer List'!$I:$I,'Client Retention $'!Y$5,'Full Customer List'!$E:$E,$AF69)/1000</f>
        <v>0</v>
      </c>
      <c r="Z72" s="195">
        <f>SUMIFS('Full Customer List'!$G:$G,'Full Customer List'!$I:$I,'Client Retention $'!Z$5,'Full Customer List'!$E:$E,$AF69)/1000</f>
        <v>0</v>
      </c>
      <c r="AA72" s="195">
        <f>SUMIFS('Full Customer List'!$G:$G,'Full Customer List'!$I:$I,'Client Retention $'!AA$5,'Full Customer List'!$E:$E,$AF69)/1000</f>
        <v>0</v>
      </c>
      <c r="AB72" s="195">
        <f>SUMIFS('Full Customer List'!$G:$G,'Full Customer List'!$I:$I,'Client Retention $'!AB$5,'Full Customer List'!$E:$E,$AF69)/1000</f>
        <v>0</v>
      </c>
      <c r="AC72" s="195">
        <f>SUMIFS('Full Customer List'!$G:$G,'Full Customer List'!$I:$I,'Client Retention $'!AC$5,'Full Customer List'!$E:$E,$AF69)/1000</f>
        <v>0</v>
      </c>
      <c r="AD72" s="195">
        <f>SUMIFS('Full Customer List'!$G:$G,'Full Customer List'!$I:$I,'Client Retention $'!AD$5,'Full Customer List'!$E:$E,$AF69)/1000</f>
        <v>0</v>
      </c>
    </row>
    <row r="73" spans="2:34">
      <c r="B73" s="265" t="s">
        <v>1531</v>
      </c>
      <c r="E73" s="197">
        <f>SUM(J73:U73)*12</f>
        <v>-33.463999999999999</v>
      </c>
      <c r="F73" s="197">
        <f>SUM(V73:AD73)*12</f>
        <v>-16.326000000000001</v>
      </c>
      <c r="H73" s="197">
        <f>SUM(S73:AD73)*12</f>
        <v>-23.53</v>
      </c>
      <c r="J73" s="195">
        <f>-SUMIFS('Full Customer List'!$G:$G,'Full Customer List'!$J:$J,J$1,'Full Customer List'!$E:$E,$AF69,'Full Customer List'!$H:$H,'Client Retention $'!$AF73)/1000</f>
        <v>-0.875</v>
      </c>
      <c r="K73" s="195">
        <f>-SUMIFS('Full Customer List'!$G:$G,'Full Customer List'!$J:$J,K$1,'Full Customer List'!$E:$E,$AF69,'Full Customer List'!$H:$H,'Client Retention $'!$AF73)/1000</f>
        <v>0</v>
      </c>
      <c r="L73" s="195">
        <f>-SUMIFS('Full Customer List'!$G:$G,'Full Customer List'!$J:$J,L$1,'Full Customer List'!$E:$E,$AF69,'Full Customer List'!$H:$H,'Client Retention $'!$AF73)/1000</f>
        <v>0</v>
      </c>
      <c r="M73" s="195">
        <f>-SUMIFS('Full Customer List'!$G:$G,'Full Customer List'!$J:$J,M$1,'Full Customer List'!$E:$E,$AF69,'Full Customer List'!$H:$H,'Client Retention $'!$AF73)/1000</f>
        <v>0</v>
      </c>
      <c r="N73" s="195">
        <f>-SUMIFS('Full Customer List'!$G:$G,'Full Customer List'!$J:$J,N$1,'Full Customer List'!$E:$E,$AF69,'Full Customer List'!$H:$H,'Client Retention $'!$AF73)/1000</f>
        <v>-0.3</v>
      </c>
      <c r="O73" s="195">
        <f>-SUMIFS('Full Customer List'!$G:$G,'Full Customer List'!$J:$J,O$1,'Full Customer List'!$E:$E,$AF69,'Full Customer List'!$H:$H,'Client Retention $'!$AF73)/1000</f>
        <v>-0.30333333333333329</v>
      </c>
      <c r="P73" s="195">
        <f>-SUMIFS('Full Customer List'!$G:$G,'Full Customer List'!$J:$J,P$1,'Full Customer List'!$E:$E,$AF69,'Full Customer List'!$H:$H,'Client Retention $'!$AF73)/1000</f>
        <v>-0.71</v>
      </c>
      <c r="Q73" s="195">
        <f>-SUMIFS('Full Customer List'!$G:$G,'Full Customer List'!$J:$J,Q$1,'Full Customer List'!$E:$E,$AF69,'Full Customer List'!$H:$H,'Client Retention $'!$AF73)/1000</f>
        <v>0</v>
      </c>
      <c r="R73" s="195">
        <f>-SUMIFS('Full Customer List'!$G:$G,'Full Customer List'!$J:$J,R$1,'Full Customer List'!$E:$E,$AF69,'Full Customer List'!$H:$H,'Client Retention $'!$AF73)/1000</f>
        <v>0</v>
      </c>
      <c r="S73" s="195">
        <f>-SUMIFS('Full Customer List'!$G:$G,'Full Customer List'!$J:$J,S$1,'Full Customer List'!$E:$E,$AF69,'Full Customer List'!$H:$H,'Client Retention $'!$AF73)/1000</f>
        <v>0</v>
      </c>
      <c r="T73" s="195">
        <f>-SUMIFS('Full Customer List'!$G:$G,'Full Customer List'!$J:$J,T$1,'Full Customer List'!$E:$E,$AF69,'Full Customer List'!$H:$H,'Client Retention $'!$AF73)/1000</f>
        <v>0</v>
      </c>
      <c r="U73" s="195">
        <f>-SUMIFS('Full Customer List'!$G:$G,'Full Customer List'!$J:$J,U$1,'Full Customer List'!$E:$E,$AF69,'Full Customer List'!$H:$H,'Client Retention $'!$AF73)/1000</f>
        <v>-0.60033333333333339</v>
      </c>
      <c r="V73" s="195">
        <f>-SUMIFS('Full Customer List'!$G:$G,'Full Customer List'!$J:$J,V$1,'Full Customer List'!$E:$E,$AF69,'Full Customer List'!$H:$H,'Client Retention $'!$AF73)/1000</f>
        <v>-0.35</v>
      </c>
      <c r="W73" s="195">
        <f>-SUMIFS('Full Customer List'!$G:$G,'Full Customer List'!$J:$J,W$1,'Full Customer List'!$E:$E,$AF69,'Full Customer List'!$H:$H,'Client Retention $'!$AF73)/1000</f>
        <v>-0.30499999999999999</v>
      </c>
      <c r="X73" s="195">
        <f>-SUMIFS('Full Customer List'!$G:$G,'Full Customer List'!$J:$J,X$1,'Full Customer List'!$E:$E,$AF69,'Full Customer List'!$H:$H,'Client Retention $'!$AF73)/1000</f>
        <v>-0.36549999999999999</v>
      </c>
      <c r="Y73" s="195">
        <f>-SUMIFS('Full Customer List'!$G:$G,'Full Customer List'!$J:$J,Y$1,'Full Customer List'!$E:$E,$AF69,'Full Customer List'!$H:$H,'Client Retention $'!$AF73)/1000</f>
        <v>0</v>
      </c>
      <c r="Z73" s="195">
        <f>-SUMIFS('Full Customer List'!$G:$G,'Full Customer List'!$J:$J,Z$1,'Full Customer List'!$E:$E,$AF69,'Full Customer List'!$H:$H,'Client Retention $'!$AF73)/1000</f>
        <v>-0.34</v>
      </c>
      <c r="AA73" s="195">
        <f>-SUMIFS('Full Customer List'!$G:$G,'Full Customer List'!$J:$J,AA$1,'Full Customer List'!$E:$E,$AF69,'Full Customer List'!$H:$H,'Client Retention $'!$AF73)/1000</f>
        <v>0</v>
      </c>
      <c r="AB73" s="195">
        <f>-SUMIFS('Full Customer List'!$G:$G,'Full Customer List'!$J:$J,AB$1,'Full Customer List'!$E:$E,$AF69,'Full Customer List'!$H:$H,'Client Retention $'!$AF73)/1000</f>
        <v>0</v>
      </c>
      <c r="AC73" s="195">
        <f>-SUMIFS('Full Customer List'!$G:$G,'Full Customer List'!$J:$J,AC$1,'Full Customer List'!$E:$E,$AF69,'Full Customer List'!$H:$H,'Client Retention $'!$AF73)/1000</f>
        <v>0</v>
      </c>
      <c r="AD73" s="195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5" t="s">
        <v>1532</v>
      </c>
      <c r="E74" s="197">
        <f>SUM(J74:U74)*12</f>
        <v>-18.36</v>
      </c>
      <c r="F74" s="197">
        <f>SUM(V74:AD74)*12</f>
        <v>-96.24</v>
      </c>
      <c r="H74" s="197">
        <f>SUM(S74:AD74)*12</f>
        <v>-96.24</v>
      </c>
      <c r="J74" s="195">
        <f>-SUMIFS('Full Customer List'!$G:$G,'Full Customer List'!$J:$J,J$1,'Full Customer List'!$E:$E,$AF69,'Full Customer List'!$H:$H,'Client Retention $'!$AF74)/1000</f>
        <v>-0.73</v>
      </c>
      <c r="K74" s="195">
        <f>-SUMIFS('Full Customer List'!$G:$G,'Full Customer List'!$J:$J,K$1,'Full Customer List'!$E:$E,$AF69,'Full Customer List'!$H:$H,'Client Retention $'!$AF74)/1000</f>
        <v>-0.4</v>
      </c>
      <c r="L74" s="195">
        <f>-SUMIFS('Full Customer List'!$G:$G,'Full Customer List'!$J:$J,L$1,'Full Customer List'!$E:$E,$AF69,'Full Customer List'!$H:$H,'Client Retention $'!$AF74)/1000</f>
        <v>0</v>
      </c>
      <c r="M74" s="195">
        <f>-SUMIFS('Full Customer List'!$G:$G,'Full Customer List'!$J:$J,M$1,'Full Customer List'!$E:$E,$AF69,'Full Customer List'!$H:$H,'Client Retention $'!$AF74)/1000</f>
        <v>0</v>
      </c>
      <c r="N74" s="195">
        <f>-SUMIFS('Full Customer List'!$G:$G,'Full Customer List'!$J:$J,N$1,'Full Customer List'!$E:$E,$AF69,'Full Customer List'!$H:$H,'Client Retention $'!$AF74)/1000</f>
        <v>0</v>
      </c>
      <c r="O74" s="195">
        <f>-SUMIFS('Full Customer List'!$G:$G,'Full Customer List'!$J:$J,O$1,'Full Customer List'!$E:$E,$AF69,'Full Customer List'!$H:$H,'Client Retention $'!$AF74)/1000</f>
        <v>0</v>
      </c>
      <c r="P74" s="195">
        <f>-SUMIFS('Full Customer List'!$G:$G,'Full Customer List'!$J:$J,P$1,'Full Customer List'!$E:$E,$AF69,'Full Customer List'!$H:$H,'Client Retention $'!$AF74)/1000</f>
        <v>0</v>
      </c>
      <c r="Q74" s="195">
        <f>-SUMIFS('Full Customer List'!$G:$G,'Full Customer List'!$J:$J,Q$1,'Full Customer List'!$E:$E,$AF69,'Full Customer List'!$H:$H,'Client Retention $'!$AF74)/1000</f>
        <v>0</v>
      </c>
      <c r="R74" s="195">
        <f>-SUMIFS('Full Customer List'!$G:$G,'Full Customer List'!$J:$J,R$1,'Full Customer List'!$E:$E,$AF69,'Full Customer List'!$H:$H,'Client Retention $'!$AF74)/1000</f>
        <v>-0.4</v>
      </c>
      <c r="S74" s="195">
        <f>-SUMIFS('Full Customer List'!$G:$G,'Full Customer List'!$J:$J,S$1,'Full Customer List'!$E:$E,$AF69,'Full Customer List'!$H:$H,'Client Retention $'!$AF74)/1000</f>
        <v>0</v>
      </c>
      <c r="T74" s="195">
        <f>-SUMIFS('Full Customer List'!$G:$G,'Full Customer List'!$J:$J,T$1,'Full Customer List'!$E:$E,$AF69,'Full Customer List'!$H:$H,'Client Retention $'!$AF74)/1000</f>
        <v>0</v>
      </c>
      <c r="U74" s="195">
        <f>-SUMIFS('Full Customer List'!$G:$G,'Full Customer List'!$J:$J,U$1,'Full Customer List'!$E:$E,$AF69,'Full Customer List'!$H:$H,'Client Retention $'!$AF74)/1000</f>
        <v>0</v>
      </c>
      <c r="V74" s="195">
        <f>-SUMIFS('Full Customer List'!$G:$G,'Full Customer List'!$J:$J,V$1,'Full Customer List'!$E:$E,$AF69,'Full Customer List'!$H:$H,'Client Retention $'!$AF74)/1000</f>
        <v>0</v>
      </c>
      <c r="W74" s="195">
        <f>-SUMIFS('Full Customer List'!$G:$G,'Full Customer List'!$J:$J,W$1,'Full Customer List'!$E:$E,$AF69,'Full Customer List'!$H:$H,'Client Retention $'!$AF74)/1000</f>
        <v>0</v>
      </c>
      <c r="X74" s="195">
        <f>-SUMIFS('Full Customer List'!$G:$G,'Full Customer List'!$J:$J,X$1,'Full Customer List'!$E:$E,$AF69,'Full Customer List'!$H:$H,'Client Retention $'!$AF74)/1000</f>
        <v>0</v>
      </c>
      <c r="Y74" s="195">
        <f>-SUMIFS('Full Customer List'!$G:$G,'Full Customer List'!$J:$J,Y$1,'Full Customer List'!$E:$E,$AF69,'Full Customer List'!$H:$H,'Client Retention $'!$AF74)/1000</f>
        <v>0</v>
      </c>
      <c r="Z74" s="195">
        <f>-SUMIFS('Full Customer List'!$G:$G,'Full Customer List'!$J:$J,Z$1,'Full Customer List'!$E:$E,$AF69,'Full Customer List'!$H:$H,'Client Retention $'!$AF74)/1000</f>
        <v>0</v>
      </c>
      <c r="AA74" s="195">
        <f>-SUMIFS('Full Customer List'!$G:$G,'Full Customer List'!$J:$J,AA$1,'Full Customer List'!$E:$E,$AF69,'Full Customer List'!$H:$H,'Client Retention $'!$AF74)/1000</f>
        <v>0</v>
      </c>
      <c r="AB74" s="195">
        <f>-SUMIFS('Full Customer List'!$G:$G,'Full Customer List'!$J:$J,AB$1,'Full Customer List'!$E:$E,$AF69,'Full Customer List'!$H:$H,'Client Retention $'!$AF74)/1000</f>
        <v>-8.02</v>
      </c>
      <c r="AC74" s="195">
        <f>-SUMIFS('Full Customer List'!$G:$G,'Full Customer List'!$J:$J,AC$1,'Full Customer List'!$E:$E,$AF69,'Full Customer List'!$H:$H,'Client Retention $'!$AF74)/1000</f>
        <v>0</v>
      </c>
      <c r="AD74" s="195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5" t="s">
        <v>1533</v>
      </c>
      <c r="E75" s="197">
        <f>SUM(J75:U75)*12</f>
        <v>0</v>
      </c>
      <c r="F75" s="197">
        <f>SUM(V75:AD75)*12</f>
        <v>-5.46</v>
      </c>
      <c r="H75" s="197">
        <f>SUM(S75:AD75)*12</f>
        <v>-5.46</v>
      </c>
      <c r="J75" s="195">
        <f>-SUMIFS('Full Customer List'!$G:$G,'Full Customer List'!$J:$J,J$1,'Full Customer List'!$E:$E,$AF69,'Full Customer List'!$H:$H,'Client Retention $'!$AF75)/1000</f>
        <v>0</v>
      </c>
      <c r="K75" s="195">
        <f>-SUMIFS('Full Customer List'!$G:$G,'Full Customer List'!$J:$J,K$1,'Full Customer List'!$E:$E,$AF69,'Full Customer List'!$H:$H,'Client Retention $'!$AF75)/1000</f>
        <v>0</v>
      </c>
      <c r="L75" s="195">
        <f>-SUMIFS('Full Customer List'!$G:$G,'Full Customer List'!$J:$J,L$1,'Full Customer List'!$E:$E,$AF69,'Full Customer List'!$H:$H,'Client Retention $'!$AF75)/1000</f>
        <v>0</v>
      </c>
      <c r="M75" s="195">
        <f>-SUMIFS('Full Customer List'!$G:$G,'Full Customer List'!$J:$J,M$1,'Full Customer List'!$E:$E,$AF69,'Full Customer List'!$H:$H,'Client Retention $'!$AF75)/1000</f>
        <v>0</v>
      </c>
      <c r="N75" s="195">
        <f>-SUMIFS('Full Customer List'!$G:$G,'Full Customer List'!$J:$J,N$1,'Full Customer List'!$E:$E,$AF69,'Full Customer List'!$H:$H,'Client Retention $'!$AF75)/1000</f>
        <v>0</v>
      </c>
      <c r="O75" s="195">
        <f>-SUMIFS('Full Customer List'!$G:$G,'Full Customer List'!$J:$J,O$1,'Full Customer List'!$E:$E,$AF69,'Full Customer List'!$H:$H,'Client Retention $'!$AF75)/1000</f>
        <v>0</v>
      </c>
      <c r="P75" s="195">
        <f>-SUMIFS('Full Customer List'!$G:$G,'Full Customer List'!$J:$J,P$1,'Full Customer List'!$E:$E,$AF69,'Full Customer List'!$H:$H,'Client Retention $'!$AF75)/1000</f>
        <v>0</v>
      </c>
      <c r="Q75" s="195">
        <f>-SUMIFS('Full Customer List'!$G:$G,'Full Customer List'!$J:$J,Q$1,'Full Customer List'!$E:$E,$AF69,'Full Customer List'!$H:$H,'Client Retention $'!$AF75)/1000</f>
        <v>0</v>
      </c>
      <c r="R75" s="195">
        <f>-SUMIFS('Full Customer List'!$G:$G,'Full Customer List'!$J:$J,R$1,'Full Customer List'!$E:$E,$AF69,'Full Customer List'!$H:$H,'Client Retention $'!$AF75)/1000</f>
        <v>0</v>
      </c>
      <c r="S75" s="195">
        <f>-SUMIFS('Full Customer List'!$G:$G,'Full Customer List'!$J:$J,S$1,'Full Customer List'!$E:$E,$AF69,'Full Customer List'!$H:$H,'Client Retention $'!$AF75)/1000</f>
        <v>0</v>
      </c>
      <c r="T75" s="195">
        <f>-SUMIFS('Full Customer List'!$G:$G,'Full Customer List'!$J:$J,T$1,'Full Customer List'!$E:$E,$AF69,'Full Customer List'!$H:$H,'Client Retention $'!$AF75)/1000</f>
        <v>0</v>
      </c>
      <c r="U75" s="195">
        <f>-SUMIFS('Full Customer List'!$G:$G,'Full Customer List'!$J:$J,U$1,'Full Customer List'!$E:$E,$AF69,'Full Customer List'!$H:$H,'Client Retention $'!$AF75)/1000</f>
        <v>0</v>
      </c>
      <c r="V75" s="195">
        <f>-SUMIFS('Full Customer List'!$G:$G,'Full Customer List'!$J:$J,V$1,'Full Customer List'!$E:$E,$AF69,'Full Customer List'!$H:$H,'Client Retention $'!$AF75)/1000</f>
        <v>0</v>
      </c>
      <c r="W75" s="195">
        <f>-SUMIFS('Full Customer List'!$G:$G,'Full Customer List'!$J:$J,W$1,'Full Customer List'!$E:$E,$AF69,'Full Customer List'!$H:$H,'Client Retention $'!$AF75)/1000</f>
        <v>0</v>
      </c>
      <c r="X75" s="195">
        <f>-SUMIFS('Full Customer List'!$G:$G,'Full Customer List'!$J:$J,X$1,'Full Customer List'!$E:$E,$AF69,'Full Customer List'!$H:$H,'Client Retention $'!$AF75)/1000</f>
        <v>0</v>
      </c>
      <c r="Y75" s="195">
        <f>-SUMIFS('Full Customer List'!$G:$G,'Full Customer List'!$J:$J,Y$1,'Full Customer List'!$E:$E,$AF69,'Full Customer List'!$H:$H,'Client Retention $'!$AF75)/1000</f>
        <v>0</v>
      </c>
      <c r="Z75" s="195">
        <f>-SUMIFS('Full Customer List'!$G:$G,'Full Customer List'!$J:$J,Z$1,'Full Customer List'!$E:$E,$AF69,'Full Customer List'!$H:$H,'Client Retention $'!$AF75)/1000</f>
        <v>0</v>
      </c>
      <c r="AA75" s="195">
        <f>-SUMIFS('Full Customer List'!$G:$G,'Full Customer List'!$J:$J,AA$1,'Full Customer List'!$E:$E,$AF69,'Full Customer List'!$H:$H,'Client Retention $'!$AF75)/1000</f>
        <v>0</v>
      </c>
      <c r="AB75" s="195">
        <f>-SUMIFS('Full Customer List'!$G:$G,'Full Customer List'!$J:$J,AB$1,'Full Customer List'!$E:$E,$AF69,'Full Customer List'!$H:$H,'Client Retention $'!$AF75)/1000</f>
        <v>-0.45500000000000002</v>
      </c>
      <c r="AC75" s="195">
        <f>-SUMIFS('Full Customer List'!$G:$G,'Full Customer List'!$J:$J,AC$1,'Full Customer List'!$E:$E,$AF69,'Full Customer List'!$H:$H,'Client Retention $'!$AF75)/1000</f>
        <v>0</v>
      </c>
      <c r="AD75" s="195">
        <f>-SUMIFS('Full Customer List'!$G:$G,'Full Customer List'!$J:$J,AD$1,'Full Customer List'!$E:$E,$AF69,'Full Customer List'!$H:$H,'Client Retention $'!$AF75)/1000</f>
        <v>0</v>
      </c>
      <c r="AF75" s="173" t="s">
        <v>1534</v>
      </c>
    </row>
    <row r="76" spans="2:34" ht="12" customHeight="1">
      <c r="B76" s="255" t="s">
        <v>1535</v>
      </c>
      <c r="C76" s="258"/>
      <c r="D76" s="258"/>
      <c r="E76" s="256">
        <f>SUM(J76:U76)*12</f>
        <v>-51.823999999999998</v>
      </c>
      <c r="F76" s="256">
        <f>SUM(V76:AD76)*12</f>
        <v>-118.026</v>
      </c>
      <c r="G76" s="257"/>
      <c r="H76" s="256">
        <f>SUM(S76:AD76)*12</f>
        <v>-125.22999999999999</v>
      </c>
      <c r="I76" s="257"/>
      <c r="J76" s="258">
        <f>-SUMIFS('Full Customer List'!$G:$G,'Full Customer List'!$J:$J,J$1,'Full Customer List'!$E:$E,$AF69)/1000</f>
        <v>-1.605</v>
      </c>
      <c r="K76" s="258">
        <f>-SUMIFS('Full Customer List'!$G:$G,'Full Customer List'!$J:$J,K$1,'Full Customer List'!$E:$E,$AF69)/1000</f>
        <v>-0.4</v>
      </c>
      <c r="L76" s="258">
        <f>-SUMIFS('Full Customer List'!$G:$G,'Full Customer List'!$J:$J,L$1,'Full Customer List'!$E:$E,$AF69)/1000</f>
        <v>0</v>
      </c>
      <c r="M76" s="258">
        <f>-SUMIFS('Full Customer List'!$G:$G,'Full Customer List'!$J:$J,M$1,'Full Customer List'!$E:$E,$AF69)/1000</f>
        <v>0</v>
      </c>
      <c r="N76" s="258">
        <f>-SUMIFS('Full Customer List'!$G:$G,'Full Customer List'!$J:$J,N$1,'Full Customer List'!$E:$E,$AF69)/1000</f>
        <v>-0.3</v>
      </c>
      <c r="O76" s="258">
        <f>-SUMIFS('Full Customer List'!$G:$G,'Full Customer List'!$J:$J,O$1,'Full Customer List'!$E:$E,$AF69)/1000</f>
        <v>-0.30333333333333329</v>
      </c>
      <c r="P76" s="258">
        <f>-SUMIFS('Full Customer List'!$G:$G,'Full Customer List'!$J:$J,P$1,'Full Customer List'!$E:$E,$AF69)/1000</f>
        <v>-0.71</v>
      </c>
      <c r="Q76" s="258">
        <f>-SUMIFS('Full Customer List'!$G:$G,'Full Customer List'!$J:$J,Q$1,'Full Customer List'!$E:$E,$AF69)/1000</f>
        <v>0</v>
      </c>
      <c r="R76" s="258">
        <f>-SUMIFS('Full Customer List'!$G:$G,'Full Customer List'!$J:$J,R$1,'Full Customer List'!$E:$E,$AF69)/1000</f>
        <v>-0.4</v>
      </c>
      <c r="S76" s="258">
        <f>-SUMIFS('Full Customer List'!$G:$G,'Full Customer List'!$J:$J,S$1,'Full Customer List'!$E:$E,$AF69)/1000</f>
        <v>0</v>
      </c>
      <c r="T76" s="258">
        <f>-SUMIFS('Full Customer List'!$G:$G,'Full Customer List'!$J:$J,T$1,'Full Customer List'!$E:$E,$AF69)/1000</f>
        <v>0</v>
      </c>
      <c r="U76" s="258">
        <f>-SUMIFS('Full Customer List'!$G:$G,'Full Customer List'!$J:$J,U$1,'Full Customer List'!$E:$E,$AF69)/1000</f>
        <v>-0.60033333333333339</v>
      </c>
      <c r="V76" s="258">
        <f>-SUMIFS('Full Customer List'!$G:$G,'Full Customer List'!$J:$J,V$1,'Full Customer List'!$E:$E,$AF69)/1000</f>
        <v>-0.35</v>
      </c>
      <c r="W76" s="258">
        <f>-SUMIFS('Full Customer List'!$G:$G,'Full Customer List'!$J:$J,W$1,'Full Customer List'!$E:$E,$AF69)/1000</f>
        <v>-0.30499999999999999</v>
      </c>
      <c r="X76" s="258">
        <f>-SUMIFS('Full Customer List'!$G:$G,'Full Customer List'!$J:$J,X$1,'Full Customer List'!$E:$E,$AF69)/1000</f>
        <v>-0.36549999999999999</v>
      </c>
      <c r="Y76" s="258">
        <f>-SUMIFS('Full Customer List'!$G:$G,'Full Customer List'!$J:$J,Y$1,'Full Customer List'!$E:$E,$AF69)/1000</f>
        <v>0</v>
      </c>
      <c r="Z76" s="258">
        <f>-SUMIFS('Full Customer List'!$G:$G,'Full Customer List'!$J:$J,Z$1,'Full Customer List'!$E:$E,$AF69)/1000</f>
        <v>-0.34</v>
      </c>
      <c r="AA76" s="258">
        <f>-SUMIFS('Full Customer List'!$G:$G,'Full Customer List'!$J:$J,AA$1,'Full Customer List'!$E:$E,$AF69)/1000</f>
        <v>0</v>
      </c>
      <c r="AB76" s="258">
        <f>-SUMIFS('Full Customer List'!$G:$G,'Full Customer List'!$J:$J,AB$1,'Full Customer List'!$E:$E,$AF69)/1000</f>
        <v>-8.4749999999999996</v>
      </c>
      <c r="AC76" s="258">
        <f>-SUMIFS('Full Customer List'!$G:$G,'Full Customer List'!$J:$J,AC$1,'Full Customer List'!$E:$E,$AF69)/1000</f>
        <v>0</v>
      </c>
      <c r="AD76" s="258">
        <f>-SUMIFS('Full Customer List'!$G:$G,'Full Customer List'!$J:$J,AD$1,'Full Customer List'!$E:$E,$AF69)/1000</f>
        <v>0</v>
      </c>
    </row>
    <row r="77" spans="2:34" ht="12" customHeight="1">
      <c r="B77" s="259" t="s">
        <v>1553</v>
      </c>
      <c r="C77" s="271"/>
      <c r="D77" s="271"/>
      <c r="E77" s="271">
        <f>+F71</f>
        <v>134.226</v>
      </c>
      <c r="F77" s="272">
        <f>+$AD77*12</f>
        <v>16.200000000000003</v>
      </c>
      <c r="G77" s="270"/>
      <c r="H77" s="273">
        <f>+$AD77*12</f>
        <v>16.200000000000003</v>
      </c>
      <c r="I77" s="270"/>
      <c r="J77" s="274">
        <f t="shared" ref="J77:AC77" si="37">+K71</f>
        <v>13.159166666666668</v>
      </c>
      <c r="K77" s="271">
        <f t="shared" si="37"/>
        <v>12.759166666666667</v>
      </c>
      <c r="L77" s="271">
        <f t="shared" si="37"/>
        <v>12.759166666666667</v>
      </c>
      <c r="M77" s="271">
        <f t="shared" si="37"/>
        <v>12.759166666666667</v>
      </c>
      <c r="N77" s="271">
        <f t="shared" si="37"/>
        <v>12.459166666666667</v>
      </c>
      <c r="O77" s="271">
        <f t="shared" si="37"/>
        <v>12.495833333333334</v>
      </c>
      <c r="P77" s="271">
        <f t="shared" si="37"/>
        <v>11.785833333333333</v>
      </c>
      <c r="Q77" s="271">
        <f t="shared" si="37"/>
        <v>12.185833333333333</v>
      </c>
      <c r="R77" s="271">
        <f t="shared" si="37"/>
        <v>11.785833333333333</v>
      </c>
      <c r="S77" s="274">
        <f t="shared" si="37"/>
        <v>11.785833333333333</v>
      </c>
      <c r="T77" s="271">
        <f t="shared" si="37"/>
        <v>11.785833333333333</v>
      </c>
      <c r="U77" s="271">
        <f t="shared" si="37"/>
        <v>11.185499999999999</v>
      </c>
      <c r="V77" s="271">
        <f t="shared" si="37"/>
        <v>10.8355</v>
      </c>
      <c r="W77" s="271">
        <f t="shared" si="37"/>
        <v>10.5305</v>
      </c>
      <c r="X77" s="271">
        <f t="shared" si="37"/>
        <v>10.164999999999999</v>
      </c>
      <c r="Y77" s="271">
        <f t="shared" si="37"/>
        <v>10.164999999999999</v>
      </c>
      <c r="Z77" s="271">
        <f t="shared" si="37"/>
        <v>9.8249999999999993</v>
      </c>
      <c r="AA77" s="271">
        <f t="shared" si="37"/>
        <v>9.8249999999999993</v>
      </c>
      <c r="AB77" s="271">
        <f t="shared" si="37"/>
        <v>1.35</v>
      </c>
      <c r="AC77" s="271">
        <f t="shared" si="37"/>
        <v>1.35</v>
      </c>
      <c r="AD77" s="272">
        <f>SUMIFS('Full Customer List'!$G:$G,'Full Customer List'!$C:$C,"Active",'Full Customer List'!$E:$E,'Client Retention $'!$AF69)/1000</f>
        <v>1.35</v>
      </c>
    </row>
    <row r="78" spans="2:34" ht="3.95" customHeight="1">
      <c r="B78" s="180"/>
      <c r="C78" s="232"/>
      <c r="D78" s="232"/>
      <c r="E78" s="232"/>
      <c r="F78" s="232"/>
      <c r="H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3"/>
      <c r="AC78" s="233"/>
      <c r="AD78" s="233"/>
      <c r="AF78" s="220"/>
    </row>
    <row r="79" spans="2:34">
      <c r="B79" s="234" t="s">
        <v>1855</v>
      </c>
      <c r="C79" s="341"/>
      <c r="D79" s="341"/>
      <c r="E79" s="341">
        <f>AVERAGE(E71,E77)</f>
        <v>155.69800000000001</v>
      </c>
      <c r="F79" s="342">
        <f>AVERAGE(F71,F77)</f>
        <v>75.212999999999994</v>
      </c>
      <c r="G79" s="270"/>
      <c r="H79" s="345">
        <f>AVERAGE(H71,H77)</f>
        <v>78.814999999999998</v>
      </c>
      <c r="I79" s="270"/>
      <c r="J79" s="347">
        <f t="shared" ref="J79:AD79" si="38">AVERAGE(J71,J77)</f>
        <v>13.961666666666668</v>
      </c>
      <c r="K79" s="341">
        <f t="shared" si="38"/>
        <v>12.959166666666668</v>
      </c>
      <c r="L79" s="341">
        <f t="shared" si="38"/>
        <v>12.759166666666667</v>
      </c>
      <c r="M79" s="341">
        <f t="shared" si="38"/>
        <v>12.759166666666667</v>
      </c>
      <c r="N79" s="341">
        <f t="shared" si="38"/>
        <v>12.609166666666667</v>
      </c>
      <c r="O79" s="341">
        <f t="shared" si="38"/>
        <v>12.477499999999999</v>
      </c>
      <c r="P79" s="341">
        <f t="shared" si="38"/>
        <v>12.140833333333333</v>
      </c>
      <c r="Q79" s="341">
        <f t="shared" si="38"/>
        <v>11.985833333333332</v>
      </c>
      <c r="R79" s="341">
        <f t="shared" si="38"/>
        <v>11.985833333333332</v>
      </c>
      <c r="S79" s="347">
        <f t="shared" si="38"/>
        <v>11.785833333333333</v>
      </c>
      <c r="T79" s="341">
        <f t="shared" si="38"/>
        <v>11.785833333333333</v>
      </c>
      <c r="U79" s="341">
        <f t="shared" si="38"/>
        <v>11.485666666666667</v>
      </c>
      <c r="V79" s="341">
        <f t="shared" si="38"/>
        <v>11.0105</v>
      </c>
      <c r="W79" s="341">
        <f t="shared" si="38"/>
        <v>10.683</v>
      </c>
      <c r="X79" s="341">
        <f t="shared" si="38"/>
        <v>10.34775</v>
      </c>
      <c r="Y79" s="341">
        <f t="shared" si="38"/>
        <v>10.164999999999999</v>
      </c>
      <c r="Z79" s="341">
        <f t="shared" si="38"/>
        <v>9.9949999999999992</v>
      </c>
      <c r="AA79" s="341">
        <f t="shared" si="38"/>
        <v>9.8249999999999993</v>
      </c>
      <c r="AB79" s="341">
        <f t="shared" si="38"/>
        <v>5.5874999999999995</v>
      </c>
      <c r="AC79" s="341">
        <f t="shared" si="38"/>
        <v>1.35</v>
      </c>
      <c r="AD79" s="342">
        <f t="shared" si="38"/>
        <v>1.35</v>
      </c>
    </row>
    <row r="80" spans="2:34">
      <c r="B80" s="237" t="s">
        <v>1856</v>
      </c>
      <c r="C80" s="343"/>
      <c r="D80" s="343"/>
      <c r="E80" s="343">
        <f>IFERROR(E79/'Client Retention'!E75,"")</f>
        <v>5.6617454545454544</v>
      </c>
      <c r="F80" s="344">
        <f>IFERROR(F79/'Client Retention'!F75,"")</f>
        <v>6.0170399999999997</v>
      </c>
      <c r="G80" s="270"/>
      <c r="H80" s="346">
        <f>IFERROR(H79/'Client Retention'!H75,"")</f>
        <v>5.6296428571428567</v>
      </c>
      <c r="I80" s="270"/>
      <c r="J80" s="348">
        <f>IFERROR(J79/'Client Retention'!J75*12,"")</f>
        <v>5.4931147540983609</v>
      </c>
      <c r="K80" s="343">
        <f>IFERROR(K79/'Client Retention'!K75*12,"")</f>
        <v>5.4564912280701758</v>
      </c>
      <c r="L80" s="343">
        <f>IFERROR(L79/'Client Retention'!L75*12,"")</f>
        <v>5.4682142857142857</v>
      </c>
      <c r="M80" s="343">
        <f>IFERROR(M79/'Client Retention'!M75*12,"")</f>
        <v>5.4682142857142857</v>
      </c>
      <c r="N80" s="343">
        <f>IFERROR(N79/'Client Retention'!N75*12,"")</f>
        <v>5.5021818181818185</v>
      </c>
      <c r="O80" s="343">
        <f>IFERROR(O79/'Client Retention'!O75*12,"")</f>
        <v>5.5455555555555556</v>
      </c>
      <c r="P80" s="343">
        <f>IFERROR(P79/'Client Retention'!P75*12,"")</f>
        <v>5.4977358490566042</v>
      </c>
      <c r="Q80" s="343">
        <f>IFERROR(Q79/'Client Retention'!Q75*12,"")</f>
        <v>5.4275471698113202</v>
      </c>
      <c r="R80" s="343">
        <f>IFERROR(R79/'Client Retention'!R75*12,"")</f>
        <v>5.4275471698113202</v>
      </c>
      <c r="S80" s="348">
        <f>IFERROR(S79/'Client Retention'!S75*12,"")</f>
        <v>5.4396153846153839</v>
      </c>
      <c r="T80" s="343">
        <f>IFERROR(T79/'Client Retention'!T75*12,"")</f>
        <v>5.4396153846153839</v>
      </c>
      <c r="U80" s="343">
        <f>IFERROR(U79/'Client Retention'!U75*12,"")</f>
        <v>5.6256326530612251</v>
      </c>
      <c r="V80" s="343">
        <f>IFERROR(V79/'Client Retention'!V75*12,"")</f>
        <v>5.8722666666666674</v>
      </c>
      <c r="W80" s="343">
        <f>IFERROR(W79/'Client Retention'!W75*12,"")</f>
        <v>5.9626046511627901</v>
      </c>
      <c r="X80" s="343">
        <f>IFERROR(X79/'Client Retention'!X75*12,"")</f>
        <v>6.2086500000000004</v>
      </c>
      <c r="Y80" s="343">
        <f>IFERROR(Y79/'Client Retention'!Y75*12,"")</f>
        <v>6.419999999999999</v>
      </c>
      <c r="Z80" s="343">
        <f>IFERROR(Z79/'Client Retention'!Z75*12,"")</f>
        <v>6.4832432432432423</v>
      </c>
      <c r="AA80" s="343">
        <f>IFERROR(AA79/'Client Retention'!AA75*12,"")</f>
        <v>6.5499999999999989</v>
      </c>
      <c r="AB80" s="343">
        <f>IFERROR(AB79/'Client Retention'!AB75*12,"")</f>
        <v>6.7050000000000001</v>
      </c>
      <c r="AC80" s="343">
        <f>IFERROR(AC79/'Client Retention'!AC75*12,"")</f>
        <v>8.1000000000000014</v>
      </c>
      <c r="AD80" s="344">
        <f>IFERROR(AD79/'Client Retention'!AD75*12,"")</f>
        <v>8.1000000000000014</v>
      </c>
    </row>
    <row r="81" spans="2:34" ht="3.95" customHeight="1">
      <c r="B81" s="180"/>
      <c r="C81" s="232"/>
      <c r="D81" s="232"/>
      <c r="E81" s="232"/>
      <c r="F81" s="232"/>
      <c r="H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3"/>
      <c r="AC81" s="233"/>
      <c r="AD81" s="233"/>
    </row>
    <row r="82" spans="2:34" ht="12" customHeight="1">
      <c r="B82" s="234" t="s">
        <v>1550</v>
      </c>
      <c r="C82" s="235"/>
      <c r="D82" s="235"/>
      <c r="E82" s="236">
        <f>(E72+E71)/E71-1</f>
        <v>5.012135237342652E-2</v>
      </c>
      <c r="F82" s="247">
        <f>(F72+F71)/F71-1</f>
        <v>0</v>
      </c>
      <c r="G82" s="248"/>
      <c r="H82" s="249">
        <f>(H72+H71)/H71-1</f>
        <v>0</v>
      </c>
      <c r="J82" s="246">
        <f t="shared" ref="J82:AD82" si="39">(J72+J71)/J71-1</f>
        <v>0</v>
      </c>
      <c r="K82" s="236">
        <f t="shared" si="39"/>
        <v>0</v>
      </c>
      <c r="L82" s="236">
        <f t="shared" si="39"/>
        <v>0</v>
      </c>
      <c r="M82" s="236">
        <f t="shared" si="39"/>
        <v>0</v>
      </c>
      <c r="N82" s="236">
        <f t="shared" si="39"/>
        <v>0</v>
      </c>
      <c r="O82" s="236">
        <f t="shared" si="39"/>
        <v>2.7289144538826804E-2</v>
      </c>
      <c r="P82" s="236">
        <f t="shared" si="39"/>
        <v>0</v>
      </c>
      <c r="Q82" s="236">
        <f t="shared" si="39"/>
        <v>3.393905112069584E-2</v>
      </c>
      <c r="R82" s="236">
        <f t="shared" si="39"/>
        <v>0</v>
      </c>
      <c r="S82" s="246">
        <f t="shared" si="39"/>
        <v>0</v>
      </c>
      <c r="T82" s="236">
        <f t="shared" si="39"/>
        <v>0</v>
      </c>
      <c r="U82" s="236">
        <f t="shared" si="39"/>
        <v>0</v>
      </c>
      <c r="V82" s="236">
        <f t="shared" si="39"/>
        <v>0</v>
      </c>
      <c r="W82" s="236">
        <f t="shared" si="39"/>
        <v>0</v>
      </c>
      <c r="X82" s="236">
        <f t="shared" si="39"/>
        <v>0</v>
      </c>
      <c r="Y82" s="236">
        <f t="shared" si="39"/>
        <v>0</v>
      </c>
      <c r="Z82" s="236">
        <f t="shared" si="39"/>
        <v>0</v>
      </c>
      <c r="AA82" s="236">
        <f t="shared" si="39"/>
        <v>0</v>
      </c>
      <c r="AB82" s="236">
        <f t="shared" si="39"/>
        <v>0</v>
      </c>
      <c r="AC82" s="236">
        <f t="shared" si="39"/>
        <v>0</v>
      </c>
      <c r="AD82" s="247">
        <f t="shared" si="39"/>
        <v>0</v>
      </c>
      <c r="AF82" s="220"/>
    </row>
    <row r="83" spans="2:34" ht="12" customHeight="1">
      <c r="B83" s="237" t="s">
        <v>1551</v>
      </c>
      <c r="C83" s="238"/>
      <c r="D83" s="238"/>
      <c r="E83" s="239">
        <f>(E76+E79)/E79-1</f>
        <v>-0.33284949068067671</v>
      </c>
      <c r="F83" s="240">
        <f>(F76+F79)/F79-1</f>
        <v>-1.5692234055282999</v>
      </c>
      <c r="G83" s="248"/>
      <c r="H83" s="242">
        <f>(H76+H79)/H79-1</f>
        <v>-1.5889107403413054</v>
      </c>
      <c r="J83" s="241">
        <f t="shared" ref="J83:AD83" si="40">(J76+J79)/J79-1</f>
        <v>-0.1149576220604035</v>
      </c>
      <c r="K83" s="239">
        <f t="shared" si="40"/>
        <v>-3.0866182239084328E-2</v>
      </c>
      <c r="L83" s="239">
        <f t="shared" si="40"/>
        <v>0</v>
      </c>
      <c r="M83" s="239">
        <f t="shared" si="40"/>
        <v>0</v>
      </c>
      <c r="N83" s="239">
        <f t="shared" si="40"/>
        <v>-2.3792214658647892E-2</v>
      </c>
      <c r="O83" s="239">
        <f t="shared" si="40"/>
        <v>-2.4310425432444993E-2</v>
      </c>
      <c r="P83" s="239">
        <f t="shared" si="40"/>
        <v>-5.848033495778715E-2</v>
      </c>
      <c r="Q83" s="239">
        <f t="shared" si="40"/>
        <v>0</v>
      </c>
      <c r="R83" s="239">
        <f t="shared" si="40"/>
        <v>-3.3372731697142499E-2</v>
      </c>
      <c r="S83" s="241">
        <f t="shared" si="40"/>
        <v>0</v>
      </c>
      <c r="T83" s="239">
        <f t="shared" si="40"/>
        <v>0</v>
      </c>
      <c r="U83" s="239">
        <f t="shared" si="40"/>
        <v>-5.2268044229039079E-2</v>
      </c>
      <c r="V83" s="239">
        <f t="shared" si="40"/>
        <v>-3.1787838881068065E-2</v>
      </c>
      <c r="W83" s="239">
        <f t="shared" si="40"/>
        <v>-2.85500327623327E-2</v>
      </c>
      <c r="X83" s="239">
        <f t="shared" si="40"/>
        <v>-3.5321688289724928E-2</v>
      </c>
      <c r="Y83" s="239">
        <f t="shared" si="40"/>
        <v>0</v>
      </c>
      <c r="Z83" s="239">
        <f t="shared" si="40"/>
        <v>-3.4017008504252155E-2</v>
      </c>
      <c r="AA83" s="239">
        <f t="shared" si="40"/>
        <v>0</v>
      </c>
      <c r="AB83" s="239">
        <f t="shared" si="40"/>
        <v>-1.5167785234899329</v>
      </c>
      <c r="AC83" s="239">
        <f t="shared" si="40"/>
        <v>0</v>
      </c>
      <c r="AD83" s="240">
        <f t="shared" si="40"/>
        <v>0</v>
      </c>
      <c r="AF83" s="220"/>
    </row>
    <row r="84" spans="2:34" ht="3.95" customHeight="1">
      <c r="AF84" s="220"/>
    </row>
    <row r="85" spans="2:34" ht="24">
      <c r="B85" s="159" t="s">
        <v>1311</v>
      </c>
      <c r="C85" s="176" t="s">
        <v>1319</v>
      </c>
      <c r="D85" s="176" t="s">
        <v>3</v>
      </c>
      <c r="E85" s="176" t="s">
        <v>4</v>
      </c>
      <c r="F85" s="176" t="s">
        <v>1320</v>
      </c>
      <c r="G85" s="193"/>
      <c r="H85" s="176" t="s">
        <v>1530</v>
      </c>
      <c r="J85" s="192">
        <v>45658</v>
      </c>
      <c r="K85" s="192">
        <f t="shared" ref="K85:P85" si="41">EOMONTH(J85,0)+1</f>
        <v>45689</v>
      </c>
      <c r="L85" s="192">
        <f t="shared" si="41"/>
        <v>45717</v>
      </c>
      <c r="M85" s="192">
        <f t="shared" si="41"/>
        <v>45748</v>
      </c>
      <c r="N85" s="192">
        <f t="shared" si="41"/>
        <v>45778</v>
      </c>
      <c r="O85" s="192">
        <f t="shared" si="41"/>
        <v>45809</v>
      </c>
      <c r="P85" s="192">
        <f t="shared" si="41"/>
        <v>45839</v>
      </c>
      <c r="Q85" s="192">
        <v>45870</v>
      </c>
      <c r="R85" s="192">
        <f t="shared" ref="R85:AD85" si="42">EOMONTH(Q85,0)+1</f>
        <v>45901</v>
      </c>
      <c r="S85" s="192">
        <f t="shared" si="42"/>
        <v>45931</v>
      </c>
      <c r="T85" s="192">
        <f t="shared" si="42"/>
        <v>45962</v>
      </c>
      <c r="U85" s="192">
        <f t="shared" si="42"/>
        <v>45992</v>
      </c>
      <c r="V85" s="192">
        <f t="shared" si="42"/>
        <v>46023</v>
      </c>
      <c r="W85" s="192">
        <f t="shared" si="42"/>
        <v>46054</v>
      </c>
      <c r="X85" s="192">
        <f t="shared" si="42"/>
        <v>46082</v>
      </c>
      <c r="Y85" s="192">
        <f t="shared" si="42"/>
        <v>46113</v>
      </c>
      <c r="Z85" s="192">
        <f t="shared" si="42"/>
        <v>46143</v>
      </c>
      <c r="AA85" s="192">
        <f t="shared" si="42"/>
        <v>46174</v>
      </c>
      <c r="AB85" s="192">
        <f t="shared" si="42"/>
        <v>46204</v>
      </c>
      <c r="AC85" s="192">
        <f t="shared" si="42"/>
        <v>46235</v>
      </c>
      <c r="AD85" s="192">
        <f t="shared" si="42"/>
        <v>46266</v>
      </c>
      <c r="AE85" s="187"/>
      <c r="AF85" s="220" t="s">
        <v>1303</v>
      </c>
      <c r="AG85" s="187"/>
      <c r="AH85" s="187"/>
    </row>
    <row r="86" spans="2:34">
      <c r="B86" s="186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1554</v>
      </c>
      <c r="C87" s="270"/>
      <c r="D87" s="270"/>
      <c r="E87" s="270">
        <f>+E93-E88-E92</f>
        <v>185.42585999999997</v>
      </c>
      <c r="F87" s="270">
        <f>+F93-F88-F92</f>
        <v>8.2199999999999989</v>
      </c>
      <c r="G87" s="270"/>
      <c r="H87" s="270">
        <f>+H93-H88-H92</f>
        <v>141.63135999999997</v>
      </c>
      <c r="I87" s="270"/>
      <c r="J87" s="270">
        <f t="shared" ref="J87:AD87" si="43">+J93-J88-J92</f>
        <v>15.452155000000005</v>
      </c>
      <c r="K87" s="270">
        <f t="shared" si="43"/>
        <v>13.926530000000005</v>
      </c>
      <c r="L87" s="270">
        <f t="shared" si="43"/>
        <v>13.843196666666671</v>
      </c>
      <c r="M87" s="270">
        <f t="shared" si="43"/>
        <v>14.087946666666671</v>
      </c>
      <c r="N87" s="270">
        <f t="shared" si="43"/>
        <v>12.182113333333337</v>
      </c>
      <c r="O87" s="270">
        <f t="shared" si="43"/>
        <v>12.678780000000003</v>
      </c>
      <c r="P87" s="270">
        <f t="shared" si="43"/>
        <v>11.430946666666669</v>
      </c>
      <c r="Q87" s="270">
        <f t="shared" si="43"/>
        <v>11.540946666666668</v>
      </c>
      <c r="R87" s="270">
        <f t="shared" si="43"/>
        <v>11.452613333333336</v>
      </c>
      <c r="S87" s="270">
        <f t="shared" si="43"/>
        <v>11.802613333333335</v>
      </c>
      <c r="T87" s="270">
        <f t="shared" si="43"/>
        <v>11.535113333333335</v>
      </c>
      <c r="U87" s="270">
        <f t="shared" si="43"/>
        <v>5.4959466666666668</v>
      </c>
      <c r="V87" s="270">
        <f t="shared" si="43"/>
        <v>0.68499999999999994</v>
      </c>
      <c r="W87" s="270">
        <f t="shared" si="43"/>
        <v>0.19999999999999996</v>
      </c>
      <c r="X87" s="270">
        <f t="shared" si="43"/>
        <v>0.19999999999999996</v>
      </c>
      <c r="Y87" s="270">
        <f t="shared" si="43"/>
        <v>0.19999999999999996</v>
      </c>
      <c r="Z87" s="270">
        <f t="shared" si="43"/>
        <v>1.7</v>
      </c>
      <c r="AA87" s="270">
        <f t="shared" si="43"/>
        <v>1.5</v>
      </c>
      <c r="AB87" s="270">
        <f t="shared" si="43"/>
        <v>1.5</v>
      </c>
      <c r="AC87" s="270">
        <f t="shared" si="43"/>
        <v>0</v>
      </c>
      <c r="AD87" s="270">
        <f t="shared" si="43"/>
        <v>0</v>
      </c>
    </row>
    <row r="88" spans="2:34">
      <c r="B88" s="191" t="s">
        <v>1317</v>
      </c>
      <c r="C88" s="195"/>
      <c r="D88" s="195"/>
      <c r="E88" s="197">
        <f>SUM(J88:U88)*12</f>
        <v>106.34800000000001</v>
      </c>
      <c r="F88" s="197">
        <f>SUM(V88:AD88)*12</f>
        <v>18</v>
      </c>
      <c r="H88" s="197">
        <f>SUM(S88:AD88)*12</f>
        <v>29.549999999999997</v>
      </c>
      <c r="J88" s="195">
        <f>SUMIFS('Full Customer List'!$G:$G,'Full Customer List'!$I:$I,'Client Retention $'!J$5,'Full Customer List'!$E:$E,$AF85)/1000</f>
        <v>0</v>
      </c>
      <c r="K88" s="195">
        <f>SUMIFS('Full Customer List'!$G:$G,'Full Customer List'!$I:$I,'Client Retention $'!K$5,'Full Customer List'!$E:$E,$AF85)/1000</f>
        <v>0.82666666666666677</v>
      </c>
      <c r="L88" s="195">
        <f>SUMIFS('Full Customer List'!$G:$G,'Full Customer List'!$I:$I,'Client Retention $'!L$5,'Full Customer List'!$E:$E,$AF85)/1000</f>
        <v>1.0149999999999999</v>
      </c>
      <c r="M88" s="195">
        <f>SUMIFS('Full Customer List'!$G:$G,'Full Customer List'!$I:$I,'Client Retention $'!M$5,'Full Customer List'!$E:$E,$AF85)/1000</f>
        <v>0.42749999999999999</v>
      </c>
      <c r="N88" s="195">
        <f>SUMIFS('Full Customer List'!$G:$G,'Full Customer List'!$I:$I,'Client Retention $'!N$5,'Full Customer List'!$E:$E,$AF85)/1000</f>
        <v>0.96666666666666679</v>
      </c>
      <c r="O88" s="195">
        <f>SUMIFS('Full Customer List'!$G:$G,'Full Customer List'!$I:$I,'Client Retention $'!O$5,'Full Customer List'!$E:$E,$AF85)/1000</f>
        <v>1.5740000000000001</v>
      </c>
      <c r="P88" s="195">
        <f>SUMIFS('Full Customer List'!$G:$G,'Full Customer List'!$I:$I,'Client Retention $'!P$5,'Full Customer List'!$E:$E,$AF85)/1000</f>
        <v>0.11</v>
      </c>
      <c r="Q88" s="195">
        <f>SUMIFS('Full Customer List'!$G:$G,'Full Customer List'!$I:$I,'Client Retention $'!Q$5,'Full Customer List'!$E:$E,$AF85)/1000</f>
        <v>0.49</v>
      </c>
      <c r="R88" s="195">
        <f>SUMIFS('Full Customer List'!$G:$G,'Full Customer List'!$I:$I,'Client Retention $'!R$5,'Full Customer List'!$E:$E,$AF85)/1000</f>
        <v>2.4900000000000002</v>
      </c>
      <c r="S88" s="195">
        <f>SUMIFS('Full Customer List'!$G:$G,'Full Customer List'!$I:$I,'Client Retention $'!S$5,'Full Customer List'!$E:$E,$AF85)/1000</f>
        <v>0.36249999999999999</v>
      </c>
      <c r="T88" s="195">
        <f>SUMIFS('Full Customer List'!$G:$G,'Full Customer List'!$I:$I,'Client Retention $'!T$5,'Full Customer List'!$E:$E,$AF85)/1000</f>
        <v>0.4</v>
      </c>
      <c r="U88" s="195">
        <f>SUMIFS('Full Customer List'!$G:$G,'Full Customer List'!$I:$I,'Client Retention $'!U$5,'Full Customer List'!$E:$E,$AF85)/1000</f>
        <v>0.2</v>
      </c>
      <c r="V88" s="195">
        <f>SUMIFS('Full Customer List'!$G:$G,'Full Customer List'!$I:$I,'Client Retention $'!V$5,'Full Customer List'!$E:$E,$AF85)/1000</f>
        <v>0</v>
      </c>
      <c r="W88" s="195">
        <f>SUMIFS('Full Customer List'!$G:$G,'Full Customer List'!$I:$I,'Client Retention $'!W$5,'Full Customer List'!$E:$E,$AF85)/1000</f>
        <v>0</v>
      </c>
      <c r="X88" s="195">
        <f>SUMIFS('Full Customer List'!$G:$G,'Full Customer List'!$I:$I,'Client Retention $'!X$5,'Full Customer List'!$E:$E,$AF85)/1000</f>
        <v>0</v>
      </c>
      <c r="Y88" s="195">
        <f>SUMIFS('Full Customer List'!$G:$G,'Full Customer List'!$I:$I,'Client Retention $'!Y$5,'Full Customer List'!$E:$E,$AF85)/1000</f>
        <v>1.5</v>
      </c>
      <c r="Z88" s="195">
        <f>SUMIFS('Full Customer List'!$G:$G,'Full Customer List'!$I:$I,'Client Retention $'!Z$5,'Full Customer List'!$E:$E,$AF85)/1000</f>
        <v>0</v>
      </c>
      <c r="AA88" s="195">
        <f>SUMIFS('Full Customer List'!$G:$G,'Full Customer List'!$I:$I,'Client Retention $'!AA$5,'Full Customer List'!$E:$E,$AF85)/1000</f>
        <v>0</v>
      </c>
      <c r="AB88" s="195">
        <f>SUMIFS('Full Customer List'!$G:$G,'Full Customer List'!$I:$I,'Client Retention $'!AB$5,'Full Customer List'!$E:$E,$AF85)/1000</f>
        <v>0</v>
      </c>
      <c r="AC88" s="195">
        <f>SUMIFS('Full Customer List'!$G:$G,'Full Customer List'!$I:$I,'Client Retention $'!AC$5,'Full Customer List'!$E:$E,$AF85)/1000</f>
        <v>0</v>
      </c>
      <c r="AD88" s="195">
        <f>SUMIFS('Full Customer List'!$G:$G,'Full Customer List'!$I:$I,'Client Retention $'!AD$5,'Full Customer List'!$E:$E,$AF85)/1000</f>
        <v>0</v>
      </c>
    </row>
    <row r="89" spans="2:34">
      <c r="B89" s="265" t="s">
        <v>1531</v>
      </c>
      <c r="E89" s="197">
        <f>SUM(J89:U89)*12</f>
        <v>-174.39336000000003</v>
      </c>
      <c r="F89" s="197">
        <f>SUM(V89:AD89)*12</f>
        <v>-3.7199999999999998</v>
      </c>
      <c r="H89" s="197">
        <f>SUM(S89:AD89)*12</f>
        <v>-83.651360000000011</v>
      </c>
      <c r="J89" s="195">
        <f>-SUMIFS('Full Customer List'!$G:$G,'Full Customer List'!$J:$J,J$1,'Full Customer List'!$E:$E,$AF85,'Full Customer List'!$H:$H,'Client Retention $'!$AF89)/1000</f>
        <v>0</v>
      </c>
      <c r="K89" s="195">
        <f>-SUMIFS('Full Customer List'!$G:$G,'Full Customer List'!$J:$J,K$1,'Full Customer List'!$E:$E,$AF85,'Full Customer List'!$H:$H,'Client Retention $'!$AF89)/1000</f>
        <v>-0.82499999999999996</v>
      </c>
      <c r="L89" s="195">
        <f>-SUMIFS('Full Customer List'!$G:$G,'Full Customer List'!$J:$J,L$1,'Full Customer List'!$E:$E,$AF85,'Full Customer List'!$H:$H,'Client Retention $'!$AF89)/1000</f>
        <v>-0.39500000000000002</v>
      </c>
      <c r="M89" s="195">
        <f>-SUMIFS('Full Customer List'!$G:$G,'Full Customer List'!$J:$J,M$1,'Full Customer List'!$E:$E,$AF85,'Full Customer List'!$H:$H,'Client Retention $'!$AF89)/1000</f>
        <v>-1.9383333333333332</v>
      </c>
      <c r="N89" s="195">
        <f>-SUMIFS('Full Customer List'!$G:$G,'Full Customer List'!$J:$J,N$1,'Full Customer List'!$E:$E,$AF85,'Full Customer List'!$H:$H,'Client Retention $'!$AF89)/1000</f>
        <v>0</v>
      </c>
      <c r="O89" s="195">
        <f>-SUMIFS('Full Customer List'!$G:$G,'Full Customer List'!$J:$J,O$1,'Full Customer List'!$E:$E,$AF85,'Full Customer List'!$H:$H,'Client Retention $'!$AF89)/1000</f>
        <v>-2.4851666666666663</v>
      </c>
      <c r="P89" s="195">
        <f>-SUMIFS('Full Customer List'!$G:$G,'Full Customer List'!$J:$J,P$1,'Full Customer List'!$E:$E,$AF85,'Full Customer List'!$H:$H,'Client Retention $'!$AF89)/1000</f>
        <v>0</v>
      </c>
      <c r="Q89" s="195">
        <f>-SUMIFS('Full Customer List'!$G:$G,'Full Customer List'!$J:$J,Q$1,'Full Customer List'!$E:$E,$AF85,'Full Customer List'!$H:$H,'Client Retention $'!$AF89)/1000</f>
        <v>-0.57833333333333337</v>
      </c>
      <c r="R89" s="195">
        <f>-SUMIFS('Full Customer List'!$G:$G,'Full Customer List'!$J:$J,R$1,'Full Customer List'!$E:$E,$AF85,'Full Customer List'!$H:$H,'Client Retention $'!$AF89)/1000</f>
        <v>-1.65</v>
      </c>
      <c r="S89" s="195">
        <f>-SUMIFS('Full Customer List'!$G:$G,'Full Customer List'!$J:$J,S$1,'Full Customer List'!$E:$E,$AF85,'Full Customer List'!$H:$H,'Client Retention $'!$AF89)/1000</f>
        <v>-0.63</v>
      </c>
      <c r="T89" s="195">
        <f>-SUMIFS('Full Customer List'!$G:$G,'Full Customer List'!$J:$J,T$1,'Full Customer List'!$E:$E,$AF85,'Full Customer List'!$H:$H,'Client Retention $'!$AF89)/1000</f>
        <v>-2.1783333333333337</v>
      </c>
      <c r="U89" s="195">
        <f>-SUMIFS('Full Customer List'!$G:$G,'Full Customer List'!$J:$J,U$1,'Full Customer List'!$E:$E,$AF85,'Full Customer List'!$H:$H,'Client Retention $'!$AF89)/1000</f>
        <v>-3.8526133333333332</v>
      </c>
      <c r="V89" s="195">
        <f>-SUMIFS('Full Customer List'!$G:$G,'Full Customer List'!$J:$J,V$1,'Full Customer List'!$E:$E,$AF85,'Full Customer List'!$H:$H,'Client Retention $'!$AF89)/1000</f>
        <v>-0.11</v>
      </c>
      <c r="W89" s="195">
        <f>-SUMIFS('Full Customer List'!$G:$G,'Full Customer List'!$J:$J,W$1,'Full Customer List'!$E:$E,$AF85,'Full Customer List'!$H:$H,'Client Retention $'!$AF89)/1000</f>
        <v>0</v>
      </c>
      <c r="X89" s="195">
        <f>-SUMIFS('Full Customer List'!$G:$G,'Full Customer List'!$J:$J,X$1,'Full Customer List'!$E:$E,$AF85,'Full Customer List'!$H:$H,'Client Retention $'!$AF89)/1000</f>
        <v>0</v>
      </c>
      <c r="Y89" s="195">
        <f>-SUMIFS('Full Customer List'!$G:$G,'Full Customer List'!$J:$J,Y$1,'Full Customer List'!$E:$E,$AF85,'Full Customer List'!$H:$H,'Client Retention $'!$AF89)/1000</f>
        <v>0</v>
      </c>
      <c r="Z89" s="195">
        <f>-SUMIFS('Full Customer List'!$G:$G,'Full Customer List'!$J:$J,Z$1,'Full Customer List'!$E:$E,$AF85,'Full Customer List'!$H:$H,'Client Retention $'!$AF89)/1000</f>
        <v>-0.2</v>
      </c>
      <c r="AA89" s="195">
        <f>-SUMIFS('Full Customer List'!$G:$G,'Full Customer List'!$J:$J,AA$1,'Full Customer List'!$E:$E,$AF85,'Full Customer List'!$H:$H,'Client Retention $'!$AF89)/1000</f>
        <v>0</v>
      </c>
      <c r="AB89" s="195">
        <f>-SUMIFS('Full Customer List'!$G:$G,'Full Customer List'!$J:$J,AB$1,'Full Customer List'!$E:$E,$AF85,'Full Customer List'!$H:$H,'Client Retention $'!$AF89)/1000</f>
        <v>0</v>
      </c>
      <c r="AC89" s="195">
        <f>-SUMIFS('Full Customer List'!$G:$G,'Full Customer List'!$J:$J,AC$1,'Full Customer List'!$E:$E,$AF85,'Full Customer List'!$H:$H,'Client Retention $'!$AF89)/1000</f>
        <v>0</v>
      </c>
      <c r="AD89" s="195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5" t="s">
        <v>1532</v>
      </c>
      <c r="E90" s="197">
        <f>SUM(J90:U90)*12</f>
        <v>-109.16050000000003</v>
      </c>
      <c r="F90" s="197">
        <f>SUM(V90:AD90)*12</f>
        <v>-22.5</v>
      </c>
      <c r="H90" s="197">
        <f>SUM(S90:AD90)*12</f>
        <v>-87.53</v>
      </c>
      <c r="J90" s="195">
        <f>-SUMIFS('Full Customer List'!$G:$G,'Full Customer List'!$J:$J,J$1,'Full Customer List'!$E:$E,$AF85,'Full Customer List'!$H:$H,'Client Retention $'!$AF90)/1000</f>
        <v>-1.525625</v>
      </c>
      <c r="K90" s="195">
        <f>-SUMIFS('Full Customer List'!$G:$G,'Full Customer List'!$J:$J,K$1,'Full Customer List'!$E:$E,$AF85,'Full Customer List'!$H:$H,'Client Retention $'!$AF90)/1000</f>
        <v>-8.5000000000000006E-2</v>
      </c>
      <c r="L90" s="195">
        <f>-SUMIFS('Full Customer List'!$G:$G,'Full Customer List'!$J:$J,L$1,'Full Customer List'!$E:$E,$AF85,'Full Customer List'!$H:$H,'Client Retention $'!$AF90)/1000</f>
        <v>-0.37524999999999997</v>
      </c>
      <c r="M90" s="195">
        <f>-SUMIFS('Full Customer List'!$G:$G,'Full Customer List'!$J:$J,M$1,'Full Customer List'!$E:$E,$AF85,'Full Customer List'!$H:$H,'Client Retention $'!$AF90)/1000</f>
        <v>-0.39500000000000002</v>
      </c>
      <c r="N90" s="195">
        <f>-SUMIFS('Full Customer List'!$G:$G,'Full Customer List'!$J:$J,N$1,'Full Customer List'!$E:$E,$AF85,'Full Customer List'!$H:$H,'Client Retention $'!$AF90)/1000</f>
        <v>-0.47</v>
      </c>
      <c r="O90" s="195">
        <f>-SUMIFS('Full Customer List'!$G:$G,'Full Customer List'!$J:$J,O$1,'Full Customer List'!$E:$E,$AF85,'Full Customer List'!$H:$H,'Client Retention $'!$AF90)/1000</f>
        <v>-0.33666666666666667</v>
      </c>
      <c r="P90" s="195">
        <f>-SUMIFS('Full Customer List'!$G:$G,'Full Customer List'!$J:$J,P$1,'Full Customer List'!$E:$E,$AF85,'Full Customer List'!$H:$H,'Client Retention $'!$AF90)/1000</f>
        <v>0</v>
      </c>
      <c r="Q90" s="195">
        <f>-SUMIFS('Full Customer List'!$G:$G,'Full Customer List'!$J:$J,Q$1,'Full Customer List'!$E:$E,$AF85,'Full Customer List'!$H:$H,'Client Retention $'!$AF90)/1000</f>
        <v>0</v>
      </c>
      <c r="R90" s="195">
        <f>-SUMIFS('Full Customer List'!$G:$G,'Full Customer List'!$J:$J,R$1,'Full Customer List'!$E:$E,$AF85,'Full Customer List'!$H:$H,'Client Retention $'!$AF90)/1000</f>
        <v>-0.49</v>
      </c>
      <c r="S90" s="195">
        <f>-SUMIFS('Full Customer List'!$G:$G,'Full Customer List'!$J:$J,S$1,'Full Customer List'!$E:$E,$AF85,'Full Customer List'!$H:$H,'Client Retention $'!$AF90)/1000</f>
        <v>0</v>
      </c>
      <c r="T90" s="195">
        <f>-SUMIFS('Full Customer List'!$G:$G,'Full Customer List'!$J:$J,T$1,'Full Customer List'!$E:$E,$AF85,'Full Customer List'!$H:$H,'Client Retention $'!$AF90)/1000</f>
        <v>-4.2608333333333341</v>
      </c>
      <c r="U90" s="195">
        <f>-SUMIFS('Full Customer List'!$G:$G,'Full Customer List'!$J:$J,U$1,'Full Customer List'!$E:$E,$AF85,'Full Customer List'!$H:$H,'Client Retention $'!$AF90)/1000</f>
        <v>-1.1583333333333334</v>
      </c>
      <c r="V90" s="195">
        <f>-SUMIFS('Full Customer List'!$G:$G,'Full Customer List'!$J:$J,V$1,'Full Customer List'!$E:$E,$AF85,'Full Customer List'!$H:$H,'Client Retention $'!$AF90)/1000</f>
        <v>-0.375</v>
      </c>
      <c r="W90" s="195">
        <f>-SUMIFS('Full Customer List'!$G:$G,'Full Customer List'!$J:$J,W$1,'Full Customer List'!$E:$E,$AF85,'Full Customer List'!$H:$H,'Client Retention $'!$AF90)/1000</f>
        <v>0</v>
      </c>
      <c r="X90" s="195">
        <f>-SUMIFS('Full Customer List'!$G:$G,'Full Customer List'!$J:$J,X$1,'Full Customer List'!$E:$E,$AF85,'Full Customer List'!$H:$H,'Client Retention $'!$AF90)/1000</f>
        <v>0</v>
      </c>
      <c r="Y90" s="195">
        <f>-SUMIFS('Full Customer List'!$G:$G,'Full Customer List'!$J:$J,Y$1,'Full Customer List'!$E:$E,$AF85,'Full Customer List'!$H:$H,'Client Retention $'!$AF90)/1000</f>
        <v>0</v>
      </c>
      <c r="Z90" s="195">
        <f>-SUMIFS('Full Customer List'!$G:$G,'Full Customer List'!$J:$J,Z$1,'Full Customer List'!$E:$E,$AF85,'Full Customer List'!$H:$H,'Client Retention $'!$AF90)/1000</f>
        <v>0</v>
      </c>
      <c r="AA90" s="195">
        <f>-SUMIFS('Full Customer List'!$G:$G,'Full Customer List'!$J:$J,AA$1,'Full Customer List'!$E:$E,$AF85,'Full Customer List'!$H:$H,'Client Retention $'!$AF90)/1000</f>
        <v>0</v>
      </c>
      <c r="AB90" s="195">
        <f>-SUMIFS('Full Customer List'!$G:$G,'Full Customer List'!$J:$J,AB$1,'Full Customer List'!$E:$E,$AF85,'Full Customer List'!$H:$H,'Client Retention $'!$AF90)/1000</f>
        <v>-1.5</v>
      </c>
      <c r="AC90" s="195">
        <f>-SUMIFS('Full Customer List'!$G:$G,'Full Customer List'!$J:$J,AC$1,'Full Customer List'!$E:$E,$AF85,'Full Customer List'!$H:$H,'Client Retention $'!$AF90)/1000</f>
        <v>0</v>
      </c>
      <c r="AD90" s="195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5" t="s">
        <v>1533</v>
      </c>
      <c r="E91" s="197">
        <f>SUM(J91:U91)*12</f>
        <v>0</v>
      </c>
      <c r="F91" s="197">
        <f>SUM(V91:AD91)*12</f>
        <v>0</v>
      </c>
      <c r="H91" s="197">
        <f>SUM(S91:AD91)*12</f>
        <v>0</v>
      </c>
      <c r="J91" s="195">
        <f>-SUMIFS('Full Customer List'!$G:$G,'Full Customer List'!$J:$J,J$1,'Full Customer List'!$E:$E,$AF85,'Full Customer List'!$H:$H,'Client Retention $'!$AF91)/1000</f>
        <v>0</v>
      </c>
      <c r="K91" s="195">
        <f>-SUMIFS('Full Customer List'!$G:$G,'Full Customer List'!$J:$J,K$1,'Full Customer List'!$E:$E,$AF85,'Full Customer List'!$H:$H,'Client Retention $'!$AF91)/1000</f>
        <v>0</v>
      </c>
      <c r="L91" s="195">
        <f>-SUMIFS('Full Customer List'!$G:$G,'Full Customer List'!$J:$J,L$1,'Full Customer List'!$E:$E,$AF85,'Full Customer List'!$H:$H,'Client Retention $'!$AF91)/1000</f>
        <v>0</v>
      </c>
      <c r="M91" s="195">
        <f>-SUMIFS('Full Customer List'!$G:$G,'Full Customer List'!$J:$J,M$1,'Full Customer List'!$E:$E,$AF85,'Full Customer List'!$H:$H,'Client Retention $'!$AF91)/1000</f>
        <v>0</v>
      </c>
      <c r="N91" s="195">
        <f>-SUMIFS('Full Customer List'!$G:$G,'Full Customer List'!$J:$J,N$1,'Full Customer List'!$E:$E,$AF85,'Full Customer List'!$H:$H,'Client Retention $'!$AF91)/1000</f>
        <v>0</v>
      </c>
      <c r="O91" s="195">
        <f>-SUMIFS('Full Customer List'!$G:$G,'Full Customer List'!$J:$J,O$1,'Full Customer List'!$E:$E,$AF85,'Full Customer List'!$H:$H,'Client Retention $'!$AF91)/1000</f>
        <v>0</v>
      </c>
      <c r="P91" s="195">
        <f>-SUMIFS('Full Customer List'!$G:$G,'Full Customer List'!$J:$J,P$1,'Full Customer List'!$E:$E,$AF85,'Full Customer List'!$H:$H,'Client Retention $'!$AF91)/1000</f>
        <v>0</v>
      </c>
      <c r="Q91" s="195">
        <f>-SUMIFS('Full Customer List'!$G:$G,'Full Customer List'!$J:$J,Q$1,'Full Customer List'!$E:$E,$AF85,'Full Customer List'!$H:$H,'Client Retention $'!$AF91)/1000</f>
        <v>0</v>
      </c>
      <c r="R91" s="195">
        <f>-SUMIFS('Full Customer List'!$G:$G,'Full Customer List'!$J:$J,R$1,'Full Customer List'!$E:$E,$AF85,'Full Customer List'!$H:$H,'Client Retention $'!$AF91)/1000</f>
        <v>0</v>
      </c>
      <c r="S91" s="195">
        <f>-SUMIFS('Full Customer List'!$G:$G,'Full Customer List'!$J:$J,S$1,'Full Customer List'!$E:$E,$AF85,'Full Customer List'!$H:$H,'Client Retention $'!$AF91)/1000</f>
        <v>0</v>
      </c>
      <c r="T91" s="195">
        <f>-SUMIFS('Full Customer List'!$G:$G,'Full Customer List'!$J:$J,T$1,'Full Customer List'!$E:$E,$AF85,'Full Customer List'!$H:$H,'Client Retention $'!$AF91)/1000</f>
        <v>0</v>
      </c>
      <c r="U91" s="195">
        <f>-SUMIFS('Full Customer List'!$G:$G,'Full Customer List'!$J:$J,U$1,'Full Customer List'!$E:$E,$AF85,'Full Customer List'!$H:$H,'Client Retention $'!$AF91)/1000</f>
        <v>0</v>
      </c>
      <c r="V91" s="195">
        <f>-SUMIFS('Full Customer List'!$G:$G,'Full Customer List'!$J:$J,V$1,'Full Customer List'!$E:$E,$AF85,'Full Customer List'!$H:$H,'Client Retention $'!$AF91)/1000</f>
        <v>0</v>
      </c>
      <c r="W91" s="195">
        <f>-SUMIFS('Full Customer List'!$G:$G,'Full Customer List'!$J:$J,W$1,'Full Customer List'!$E:$E,$AF85,'Full Customer List'!$H:$H,'Client Retention $'!$AF91)/1000</f>
        <v>0</v>
      </c>
      <c r="X91" s="195">
        <f>-SUMIFS('Full Customer List'!$G:$G,'Full Customer List'!$J:$J,X$1,'Full Customer List'!$E:$E,$AF85,'Full Customer List'!$H:$H,'Client Retention $'!$AF91)/1000</f>
        <v>0</v>
      </c>
      <c r="Y91" s="195">
        <f>-SUMIFS('Full Customer List'!$G:$G,'Full Customer List'!$J:$J,Y$1,'Full Customer List'!$E:$E,$AF85,'Full Customer List'!$H:$H,'Client Retention $'!$AF91)/1000</f>
        <v>0</v>
      </c>
      <c r="Z91" s="195">
        <f>-SUMIFS('Full Customer List'!$G:$G,'Full Customer List'!$J:$J,Z$1,'Full Customer List'!$E:$E,$AF85,'Full Customer List'!$H:$H,'Client Retention $'!$AF91)/1000</f>
        <v>0</v>
      </c>
      <c r="AA91" s="195">
        <f>-SUMIFS('Full Customer List'!$G:$G,'Full Customer List'!$J:$J,AA$1,'Full Customer List'!$E:$E,$AF85,'Full Customer List'!$H:$H,'Client Retention $'!$AF91)/1000</f>
        <v>0</v>
      </c>
      <c r="AB91" s="195">
        <f>-SUMIFS('Full Customer List'!$G:$G,'Full Customer List'!$J:$J,AB$1,'Full Customer List'!$E:$E,$AF85,'Full Customer List'!$H:$H,'Client Retention $'!$AF91)/1000</f>
        <v>0</v>
      </c>
      <c r="AC91" s="195">
        <f>-SUMIFS('Full Customer List'!$G:$G,'Full Customer List'!$J:$J,AC$1,'Full Customer List'!$E:$E,$AF85,'Full Customer List'!$H:$H,'Client Retention $'!$AF91)/1000</f>
        <v>0</v>
      </c>
      <c r="AD91" s="195">
        <f>-SUMIFS('Full Customer List'!$G:$G,'Full Customer List'!$J:$J,AD$1,'Full Customer List'!$E:$E,$AF85,'Full Customer List'!$H:$H,'Client Retention $'!$AF91)/1000</f>
        <v>0</v>
      </c>
      <c r="AF91" s="173" t="s">
        <v>1534</v>
      </c>
    </row>
    <row r="92" spans="2:34" ht="12" customHeight="1">
      <c r="B92" s="255" t="s">
        <v>1535</v>
      </c>
      <c r="C92" s="258"/>
      <c r="D92" s="258"/>
      <c r="E92" s="256">
        <f>SUM(J92:U92)*12</f>
        <v>-283.55385999999999</v>
      </c>
      <c r="F92" s="256">
        <f>SUM(V92:AD92)*12</f>
        <v>-26.22</v>
      </c>
      <c r="G92" s="257"/>
      <c r="H92" s="256">
        <f>SUM(S92:AD92)*12</f>
        <v>-171.18135999999998</v>
      </c>
      <c r="I92" s="257"/>
      <c r="J92" s="258">
        <f>-SUMIFS('Full Customer List'!$G:$G,'Full Customer List'!$J:$J,J$1,'Full Customer List'!$E:$E,$AF85)/1000</f>
        <v>-1.525625</v>
      </c>
      <c r="K92" s="258">
        <f>-SUMIFS('Full Customer List'!$G:$G,'Full Customer List'!$J:$J,K$1,'Full Customer List'!$E:$E,$AF85)/1000</f>
        <v>-0.91</v>
      </c>
      <c r="L92" s="258">
        <f>-SUMIFS('Full Customer List'!$G:$G,'Full Customer List'!$J:$J,L$1,'Full Customer List'!$E:$E,$AF85)/1000</f>
        <v>-0.77024999999999999</v>
      </c>
      <c r="M92" s="258">
        <f>-SUMIFS('Full Customer List'!$G:$G,'Full Customer List'!$J:$J,M$1,'Full Customer List'!$E:$E,$AF85)/1000</f>
        <v>-2.333333333333333</v>
      </c>
      <c r="N92" s="258">
        <f>-SUMIFS('Full Customer List'!$G:$G,'Full Customer List'!$J:$J,N$1,'Full Customer List'!$E:$E,$AF85)/1000</f>
        <v>-0.47</v>
      </c>
      <c r="O92" s="258">
        <f>-SUMIFS('Full Customer List'!$G:$G,'Full Customer List'!$J:$J,O$1,'Full Customer List'!$E:$E,$AF85)/1000</f>
        <v>-2.8218333333333336</v>
      </c>
      <c r="P92" s="258">
        <f>-SUMIFS('Full Customer List'!$G:$G,'Full Customer List'!$J:$J,P$1,'Full Customer List'!$E:$E,$AF85)/1000</f>
        <v>0</v>
      </c>
      <c r="Q92" s="258">
        <f>-SUMIFS('Full Customer List'!$G:$G,'Full Customer List'!$J:$J,Q$1,'Full Customer List'!$E:$E,$AF85)/1000</f>
        <v>-0.57833333333333337</v>
      </c>
      <c r="R92" s="258">
        <f>-SUMIFS('Full Customer List'!$G:$G,'Full Customer List'!$J:$J,R$1,'Full Customer List'!$E:$E,$AF85)/1000</f>
        <v>-2.14</v>
      </c>
      <c r="S92" s="258">
        <f>-SUMIFS('Full Customer List'!$G:$G,'Full Customer List'!$J:$J,S$1,'Full Customer List'!$E:$E,$AF85)/1000</f>
        <v>-0.63</v>
      </c>
      <c r="T92" s="258">
        <f>-SUMIFS('Full Customer List'!$G:$G,'Full Customer List'!$J:$J,T$1,'Full Customer List'!$E:$E,$AF85)/1000</f>
        <v>-6.4391666666666678</v>
      </c>
      <c r="U92" s="258">
        <f>-SUMIFS('Full Customer List'!$G:$G,'Full Customer List'!$J:$J,U$1,'Full Customer List'!$E:$E,$AF85)/1000</f>
        <v>-5.0109466666666664</v>
      </c>
      <c r="V92" s="258">
        <f>-SUMIFS('Full Customer List'!$G:$G,'Full Customer List'!$J:$J,V$1,'Full Customer List'!$E:$E,$AF85)/1000</f>
        <v>-0.48499999999999999</v>
      </c>
      <c r="W92" s="258">
        <f>-SUMIFS('Full Customer List'!$G:$G,'Full Customer List'!$J:$J,W$1,'Full Customer List'!$E:$E,$AF85)/1000</f>
        <v>0</v>
      </c>
      <c r="X92" s="258">
        <f>-SUMIFS('Full Customer List'!$G:$G,'Full Customer List'!$J:$J,X$1,'Full Customer List'!$E:$E,$AF85)/1000</f>
        <v>0</v>
      </c>
      <c r="Y92" s="258">
        <f>-SUMIFS('Full Customer List'!$G:$G,'Full Customer List'!$J:$J,Y$1,'Full Customer List'!$E:$E,$AF85)/1000</f>
        <v>0</v>
      </c>
      <c r="Z92" s="258">
        <f>-SUMIFS('Full Customer List'!$G:$G,'Full Customer List'!$J:$J,Z$1,'Full Customer List'!$E:$E,$AF85)/1000</f>
        <v>-0.2</v>
      </c>
      <c r="AA92" s="258">
        <f>-SUMIFS('Full Customer List'!$G:$G,'Full Customer List'!$J:$J,AA$1,'Full Customer List'!$E:$E,$AF85)/1000</f>
        <v>0</v>
      </c>
      <c r="AB92" s="258">
        <f>-SUMIFS('Full Customer List'!$G:$G,'Full Customer List'!$J:$J,AB$1,'Full Customer List'!$E:$E,$AF85)/1000</f>
        <v>-1.5</v>
      </c>
      <c r="AC92" s="258">
        <f>-SUMIFS('Full Customer List'!$G:$G,'Full Customer List'!$J:$J,AC$1,'Full Customer List'!$E:$E,$AF85)/1000</f>
        <v>0</v>
      </c>
      <c r="AD92" s="258">
        <f>-SUMIFS('Full Customer List'!$G:$G,'Full Customer List'!$J:$J,AD$1,'Full Customer List'!$E:$E,$AF85)/1000</f>
        <v>0</v>
      </c>
    </row>
    <row r="93" spans="2:34" ht="12" customHeight="1">
      <c r="B93" s="259" t="s">
        <v>1553</v>
      </c>
      <c r="C93" s="271"/>
      <c r="D93" s="271"/>
      <c r="E93" s="271">
        <f>+F87</f>
        <v>8.2199999999999989</v>
      </c>
      <c r="F93" s="272">
        <f>+$AD93*12</f>
        <v>0</v>
      </c>
      <c r="G93" s="270"/>
      <c r="H93" s="273">
        <f>+$AD93*12</f>
        <v>0</v>
      </c>
      <c r="I93" s="270"/>
      <c r="J93" s="274">
        <f t="shared" ref="J93:AC93" si="44">+K87</f>
        <v>13.926530000000005</v>
      </c>
      <c r="K93" s="271">
        <f t="shared" si="44"/>
        <v>13.843196666666671</v>
      </c>
      <c r="L93" s="271">
        <f t="shared" si="44"/>
        <v>14.087946666666671</v>
      </c>
      <c r="M93" s="271">
        <f t="shared" si="44"/>
        <v>12.182113333333337</v>
      </c>
      <c r="N93" s="271">
        <f t="shared" si="44"/>
        <v>12.678780000000003</v>
      </c>
      <c r="O93" s="271">
        <f t="shared" si="44"/>
        <v>11.430946666666669</v>
      </c>
      <c r="P93" s="271">
        <f t="shared" si="44"/>
        <v>11.540946666666668</v>
      </c>
      <c r="Q93" s="271">
        <f t="shared" si="44"/>
        <v>11.452613333333336</v>
      </c>
      <c r="R93" s="271">
        <f t="shared" si="44"/>
        <v>11.802613333333335</v>
      </c>
      <c r="S93" s="274">
        <f t="shared" si="44"/>
        <v>11.535113333333335</v>
      </c>
      <c r="T93" s="271">
        <f t="shared" si="44"/>
        <v>5.4959466666666668</v>
      </c>
      <c r="U93" s="271">
        <f t="shared" si="44"/>
        <v>0.68499999999999994</v>
      </c>
      <c r="V93" s="271">
        <f t="shared" si="44"/>
        <v>0.19999999999999996</v>
      </c>
      <c r="W93" s="271">
        <f t="shared" si="44"/>
        <v>0.19999999999999996</v>
      </c>
      <c r="X93" s="271">
        <f t="shared" si="44"/>
        <v>0.19999999999999996</v>
      </c>
      <c r="Y93" s="271">
        <f t="shared" si="44"/>
        <v>1.7</v>
      </c>
      <c r="Z93" s="271">
        <f t="shared" si="44"/>
        <v>1.5</v>
      </c>
      <c r="AA93" s="271">
        <f t="shared" si="44"/>
        <v>1.5</v>
      </c>
      <c r="AB93" s="271">
        <f t="shared" si="44"/>
        <v>0</v>
      </c>
      <c r="AC93" s="271">
        <f t="shared" si="44"/>
        <v>0</v>
      </c>
      <c r="AD93" s="272">
        <f>SUMIFS('Full Customer List'!$G:$G,'Full Customer List'!$C:$C,"Active",'Full Customer List'!$E:$E,'Client Retention $'!$AF85)/1000</f>
        <v>0</v>
      </c>
    </row>
    <row r="94" spans="2:34" ht="3.95" customHeight="1">
      <c r="B94" s="180"/>
      <c r="C94" s="232"/>
      <c r="D94" s="232"/>
      <c r="E94" s="232"/>
      <c r="F94" s="232"/>
      <c r="H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3"/>
      <c r="AC94" s="233"/>
      <c r="AD94" s="233"/>
    </row>
    <row r="95" spans="2:34">
      <c r="B95" s="234" t="s">
        <v>1855</v>
      </c>
      <c r="C95" s="341"/>
      <c r="D95" s="341"/>
      <c r="E95" s="341">
        <f>AVERAGE(E87,E93)</f>
        <v>96.822929999999985</v>
      </c>
      <c r="F95" s="342">
        <f>AVERAGE(F87,F93)</f>
        <v>4.1099999999999994</v>
      </c>
      <c r="G95" s="270"/>
      <c r="H95" s="345">
        <f>AVERAGE(H87,H93)</f>
        <v>70.815679999999986</v>
      </c>
      <c r="I95" s="270"/>
      <c r="J95" s="347">
        <f t="shared" ref="J95:AD95" si="45">AVERAGE(J87,J93)</f>
        <v>14.689342500000006</v>
      </c>
      <c r="K95" s="341">
        <f t="shared" si="45"/>
        <v>13.884863333333339</v>
      </c>
      <c r="L95" s="341">
        <f t="shared" si="45"/>
        <v>13.965571666666671</v>
      </c>
      <c r="M95" s="341">
        <f t="shared" si="45"/>
        <v>13.135030000000004</v>
      </c>
      <c r="N95" s="341">
        <f t="shared" si="45"/>
        <v>12.43044666666667</v>
      </c>
      <c r="O95" s="341">
        <f t="shared" si="45"/>
        <v>12.054863333333337</v>
      </c>
      <c r="P95" s="341">
        <f t="shared" si="45"/>
        <v>11.485946666666669</v>
      </c>
      <c r="Q95" s="341">
        <f t="shared" si="45"/>
        <v>11.496780000000001</v>
      </c>
      <c r="R95" s="341">
        <f t="shared" si="45"/>
        <v>11.627613333333336</v>
      </c>
      <c r="S95" s="347">
        <f t="shared" si="45"/>
        <v>11.668863333333334</v>
      </c>
      <c r="T95" s="341">
        <f t="shared" si="45"/>
        <v>8.5155300000000018</v>
      </c>
      <c r="U95" s="341">
        <f t="shared" si="45"/>
        <v>3.0904733333333332</v>
      </c>
      <c r="V95" s="341">
        <f t="shared" si="45"/>
        <v>0.44249999999999995</v>
      </c>
      <c r="W95" s="341">
        <f t="shared" si="45"/>
        <v>0.19999999999999996</v>
      </c>
      <c r="X95" s="341">
        <f t="shared" si="45"/>
        <v>0.19999999999999996</v>
      </c>
      <c r="Y95" s="341">
        <f t="shared" si="45"/>
        <v>0.95</v>
      </c>
      <c r="Z95" s="341">
        <f t="shared" si="45"/>
        <v>1.6</v>
      </c>
      <c r="AA95" s="341">
        <f t="shared" si="45"/>
        <v>1.5</v>
      </c>
      <c r="AB95" s="341">
        <f t="shared" si="45"/>
        <v>0.75</v>
      </c>
      <c r="AC95" s="341">
        <f t="shared" si="45"/>
        <v>0</v>
      </c>
      <c r="AD95" s="342">
        <f t="shared" si="45"/>
        <v>0</v>
      </c>
    </row>
    <row r="96" spans="2:34">
      <c r="B96" s="237" t="s">
        <v>1856</v>
      </c>
      <c r="C96" s="343"/>
      <c r="D96" s="343"/>
      <c r="E96" s="343">
        <f>IFERROR(E95/'Client Retention'!E90,"")</f>
        <v>5.868056363636363</v>
      </c>
      <c r="F96" s="344">
        <f>IFERROR(F95/'Client Retention'!F90,"")</f>
        <v>2.7399999999999998</v>
      </c>
      <c r="G96" s="270"/>
      <c r="H96" s="346">
        <f>IFERROR(H95/'Client Retention'!H90,"")</f>
        <v>8.331256470588233</v>
      </c>
      <c r="I96" s="270"/>
      <c r="J96" s="348">
        <f>IFERROR(J95/'Client Retention'!J90*12,"")</f>
        <v>6.2954325000000022</v>
      </c>
      <c r="K96" s="343">
        <f>IFERROR(K95/'Client Retention'!K90*12,"")</f>
        <v>6.4083984615384635</v>
      </c>
      <c r="L96" s="343">
        <f>IFERROR(L95/'Client Retention'!L90*12,"")</f>
        <v>6.4456484615384637</v>
      </c>
      <c r="M96" s="343">
        <f>IFERROR(M95/'Client Retention'!M90*12,"")</f>
        <v>6.4334840816326553</v>
      </c>
      <c r="N96" s="343">
        <f>IFERROR(N95/'Client Retention'!N90*12,"")</f>
        <v>6.4854504347826101</v>
      </c>
      <c r="O96" s="343">
        <f>IFERROR(O95/'Client Retention'!O90*12,"")</f>
        <v>7.0565053658536598</v>
      </c>
      <c r="P96" s="343">
        <f>IFERROR(P95/'Client Retention'!P90*12,"")</f>
        <v>7.4503437837837847</v>
      </c>
      <c r="Q96" s="343">
        <f>IFERROR(Q95/'Client Retention'!Q90*12,"")</f>
        <v>7.4573708108108114</v>
      </c>
      <c r="R96" s="343">
        <f>IFERROR(R95/'Client Retention'!R90*12,"")</f>
        <v>7.9732205714285733</v>
      </c>
      <c r="S96" s="348">
        <f>IFERROR(S95/'Client Retention'!S90*12,"")</f>
        <v>8.2368447058823531</v>
      </c>
      <c r="T96" s="343">
        <f>IFERROR(T95/'Client Retention'!T90*12,"")</f>
        <v>7.5693600000000014</v>
      </c>
      <c r="U96" s="343">
        <f>IFERROR(U95/'Client Retention'!U90*12,"")</f>
        <v>5.7054892307692304</v>
      </c>
      <c r="V96" s="343">
        <f>IFERROR(V95/'Client Retention'!V90*12,"")</f>
        <v>2.6549999999999998</v>
      </c>
      <c r="W96" s="343">
        <f>IFERROR(W95/'Client Retention'!W90*12,"")</f>
        <v>2.3999999999999995</v>
      </c>
      <c r="X96" s="343">
        <f>IFERROR(X95/'Client Retention'!X90*12,"")</f>
        <v>2.3999999999999995</v>
      </c>
      <c r="Y96" s="343">
        <f>IFERROR(Y95/'Client Retention'!Y90*12,"")</f>
        <v>7.6</v>
      </c>
      <c r="Z96" s="343">
        <f>IFERROR(Z95/'Client Retention'!Z90*12,"")</f>
        <v>12.8</v>
      </c>
      <c r="AA96" s="343">
        <f>IFERROR(AA95/'Client Retention'!AA90*12,"")</f>
        <v>18</v>
      </c>
      <c r="AB96" s="343">
        <f>IFERROR(AB95/'Client Retention'!AB90*12,"")</f>
        <v>18</v>
      </c>
      <c r="AC96" s="343" t="str">
        <f>IFERROR(AC95/'Client Retention'!AC90*12,"")</f>
        <v/>
      </c>
      <c r="AD96" s="344" t="str">
        <f>IFERROR(AD95/'Client Retention'!AD90*12,"")</f>
        <v/>
      </c>
    </row>
    <row r="97" spans="2:34" ht="3.95" customHeight="1">
      <c r="B97" s="180"/>
      <c r="C97" s="232"/>
      <c r="D97" s="232"/>
      <c r="E97" s="232"/>
      <c r="F97" s="232"/>
      <c r="H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3"/>
      <c r="AC97" s="233"/>
      <c r="AD97" s="233"/>
    </row>
    <row r="98" spans="2:34" ht="12" customHeight="1">
      <c r="B98" s="234" t="s">
        <v>1550</v>
      </c>
      <c r="C98" s="235"/>
      <c r="D98" s="235"/>
      <c r="E98" s="236">
        <f>(E88+E87)/E87-1</f>
        <v>0.57353381022474448</v>
      </c>
      <c r="F98" s="247">
        <f>(F88+F87)/F87-1</f>
        <v>2.1897810218978107</v>
      </c>
      <c r="G98" s="248"/>
      <c r="H98" s="249">
        <f>(H88+H87)/H87-1</f>
        <v>0.20864023334945037</v>
      </c>
      <c r="J98" s="246">
        <f t="shared" ref="J98:AB98" si="46">(J88+J87)/J87-1</f>
        <v>0</v>
      </c>
      <c r="K98" s="236">
        <f t="shared" si="46"/>
        <v>5.9359127267644363E-2</v>
      </c>
      <c r="L98" s="236">
        <f t="shared" si="46"/>
        <v>7.3321215066173284E-2</v>
      </c>
      <c r="M98" s="236">
        <f t="shared" si="46"/>
        <v>3.0345089324585794E-2</v>
      </c>
      <c r="N98" s="236">
        <f t="shared" si="46"/>
        <v>7.9351311239374445E-2</v>
      </c>
      <c r="O98" s="236">
        <f t="shared" si="46"/>
        <v>0.12414443660983143</v>
      </c>
      <c r="P98" s="236">
        <f t="shared" si="46"/>
        <v>9.6230000198291865E-3</v>
      </c>
      <c r="Q98" s="236">
        <f t="shared" si="46"/>
        <v>4.2457522259872427E-2</v>
      </c>
      <c r="R98" s="236">
        <f t="shared" si="46"/>
        <v>0.21741762578788415</v>
      </c>
      <c r="S98" s="246">
        <f t="shared" si="46"/>
        <v>3.0713536889005466E-2</v>
      </c>
      <c r="T98" s="236">
        <f t="shared" si="46"/>
        <v>3.4676729082852464E-2</v>
      </c>
      <c r="U98" s="236">
        <f t="shared" si="46"/>
        <v>3.6390455026249713E-2</v>
      </c>
      <c r="V98" s="236">
        <f t="shared" si="46"/>
        <v>0</v>
      </c>
      <c r="W98" s="236">
        <f t="shared" si="46"/>
        <v>0</v>
      </c>
      <c r="X98" s="236">
        <f t="shared" si="46"/>
        <v>0</v>
      </c>
      <c r="Y98" s="236">
        <f t="shared" si="46"/>
        <v>7.5000000000000018</v>
      </c>
      <c r="Z98" s="236">
        <f t="shared" si="46"/>
        <v>0</v>
      </c>
      <c r="AA98" s="236">
        <f t="shared" si="46"/>
        <v>0</v>
      </c>
      <c r="AB98" s="236">
        <f t="shared" si="46"/>
        <v>0</v>
      </c>
      <c r="AC98" s="236">
        <f>IFERROR((AC88+AC87)/AC87-1,0)</f>
        <v>0</v>
      </c>
      <c r="AD98" s="247">
        <f>IFERROR((AD88+AD87)/AD87-1,0)</f>
        <v>0</v>
      </c>
    </row>
    <row r="99" spans="2:34" ht="12" customHeight="1">
      <c r="B99" s="237" t="s">
        <v>1551</v>
      </c>
      <c r="C99" s="238"/>
      <c r="D99" s="238"/>
      <c r="E99" s="239">
        <f>(E92+E95)/E95-1</f>
        <v>-2.9285816903082775</v>
      </c>
      <c r="F99" s="240">
        <f>(F92+F95)/F95-1</f>
        <v>-6.3795620437956213</v>
      </c>
      <c r="G99" s="248"/>
      <c r="H99" s="242">
        <f>(H92+H95)/H95-1</f>
        <v>-2.4172804666989007</v>
      </c>
      <c r="J99" s="241">
        <f t="shared" ref="J99:AB99" si="47">(J92+J95)/J95-1</f>
        <v>-0.10385931160635675</v>
      </c>
      <c r="K99" s="239">
        <f t="shared" si="47"/>
        <v>-6.5538995822549184E-2</v>
      </c>
      <c r="L99" s="239">
        <f t="shared" si="47"/>
        <v>-5.5153488763975966E-2</v>
      </c>
      <c r="M99" s="239">
        <f t="shared" si="47"/>
        <v>-0.17764202543376995</v>
      </c>
      <c r="N99" s="239">
        <f t="shared" si="47"/>
        <v>-3.7810387076463337E-2</v>
      </c>
      <c r="O99" s="239">
        <f t="shared" si="47"/>
        <v>-0.2340825652938413</v>
      </c>
      <c r="P99" s="239">
        <f t="shared" si="47"/>
        <v>0</v>
      </c>
      <c r="Q99" s="239">
        <f t="shared" si="47"/>
        <v>-5.0303940175712936E-2</v>
      </c>
      <c r="R99" s="239">
        <f t="shared" si="47"/>
        <v>-0.18404464774083762</v>
      </c>
      <c r="S99" s="241">
        <f t="shared" si="47"/>
        <v>-5.3989834485449806E-2</v>
      </c>
      <c r="T99" s="239">
        <f t="shared" si="47"/>
        <v>-0.75616745718313083</v>
      </c>
      <c r="U99" s="239">
        <f t="shared" si="47"/>
        <v>-1.6214172154858695</v>
      </c>
      <c r="V99" s="239">
        <f t="shared" si="47"/>
        <v>-1.0960451977401131</v>
      </c>
      <c r="W99" s="239">
        <f t="shared" si="47"/>
        <v>0</v>
      </c>
      <c r="X99" s="239">
        <f t="shared" si="47"/>
        <v>0</v>
      </c>
      <c r="Y99" s="239">
        <f t="shared" si="47"/>
        <v>0</v>
      </c>
      <c r="Z99" s="239">
        <f t="shared" si="47"/>
        <v>-0.125</v>
      </c>
      <c r="AA99" s="239">
        <f t="shared" si="47"/>
        <v>0</v>
      </c>
      <c r="AB99" s="239">
        <f t="shared" si="47"/>
        <v>-2</v>
      </c>
      <c r="AC99" s="239">
        <f>IFERROR((AC92+AC95)/AC95-1,0)</f>
        <v>0</v>
      </c>
      <c r="AD99" s="240">
        <f>IFERROR((AD92+AD95)/AD95-1,0)</f>
        <v>0</v>
      </c>
    </row>
    <row r="100" spans="2:34" ht="3.95" customHeight="1">
      <c r="AF100" s="220"/>
    </row>
    <row r="101" spans="2:34" ht="24">
      <c r="B101" s="159" t="s">
        <v>1311</v>
      </c>
      <c r="C101" s="176" t="s">
        <v>1319</v>
      </c>
      <c r="D101" s="176" t="s">
        <v>3</v>
      </c>
      <c r="E101" s="176" t="s">
        <v>4</v>
      </c>
      <c r="F101" s="176" t="s">
        <v>1320</v>
      </c>
      <c r="G101" s="193"/>
      <c r="H101" s="176" t="s">
        <v>1530</v>
      </c>
      <c r="J101" s="192">
        <v>45658</v>
      </c>
      <c r="K101" s="192">
        <f t="shared" ref="K101:P101" si="48">EOMONTH(J101,0)+1</f>
        <v>45689</v>
      </c>
      <c r="L101" s="192">
        <f t="shared" si="48"/>
        <v>45717</v>
      </c>
      <c r="M101" s="192">
        <f t="shared" si="48"/>
        <v>45748</v>
      </c>
      <c r="N101" s="192">
        <f t="shared" si="48"/>
        <v>45778</v>
      </c>
      <c r="O101" s="192">
        <f t="shared" si="48"/>
        <v>45809</v>
      </c>
      <c r="P101" s="192">
        <f t="shared" si="48"/>
        <v>45839</v>
      </c>
      <c r="Q101" s="192">
        <v>45870</v>
      </c>
      <c r="R101" s="192">
        <f t="shared" ref="R101:AD101" si="49">EOMONTH(Q101,0)+1</f>
        <v>45901</v>
      </c>
      <c r="S101" s="192">
        <f t="shared" si="49"/>
        <v>45931</v>
      </c>
      <c r="T101" s="192">
        <f t="shared" si="49"/>
        <v>45962</v>
      </c>
      <c r="U101" s="192">
        <f t="shared" si="49"/>
        <v>45992</v>
      </c>
      <c r="V101" s="192">
        <f t="shared" si="49"/>
        <v>46023</v>
      </c>
      <c r="W101" s="192">
        <f t="shared" si="49"/>
        <v>46054</v>
      </c>
      <c r="X101" s="192">
        <f t="shared" si="49"/>
        <v>46082</v>
      </c>
      <c r="Y101" s="192">
        <f t="shared" si="49"/>
        <v>46113</v>
      </c>
      <c r="Z101" s="192">
        <f t="shared" si="49"/>
        <v>46143</v>
      </c>
      <c r="AA101" s="192">
        <f t="shared" si="49"/>
        <v>46174</v>
      </c>
      <c r="AB101" s="192">
        <f t="shared" si="49"/>
        <v>46204</v>
      </c>
      <c r="AC101" s="192">
        <f t="shared" si="49"/>
        <v>46235</v>
      </c>
      <c r="AD101" s="192">
        <f t="shared" si="49"/>
        <v>46266</v>
      </c>
      <c r="AE101" s="187"/>
      <c r="AF101" s="243" t="s">
        <v>1304</v>
      </c>
      <c r="AG101" s="187"/>
      <c r="AH101" s="187"/>
    </row>
    <row r="102" spans="2:34">
      <c r="B102" s="186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1548</v>
      </c>
      <c r="C103" s="182"/>
      <c r="D103" s="182"/>
      <c r="E103" s="182">
        <f>+E109-E104-E108</f>
        <v>-1.3800000000000001</v>
      </c>
      <c r="F103" s="182">
        <f>+F109-F104-F108</f>
        <v>6.6985833333333336</v>
      </c>
      <c r="H103" s="182">
        <f>+H109-H104-H108</f>
        <v>1.6333333333333324</v>
      </c>
      <c r="J103" s="182">
        <f t="shared" ref="J103:AD103" si="50">+J109-J104-J108</f>
        <v>-1.3799999999999997</v>
      </c>
      <c r="K103" s="182">
        <f t="shared" si="50"/>
        <v>-1.3799999999999997</v>
      </c>
      <c r="L103" s="182">
        <f t="shared" si="50"/>
        <v>-1.3799999999999997</v>
      </c>
      <c r="M103" s="182">
        <f t="shared" si="50"/>
        <v>-1.3799999999999997</v>
      </c>
      <c r="N103" s="182">
        <f t="shared" si="50"/>
        <v>-1.3799999999999997</v>
      </c>
      <c r="O103" s="182">
        <f t="shared" si="50"/>
        <v>-1.3799999999999997</v>
      </c>
      <c r="P103" s="182">
        <f t="shared" si="50"/>
        <v>-1.3799999999999997</v>
      </c>
      <c r="Q103" s="182">
        <f t="shared" si="50"/>
        <v>-1.3799999999999997</v>
      </c>
      <c r="R103" s="182">
        <f t="shared" si="50"/>
        <v>-1.3799999999999997</v>
      </c>
      <c r="S103" s="182">
        <f t="shared" si="50"/>
        <v>1.6333333333333337</v>
      </c>
      <c r="T103" s="182">
        <f t="shared" si="50"/>
        <v>7.0985833333333339</v>
      </c>
      <c r="U103" s="182">
        <f t="shared" si="50"/>
        <v>6.6985833333333336</v>
      </c>
      <c r="V103" s="182">
        <f t="shared" si="50"/>
        <v>6.6985833333333336</v>
      </c>
      <c r="W103" s="182">
        <f t="shared" si="50"/>
        <v>7.8235833333333336</v>
      </c>
      <c r="X103" s="182">
        <f t="shared" si="50"/>
        <v>9.4485833333333336</v>
      </c>
      <c r="Y103" s="182">
        <f t="shared" si="50"/>
        <v>9.4485833333333336</v>
      </c>
      <c r="Z103" s="182">
        <f t="shared" si="50"/>
        <v>9.4485833333333336</v>
      </c>
      <c r="AA103" s="182">
        <f t="shared" si="50"/>
        <v>9.4485833333333336</v>
      </c>
      <c r="AB103" s="182">
        <f t="shared" si="50"/>
        <v>9.4485833333333336</v>
      </c>
      <c r="AC103" s="182">
        <f t="shared" si="50"/>
        <v>9.4485833333333336</v>
      </c>
      <c r="AD103" s="182">
        <f t="shared" si="50"/>
        <v>9.4485833333333336</v>
      </c>
    </row>
    <row r="104" spans="2:34">
      <c r="B104" s="191" t="s">
        <v>1317</v>
      </c>
      <c r="E104" s="197">
        <f>SUM(J104:U104)</f>
        <v>8.9035833333333336</v>
      </c>
      <c r="F104" s="197">
        <f>SUM(V104:AD104)</f>
        <v>2.75</v>
      </c>
      <c r="H104" s="197">
        <f>SUM(S104:AD104)</f>
        <v>8.2152500000000011</v>
      </c>
      <c r="J104" s="195">
        <f>SUMIFS('Full Customer List'!$G:$G,'Full Customer List'!$I:$I,'Client Retention $'!J$5,'Full Customer List'!$E:$E,$AF101)/1000</f>
        <v>0</v>
      </c>
      <c r="K104" s="195">
        <f>SUMIFS('Full Customer List'!$G:$G,'Full Customer List'!$I:$I,'Client Retention $'!K$5,'Full Customer List'!$E:$E,$AF101)/1000</f>
        <v>0</v>
      </c>
      <c r="L104" s="195">
        <f>SUMIFS('Full Customer List'!$G:$G,'Full Customer List'!$I:$I,'Client Retention $'!L$5,'Full Customer List'!$E:$E,$AF101)/1000</f>
        <v>0</v>
      </c>
      <c r="M104" s="195">
        <f>SUMIFS('Full Customer List'!$G:$G,'Full Customer List'!$I:$I,'Client Retention $'!M$5,'Full Customer List'!$E:$E,$AF101)/1000</f>
        <v>0</v>
      </c>
      <c r="N104" s="195">
        <f>SUMIFS('Full Customer List'!$G:$G,'Full Customer List'!$I:$I,'Client Retention $'!N$5,'Full Customer List'!$E:$E,$AF101)/1000</f>
        <v>0</v>
      </c>
      <c r="O104" s="195">
        <f>SUMIFS('Full Customer List'!$G:$G,'Full Customer List'!$I:$I,'Client Retention $'!O$5,'Full Customer List'!$E:$E,$AF101)/1000</f>
        <v>0</v>
      </c>
      <c r="P104" s="195">
        <f>SUMIFS('Full Customer List'!$G:$G,'Full Customer List'!$I:$I,'Client Retention $'!P$5,'Full Customer List'!$E:$E,$AF101)/1000</f>
        <v>0</v>
      </c>
      <c r="Q104" s="195">
        <f>SUMIFS('Full Customer List'!$G:$G,'Full Customer List'!$I:$I,'Client Retention $'!Q$5,'Full Customer List'!$E:$E,$AF101)/1000</f>
        <v>0</v>
      </c>
      <c r="R104" s="195">
        <f>SUMIFS('Full Customer List'!$G:$G,'Full Customer List'!$I:$I,'Client Retention $'!R$5,'Full Customer List'!$E:$E,$AF101)/1000</f>
        <v>3.4383333333333335</v>
      </c>
      <c r="S104" s="195">
        <f>SUMIFS('Full Customer List'!$G:$G,'Full Customer List'!$I:$I,'Client Retention $'!S$5,'Full Customer List'!$E:$E,$AF101)/1000</f>
        <v>5.4652500000000002</v>
      </c>
      <c r="T104" s="195">
        <f>SUMIFS('Full Customer List'!$G:$G,'Full Customer List'!$I:$I,'Client Retention $'!T$5,'Full Customer List'!$E:$E,$AF101)/1000</f>
        <v>0</v>
      </c>
      <c r="U104" s="195">
        <f>SUMIFS('Full Customer List'!$G:$G,'Full Customer List'!$I:$I,'Client Retention $'!U$5,'Full Customer List'!$E:$E,$AF101)/1000</f>
        <v>0</v>
      </c>
      <c r="V104" s="195">
        <f>SUMIFS('Full Customer List'!$G:$G,'Full Customer List'!$I:$I,'Client Retention $'!V$5,'Full Customer List'!$E:$E,$AF101)/1000</f>
        <v>1.125</v>
      </c>
      <c r="W104" s="195">
        <f>SUMIFS('Full Customer List'!$G:$G,'Full Customer List'!$I:$I,'Client Retention $'!W$5,'Full Customer List'!$E:$E,$AF101)/1000</f>
        <v>1.625</v>
      </c>
      <c r="X104" s="195">
        <f>SUMIFS('Full Customer List'!$G:$G,'Full Customer List'!$I:$I,'Client Retention $'!X$5,'Full Customer List'!$E:$E,$AF101)/1000</f>
        <v>0</v>
      </c>
      <c r="Y104" s="195">
        <f>SUMIFS('Full Customer List'!$G:$G,'Full Customer List'!$I:$I,'Client Retention $'!Y$5,'Full Customer List'!$E:$E,$AF101)/1000</f>
        <v>0</v>
      </c>
      <c r="Z104" s="195">
        <f>SUMIFS('Full Customer List'!$G:$G,'Full Customer List'!$I:$I,'Client Retention $'!Z$5,'Full Customer List'!$E:$E,$AF101)/1000</f>
        <v>0</v>
      </c>
      <c r="AA104" s="195">
        <f>SUMIFS('Full Customer List'!$G:$G,'Full Customer List'!$I:$I,'Client Retention $'!AA$5,'Full Customer List'!$E:$E,$AF101)/1000</f>
        <v>0</v>
      </c>
      <c r="AB104" s="195">
        <f>SUMIFS('Full Customer List'!$G:$G,'Full Customer List'!$I:$I,'Client Retention $'!AB$5,'Full Customer List'!$E:$E,$AF101)/1000</f>
        <v>0</v>
      </c>
      <c r="AC104" s="195">
        <f>SUMIFS('Full Customer List'!$G:$G,'Full Customer List'!$I:$I,'Client Retention $'!AC$5,'Full Customer List'!$E:$E,$AF101)/1000</f>
        <v>0</v>
      </c>
      <c r="AD104" s="195">
        <f>SUMIFS('Full Customer List'!$G:$G,'Full Customer List'!$I:$I,'Client Retention $'!AD$5,'Full Customer List'!$E:$E,$AF101)/1000</f>
        <v>0</v>
      </c>
    </row>
    <row r="105" spans="2:34">
      <c r="B105" s="265" t="s">
        <v>1531</v>
      </c>
      <c r="E105" s="197">
        <f>SUM(J105:U105)</f>
        <v>0</v>
      </c>
      <c r="F105" s="197">
        <f>SUM(V105:AD105)</f>
        <v>0</v>
      </c>
      <c r="H105" s="197">
        <f>SUM(S105:AD105)</f>
        <v>0</v>
      </c>
      <c r="J105" s="195">
        <f>-SUMIFS('Full Customer List'!$G:$G,'Full Customer List'!$J:$J,J$1,'Full Customer List'!$E:$E,$AF101,'Full Customer List'!$H:$H,'Client Retention $'!$AF105)/1000</f>
        <v>0</v>
      </c>
      <c r="K105" s="195">
        <f>-SUMIFS('Full Customer List'!$G:$G,'Full Customer List'!$J:$J,K$1,'Full Customer List'!$E:$E,$AF101,'Full Customer List'!$H:$H,'Client Retention $'!$AF105)/1000</f>
        <v>0</v>
      </c>
      <c r="L105" s="195">
        <f>-SUMIFS('Full Customer List'!$G:$G,'Full Customer List'!$J:$J,L$1,'Full Customer List'!$E:$E,$AF101,'Full Customer List'!$H:$H,'Client Retention $'!$AF105)/1000</f>
        <v>0</v>
      </c>
      <c r="M105" s="195">
        <f>-SUMIFS('Full Customer List'!$G:$G,'Full Customer List'!$J:$J,M$1,'Full Customer List'!$E:$E,$AF101,'Full Customer List'!$H:$H,'Client Retention $'!$AF105)/1000</f>
        <v>0</v>
      </c>
      <c r="N105" s="195">
        <f>-SUMIFS('Full Customer List'!$G:$G,'Full Customer List'!$J:$J,N$1,'Full Customer List'!$E:$E,$AF101,'Full Customer List'!$H:$H,'Client Retention $'!$AF105)/1000</f>
        <v>0</v>
      </c>
      <c r="O105" s="195">
        <f>-SUMIFS('Full Customer List'!$G:$G,'Full Customer List'!$J:$J,O$1,'Full Customer List'!$E:$E,$AF101,'Full Customer List'!$H:$H,'Client Retention $'!$AF105)/1000</f>
        <v>0</v>
      </c>
      <c r="P105" s="195">
        <f>-SUMIFS('Full Customer List'!$G:$G,'Full Customer List'!$J:$J,P$1,'Full Customer List'!$E:$E,$AF101,'Full Customer List'!$H:$H,'Client Retention $'!$AF105)/1000</f>
        <v>0</v>
      </c>
      <c r="Q105" s="195">
        <f>-SUMIFS('Full Customer List'!$G:$G,'Full Customer List'!$J:$J,Q$1,'Full Customer List'!$E:$E,$AF101,'Full Customer List'!$H:$H,'Client Retention $'!$AF105)/1000</f>
        <v>0</v>
      </c>
      <c r="R105" s="195">
        <f>-SUMIFS('Full Customer List'!$G:$G,'Full Customer List'!$J:$J,R$1,'Full Customer List'!$E:$E,$AF101,'Full Customer List'!$H:$H,'Client Retention $'!$AF105)/1000</f>
        <v>0</v>
      </c>
      <c r="S105" s="195">
        <f>-SUMIFS('Full Customer List'!$G:$G,'Full Customer List'!$J:$J,S$1,'Full Customer List'!$E:$E,$AF101,'Full Customer List'!$H:$H,'Client Retention $'!$AF105)/1000</f>
        <v>0</v>
      </c>
      <c r="T105" s="195">
        <f>-SUMIFS('Full Customer List'!$G:$G,'Full Customer List'!$J:$J,T$1,'Full Customer List'!$E:$E,$AF101,'Full Customer List'!$H:$H,'Client Retention $'!$AF105)/1000</f>
        <v>0</v>
      </c>
      <c r="U105" s="195">
        <f>-SUMIFS('Full Customer List'!$G:$G,'Full Customer List'!$J:$J,U$1,'Full Customer List'!$E:$E,$AF101,'Full Customer List'!$H:$H,'Client Retention $'!$AF105)/1000</f>
        <v>0</v>
      </c>
      <c r="V105" s="195">
        <f>-SUMIFS('Full Customer List'!$G:$G,'Full Customer List'!$J:$J,V$1,'Full Customer List'!$E:$E,$AF101,'Full Customer List'!$H:$H,'Client Retention $'!$AF105)/1000</f>
        <v>0</v>
      </c>
      <c r="W105" s="195">
        <f>-SUMIFS('Full Customer List'!$G:$G,'Full Customer List'!$J:$J,W$1,'Full Customer List'!$E:$E,$AF101,'Full Customer List'!$H:$H,'Client Retention $'!$AF105)/1000</f>
        <v>0</v>
      </c>
      <c r="X105" s="195">
        <f>-SUMIFS('Full Customer List'!$G:$G,'Full Customer List'!$J:$J,X$1,'Full Customer List'!$E:$E,$AF101,'Full Customer List'!$H:$H,'Client Retention $'!$AF105)/1000</f>
        <v>0</v>
      </c>
      <c r="Y105" s="195">
        <f>-SUMIFS('Full Customer List'!$G:$G,'Full Customer List'!$J:$J,Y$1,'Full Customer List'!$E:$E,$AF101,'Full Customer List'!$H:$H,'Client Retention $'!$AF105)/1000</f>
        <v>0</v>
      </c>
      <c r="Z105" s="195">
        <f>-SUMIFS('Full Customer List'!$G:$G,'Full Customer List'!$J:$J,Z$1,'Full Customer List'!$E:$E,$AF101,'Full Customer List'!$H:$H,'Client Retention $'!$AF105)/1000</f>
        <v>0</v>
      </c>
      <c r="AA105" s="195">
        <f>-SUMIFS('Full Customer List'!$G:$G,'Full Customer List'!$J:$J,AA$1,'Full Customer List'!$E:$E,$AF101,'Full Customer List'!$H:$H,'Client Retention $'!$AF105)/1000</f>
        <v>0</v>
      </c>
      <c r="AB105" s="195">
        <f>-SUMIFS('Full Customer List'!$G:$G,'Full Customer List'!$J:$J,AB$1,'Full Customer List'!$E:$E,$AF101,'Full Customer List'!$H:$H,'Client Retention $'!$AF105)/1000</f>
        <v>0</v>
      </c>
      <c r="AC105" s="195">
        <f>-SUMIFS('Full Customer List'!$G:$G,'Full Customer List'!$J:$J,AC$1,'Full Customer List'!$E:$E,$AF101,'Full Customer List'!$H:$H,'Client Retention $'!$AF105)/1000</f>
        <v>0</v>
      </c>
      <c r="AD105" s="195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5" t="s">
        <v>1532</v>
      </c>
      <c r="E106" s="197">
        <f>SUM(J106:U106)</f>
        <v>0</v>
      </c>
      <c r="F106" s="197">
        <f>SUM(V106:AD106)</f>
        <v>0</v>
      </c>
      <c r="H106" s="197">
        <f>SUM(S106:AD106)</f>
        <v>0</v>
      </c>
      <c r="J106" s="195">
        <f>-SUMIFS('Full Customer List'!$G:$G,'Full Customer List'!$J:$J,J$1,'Full Customer List'!$E:$E,$AF101,'Full Customer List'!$H:$H,'Client Retention $'!$AF106)/1000</f>
        <v>0</v>
      </c>
      <c r="K106" s="195">
        <f>-SUMIFS('Full Customer List'!$G:$G,'Full Customer List'!$J:$J,K$1,'Full Customer List'!$E:$E,$AF101,'Full Customer List'!$H:$H,'Client Retention $'!$AF106)/1000</f>
        <v>0</v>
      </c>
      <c r="L106" s="195">
        <f>-SUMIFS('Full Customer List'!$G:$G,'Full Customer List'!$J:$J,L$1,'Full Customer List'!$E:$E,$AF101,'Full Customer List'!$H:$H,'Client Retention $'!$AF106)/1000</f>
        <v>0</v>
      </c>
      <c r="M106" s="195">
        <f>-SUMIFS('Full Customer List'!$G:$G,'Full Customer List'!$J:$J,M$1,'Full Customer List'!$E:$E,$AF101,'Full Customer List'!$H:$H,'Client Retention $'!$AF106)/1000</f>
        <v>0</v>
      </c>
      <c r="N106" s="195">
        <f>-SUMIFS('Full Customer List'!$G:$G,'Full Customer List'!$J:$J,N$1,'Full Customer List'!$E:$E,$AF101,'Full Customer List'!$H:$H,'Client Retention $'!$AF106)/1000</f>
        <v>0</v>
      </c>
      <c r="O106" s="195">
        <f>-SUMIFS('Full Customer List'!$G:$G,'Full Customer List'!$J:$J,O$1,'Full Customer List'!$E:$E,$AF101,'Full Customer List'!$H:$H,'Client Retention $'!$AF106)/1000</f>
        <v>0</v>
      </c>
      <c r="P106" s="195">
        <f>-SUMIFS('Full Customer List'!$G:$G,'Full Customer List'!$J:$J,P$1,'Full Customer List'!$E:$E,$AF101,'Full Customer List'!$H:$H,'Client Retention $'!$AF106)/1000</f>
        <v>0</v>
      </c>
      <c r="Q106" s="195">
        <f>-SUMIFS('Full Customer List'!$G:$G,'Full Customer List'!$J:$J,Q$1,'Full Customer List'!$E:$E,$AF101,'Full Customer List'!$H:$H,'Client Retention $'!$AF106)/1000</f>
        <v>0</v>
      </c>
      <c r="R106" s="195">
        <f>-SUMIFS('Full Customer List'!$G:$G,'Full Customer List'!$J:$J,R$1,'Full Customer List'!$E:$E,$AF101,'Full Customer List'!$H:$H,'Client Retention $'!$AF106)/1000</f>
        <v>0</v>
      </c>
      <c r="S106" s="195">
        <f>-SUMIFS('Full Customer List'!$G:$G,'Full Customer List'!$J:$J,S$1,'Full Customer List'!$E:$E,$AF101,'Full Customer List'!$H:$H,'Client Retention $'!$AF106)/1000</f>
        <v>0</v>
      </c>
      <c r="T106" s="195">
        <f>-SUMIFS('Full Customer List'!$G:$G,'Full Customer List'!$J:$J,T$1,'Full Customer List'!$E:$E,$AF101,'Full Customer List'!$H:$H,'Client Retention $'!$AF106)/1000</f>
        <v>0</v>
      </c>
      <c r="U106" s="195">
        <f>-SUMIFS('Full Customer List'!$G:$G,'Full Customer List'!$J:$J,U$1,'Full Customer List'!$E:$E,$AF101,'Full Customer List'!$H:$H,'Client Retention $'!$AF106)/1000</f>
        <v>0</v>
      </c>
      <c r="V106" s="195">
        <f>-SUMIFS('Full Customer List'!$G:$G,'Full Customer List'!$J:$J,V$1,'Full Customer List'!$E:$E,$AF101,'Full Customer List'!$H:$H,'Client Retention $'!$AF106)/1000</f>
        <v>0</v>
      </c>
      <c r="W106" s="195">
        <f>-SUMIFS('Full Customer List'!$G:$G,'Full Customer List'!$J:$J,W$1,'Full Customer List'!$E:$E,$AF101,'Full Customer List'!$H:$H,'Client Retention $'!$AF106)/1000</f>
        <v>0</v>
      </c>
      <c r="X106" s="195">
        <f>-SUMIFS('Full Customer List'!$G:$G,'Full Customer List'!$J:$J,X$1,'Full Customer List'!$E:$E,$AF101,'Full Customer List'!$H:$H,'Client Retention $'!$AF106)/1000</f>
        <v>0</v>
      </c>
      <c r="Y106" s="195">
        <f>-SUMIFS('Full Customer List'!$G:$G,'Full Customer List'!$J:$J,Y$1,'Full Customer List'!$E:$E,$AF101,'Full Customer List'!$H:$H,'Client Retention $'!$AF106)/1000</f>
        <v>0</v>
      </c>
      <c r="Z106" s="195">
        <f>-SUMIFS('Full Customer List'!$G:$G,'Full Customer List'!$J:$J,Z$1,'Full Customer List'!$E:$E,$AF101,'Full Customer List'!$H:$H,'Client Retention $'!$AF106)/1000</f>
        <v>0</v>
      </c>
      <c r="AA106" s="195">
        <f>-SUMIFS('Full Customer List'!$G:$G,'Full Customer List'!$J:$J,AA$1,'Full Customer List'!$E:$E,$AF101,'Full Customer List'!$H:$H,'Client Retention $'!$AF106)/1000</f>
        <v>0</v>
      </c>
      <c r="AB106" s="195">
        <f>-SUMIFS('Full Customer List'!$G:$G,'Full Customer List'!$J:$J,AB$1,'Full Customer List'!$E:$E,$AF101,'Full Customer List'!$H:$H,'Client Retention $'!$AF106)/1000</f>
        <v>0</v>
      </c>
      <c r="AC106" s="195">
        <f>-SUMIFS('Full Customer List'!$G:$G,'Full Customer List'!$J:$J,AC$1,'Full Customer List'!$E:$E,$AF101,'Full Customer List'!$H:$H,'Client Retention $'!$AF106)/1000</f>
        <v>0</v>
      </c>
      <c r="AD106" s="195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5" t="s">
        <v>1533</v>
      </c>
      <c r="E107" s="197">
        <f>SUM(J107:U107)</f>
        <v>-0.82499999999999996</v>
      </c>
      <c r="F107" s="197">
        <f>SUM(V107:AD107)</f>
        <v>0</v>
      </c>
      <c r="H107" s="197">
        <f>SUM(S107:AD107)</f>
        <v>-0.4</v>
      </c>
      <c r="J107" s="195">
        <f>-SUMIFS('Full Customer List'!$G:$G,'Full Customer List'!$J:$J,J$1,'Full Customer List'!$E:$E,$AF101,'Full Customer List'!$H:$H,'Client Retention $'!$AF107)/1000</f>
        <v>0</v>
      </c>
      <c r="K107" s="195">
        <f>-SUMIFS('Full Customer List'!$G:$G,'Full Customer List'!$J:$J,K$1,'Full Customer List'!$E:$E,$AF101,'Full Customer List'!$H:$H,'Client Retention $'!$AF107)/1000</f>
        <v>0</v>
      </c>
      <c r="L107" s="195">
        <f>-SUMIFS('Full Customer List'!$G:$G,'Full Customer List'!$J:$J,L$1,'Full Customer List'!$E:$E,$AF101,'Full Customer List'!$H:$H,'Client Retention $'!$AF107)/1000</f>
        <v>0</v>
      </c>
      <c r="M107" s="195">
        <f>-SUMIFS('Full Customer List'!$G:$G,'Full Customer List'!$J:$J,M$1,'Full Customer List'!$E:$E,$AF101,'Full Customer List'!$H:$H,'Client Retention $'!$AF107)/1000</f>
        <v>0</v>
      </c>
      <c r="N107" s="195">
        <f>-SUMIFS('Full Customer List'!$G:$G,'Full Customer List'!$J:$J,N$1,'Full Customer List'!$E:$E,$AF101,'Full Customer List'!$H:$H,'Client Retention $'!$AF107)/1000</f>
        <v>0</v>
      </c>
      <c r="O107" s="195">
        <f>-SUMIFS('Full Customer List'!$G:$G,'Full Customer List'!$J:$J,O$1,'Full Customer List'!$E:$E,$AF101,'Full Customer List'!$H:$H,'Client Retention $'!$AF107)/1000</f>
        <v>0</v>
      </c>
      <c r="P107" s="195">
        <f>-SUMIFS('Full Customer List'!$G:$G,'Full Customer List'!$J:$J,P$1,'Full Customer List'!$E:$E,$AF101,'Full Customer List'!$H:$H,'Client Retention $'!$AF107)/1000</f>
        <v>0</v>
      </c>
      <c r="Q107" s="195">
        <f>-SUMIFS('Full Customer List'!$G:$G,'Full Customer List'!$J:$J,Q$1,'Full Customer List'!$E:$E,$AF101,'Full Customer List'!$H:$H,'Client Retention $'!$AF107)/1000</f>
        <v>0</v>
      </c>
      <c r="R107" s="195">
        <f>-SUMIFS('Full Customer List'!$G:$G,'Full Customer List'!$J:$J,R$1,'Full Customer List'!$E:$E,$AF101,'Full Customer List'!$H:$H,'Client Retention $'!$AF107)/1000</f>
        <v>-0.42499999999999999</v>
      </c>
      <c r="S107" s="195">
        <f>-SUMIFS('Full Customer List'!$G:$G,'Full Customer List'!$J:$J,S$1,'Full Customer List'!$E:$E,$AF101,'Full Customer List'!$H:$H,'Client Retention $'!$AF107)/1000</f>
        <v>0</v>
      </c>
      <c r="T107" s="195">
        <f>-SUMIFS('Full Customer List'!$G:$G,'Full Customer List'!$J:$J,T$1,'Full Customer List'!$E:$E,$AF101,'Full Customer List'!$H:$H,'Client Retention $'!$AF107)/1000</f>
        <v>-0.4</v>
      </c>
      <c r="U107" s="195">
        <f>-SUMIFS('Full Customer List'!$G:$G,'Full Customer List'!$J:$J,U$1,'Full Customer List'!$E:$E,$AF101,'Full Customer List'!$H:$H,'Client Retention $'!$AF107)/1000</f>
        <v>0</v>
      </c>
      <c r="V107" s="195">
        <f>-SUMIFS('Full Customer List'!$G:$G,'Full Customer List'!$J:$J,V$1,'Full Customer List'!$E:$E,$AF101,'Full Customer List'!$H:$H,'Client Retention $'!$AF107)/1000</f>
        <v>0</v>
      </c>
      <c r="W107" s="195">
        <f>-SUMIFS('Full Customer List'!$G:$G,'Full Customer List'!$J:$J,W$1,'Full Customer List'!$E:$E,$AF101,'Full Customer List'!$H:$H,'Client Retention $'!$AF107)/1000</f>
        <v>0</v>
      </c>
      <c r="X107" s="195">
        <f>-SUMIFS('Full Customer List'!$G:$G,'Full Customer List'!$J:$J,X$1,'Full Customer List'!$E:$E,$AF101,'Full Customer List'!$H:$H,'Client Retention $'!$AF107)/1000</f>
        <v>0</v>
      </c>
      <c r="Y107" s="195">
        <f>-SUMIFS('Full Customer List'!$G:$G,'Full Customer List'!$J:$J,Y$1,'Full Customer List'!$E:$E,$AF101,'Full Customer List'!$H:$H,'Client Retention $'!$AF107)/1000</f>
        <v>0</v>
      </c>
      <c r="Z107" s="195">
        <f>-SUMIFS('Full Customer List'!$G:$G,'Full Customer List'!$J:$J,Z$1,'Full Customer List'!$E:$E,$AF101,'Full Customer List'!$H:$H,'Client Retention $'!$AF107)/1000</f>
        <v>0</v>
      </c>
      <c r="AA107" s="195">
        <f>-SUMIFS('Full Customer List'!$G:$G,'Full Customer List'!$J:$J,AA$1,'Full Customer List'!$E:$E,$AF101,'Full Customer List'!$H:$H,'Client Retention $'!$AF107)/1000</f>
        <v>0</v>
      </c>
      <c r="AB107" s="195">
        <f>-SUMIFS('Full Customer List'!$G:$G,'Full Customer List'!$J:$J,AB$1,'Full Customer List'!$E:$E,$AF101,'Full Customer List'!$H:$H,'Client Retention $'!$AF107)/1000</f>
        <v>0</v>
      </c>
      <c r="AC107" s="195">
        <f>-SUMIFS('Full Customer List'!$G:$G,'Full Customer List'!$J:$J,AC$1,'Full Customer List'!$E:$E,$AF101,'Full Customer List'!$H:$H,'Client Retention $'!$AF107)/1000</f>
        <v>0</v>
      </c>
      <c r="AD107" s="195">
        <f>-SUMIFS('Full Customer List'!$G:$G,'Full Customer List'!$J:$J,AD$1,'Full Customer List'!$E:$E,$AF101,'Full Customer List'!$H:$H,'Client Retention $'!$AF107)/1000</f>
        <v>0</v>
      </c>
      <c r="AF107" s="173" t="s">
        <v>1534</v>
      </c>
    </row>
    <row r="108" spans="2:34" ht="12" customHeight="1">
      <c r="B108" s="255" t="s">
        <v>1535</v>
      </c>
      <c r="C108" s="258"/>
      <c r="D108" s="258"/>
      <c r="E108" s="256">
        <f>SUM(J108:U108)</f>
        <v>-0.82499999999999996</v>
      </c>
      <c r="F108" s="256">
        <f>SUM(V108:AD108)</f>
        <v>0</v>
      </c>
      <c r="G108" s="257"/>
      <c r="H108" s="256">
        <f>SUM(S108:AD108)</f>
        <v>-0.4</v>
      </c>
      <c r="I108" s="257"/>
      <c r="J108" s="258">
        <f>-SUMIFS('Full Customer List'!$G:$G,'Full Customer List'!$J:$J,J$1,'Full Customer List'!$E:$E,$AF101)/1000</f>
        <v>0</v>
      </c>
      <c r="K108" s="258">
        <f>-SUMIFS('Full Customer List'!$G:$G,'Full Customer List'!$J:$J,K$1,'Full Customer List'!$E:$E,$AF101)/1000</f>
        <v>0</v>
      </c>
      <c r="L108" s="258">
        <f>-SUMIFS('Full Customer List'!$G:$G,'Full Customer List'!$J:$J,L$1,'Full Customer List'!$E:$E,$AF101)/1000</f>
        <v>0</v>
      </c>
      <c r="M108" s="258">
        <f>-SUMIFS('Full Customer List'!$G:$G,'Full Customer List'!$J:$J,M$1,'Full Customer List'!$E:$E,$AF101)/1000</f>
        <v>0</v>
      </c>
      <c r="N108" s="258">
        <f>-SUMIFS('Full Customer List'!$G:$G,'Full Customer List'!$J:$J,N$1,'Full Customer List'!$E:$E,$AF101)/1000</f>
        <v>0</v>
      </c>
      <c r="O108" s="258">
        <f>-SUMIFS('Full Customer List'!$G:$G,'Full Customer List'!$J:$J,O$1,'Full Customer List'!$E:$E,$AF101)/1000</f>
        <v>0</v>
      </c>
      <c r="P108" s="258">
        <f>-SUMIFS('Full Customer List'!$G:$G,'Full Customer List'!$J:$J,P$1,'Full Customer List'!$E:$E,$AF101)/1000</f>
        <v>0</v>
      </c>
      <c r="Q108" s="258">
        <f>-SUMIFS('Full Customer List'!$G:$G,'Full Customer List'!$J:$J,Q$1,'Full Customer List'!$E:$E,$AF101)/1000</f>
        <v>0</v>
      </c>
      <c r="R108" s="258">
        <f>-SUMIFS('Full Customer List'!$G:$G,'Full Customer List'!$J:$J,R$1,'Full Customer List'!$E:$E,$AF101)/1000</f>
        <v>-0.42499999999999999</v>
      </c>
      <c r="S108" s="258">
        <f>-SUMIFS('Full Customer List'!$G:$G,'Full Customer List'!$J:$J,S$1,'Full Customer List'!$E:$E,$AF101)/1000</f>
        <v>0</v>
      </c>
      <c r="T108" s="258">
        <f>-SUMIFS('Full Customer List'!$G:$G,'Full Customer List'!$J:$J,T$1,'Full Customer List'!$E:$E,$AF101)/1000</f>
        <v>-0.4</v>
      </c>
      <c r="U108" s="258">
        <f>-SUMIFS('Full Customer List'!$G:$G,'Full Customer List'!$J:$J,U$1,'Full Customer List'!$E:$E,$AF101)/1000</f>
        <v>0</v>
      </c>
      <c r="V108" s="258">
        <f>-SUMIFS('Full Customer List'!$G:$G,'Full Customer List'!$J:$J,V$1,'Full Customer List'!$E:$E,$AF101)/1000</f>
        <v>0</v>
      </c>
      <c r="W108" s="258">
        <f>-SUMIFS('Full Customer List'!$G:$G,'Full Customer List'!$J:$J,W$1,'Full Customer List'!$E:$E,$AF101)/1000</f>
        <v>0</v>
      </c>
      <c r="X108" s="258">
        <f>-SUMIFS('Full Customer List'!$G:$G,'Full Customer List'!$J:$J,X$1,'Full Customer List'!$E:$E,$AF101)/1000</f>
        <v>0</v>
      </c>
      <c r="Y108" s="258">
        <f>-SUMIFS('Full Customer List'!$G:$G,'Full Customer List'!$J:$J,Y$1,'Full Customer List'!$E:$E,$AF101)/1000</f>
        <v>0</v>
      </c>
      <c r="Z108" s="258">
        <f>-SUMIFS('Full Customer List'!$G:$G,'Full Customer List'!$J:$J,Z$1,'Full Customer List'!$E:$E,$AF101)/1000</f>
        <v>0</v>
      </c>
      <c r="AA108" s="258">
        <f>-SUMIFS('Full Customer List'!$G:$G,'Full Customer List'!$J:$J,AA$1,'Full Customer List'!$E:$E,$AF101)/1000</f>
        <v>0</v>
      </c>
      <c r="AB108" s="258">
        <f>-SUMIFS('Full Customer List'!$G:$G,'Full Customer List'!$J:$J,AB$1,'Full Customer List'!$E:$E,$AF101)/1000</f>
        <v>0</v>
      </c>
      <c r="AC108" s="258">
        <f>-SUMIFS('Full Customer List'!$G:$G,'Full Customer List'!$J:$J,AC$1,'Full Customer List'!$E:$E,$AF101)/1000</f>
        <v>0</v>
      </c>
      <c r="AD108" s="258">
        <f>-SUMIFS('Full Customer List'!$G:$G,'Full Customer List'!$J:$J,AD$1,'Full Customer List'!$E:$E,$AF101)/1000</f>
        <v>0</v>
      </c>
    </row>
    <row r="109" spans="2:34" ht="12" customHeight="1">
      <c r="B109" s="259" t="s">
        <v>1549</v>
      </c>
      <c r="C109" s="260"/>
      <c r="D109" s="260"/>
      <c r="E109" s="260">
        <f>+F103</f>
        <v>6.6985833333333336</v>
      </c>
      <c r="F109" s="261">
        <f>+$AD109</f>
        <v>9.4485833333333336</v>
      </c>
      <c r="H109" s="264">
        <f>+$AD109</f>
        <v>9.4485833333333336</v>
      </c>
      <c r="J109" s="262">
        <f t="shared" ref="J109:AC109" si="51">+K103</f>
        <v>-1.3799999999999997</v>
      </c>
      <c r="K109" s="260">
        <f t="shared" si="51"/>
        <v>-1.3799999999999997</v>
      </c>
      <c r="L109" s="260">
        <f t="shared" si="51"/>
        <v>-1.3799999999999997</v>
      </c>
      <c r="M109" s="260">
        <f t="shared" si="51"/>
        <v>-1.3799999999999997</v>
      </c>
      <c r="N109" s="260">
        <f t="shared" si="51"/>
        <v>-1.3799999999999997</v>
      </c>
      <c r="O109" s="260">
        <f t="shared" si="51"/>
        <v>-1.3799999999999997</v>
      </c>
      <c r="P109" s="260">
        <f t="shared" si="51"/>
        <v>-1.3799999999999997</v>
      </c>
      <c r="Q109" s="260">
        <f t="shared" si="51"/>
        <v>-1.3799999999999997</v>
      </c>
      <c r="R109" s="260">
        <f t="shared" si="51"/>
        <v>1.6333333333333337</v>
      </c>
      <c r="S109" s="260">
        <f t="shared" si="51"/>
        <v>7.0985833333333339</v>
      </c>
      <c r="T109" s="260">
        <f t="shared" si="51"/>
        <v>6.6985833333333336</v>
      </c>
      <c r="U109" s="260">
        <f t="shared" si="51"/>
        <v>6.6985833333333336</v>
      </c>
      <c r="V109" s="260">
        <f t="shared" si="51"/>
        <v>7.8235833333333336</v>
      </c>
      <c r="W109" s="260">
        <f t="shared" si="51"/>
        <v>9.4485833333333336</v>
      </c>
      <c r="X109" s="260">
        <f t="shared" si="51"/>
        <v>9.4485833333333336</v>
      </c>
      <c r="Y109" s="260">
        <f t="shared" si="51"/>
        <v>9.4485833333333336</v>
      </c>
      <c r="Z109" s="260">
        <f t="shared" si="51"/>
        <v>9.4485833333333336</v>
      </c>
      <c r="AA109" s="260">
        <f t="shared" si="51"/>
        <v>9.4485833333333336</v>
      </c>
      <c r="AB109" s="260">
        <f t="shared" si="51"/>
        <v>9.4485833333333336</v>
      </c>
      <c r="AC109" s="260">
        <f t="shared" si="51"/>
        <v>9.4485833333333336</v>
      </c>
      <c r="AD109" s="261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80"/>
      <c r="C110" s="232"/>
      <c r="D110" s="232"/>
      <c r="E110" s="232"/>
      <c r="F110" s="232"/>
      <c r="H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3"/>
      <c r="AC110" s="233"/>
      <c r="AD110" s="233"/>
    </row>
    <row r="111" spans="2:34">
      <c r="B111" s="234" t="s">
        <v>1857</v>
      </c>
      <c r="C111" s="341"/>
      <c r="D111" s="341"/>
      <c r="E111" s="341">
        <f>AVERAGE(E103,E109)</f>
        <v>2.6592916666666668</v>
      </c>
      <c r="F111" s="342">
        <f>AVERAGE(F103,F109)</f>
        <v>8.0735833333333336</v>
      </c>
      <c r="G111" s="270"/>
      <c r="H111" s="345">
        <f>AVERAGE(H103,H109)</f>
        <v>5.5409583333333332</v>
      </c>
      <c r="I111" s="270"/>
      <c r="J111" s="347">
        <f t="shared" ref="J111:AD111" si="52">AVERAGE(J103,J109)</f>
        <v>-1.3799999999999997</v>
      </c>
      <c r="K111" s="341">
        <f t="shared" si="52"/>
        <v>-1.3799999999999997</v>
      </c>
      <c r="L111" s="341">
        <f t="shared" si="52"/>
        <v>-1.3799999999999997</v>
      </c>
      <c r="M111" s="341">
        <f t="shared" si="52"/>
        <v>-1.3799999999999997</v>
      </c>
      <c r="N111" s="341">
        <f t="shared" si="52"/>
        <v>-1.3799999999999997</v>
      </c>
      <c r="O111" s="341">
        <f t="shared" si="52"/>
        <v>-1.3799999999999997</v>
      </c>
      <c r="P111" s="341">
        <f t="shared" si="52"/>
        <v>-1.3799999999999997</v>
      </c>
      <c r="Q111" s="341">
        <f t="shared" si="52"/>
        <v>-1.3799999999999997</v>
      </c>
      <c r="R111" s="341">
        <f t="shared" si="52"/>
        <v>0.12666666666666704</v>
      </c>
      <c r="S111" s="341">
        <f t="shared" si="52"/>
        <v>4.3659583333333334</v>
      </c>
      <c r="T111" s="341">
        <f t="shared" si="52"/>
        <v>6.8985833333333337</v>
      </c>
      <c r="U111" s="341">
        <f t="shared" si="52"/>
        <v>6.6985833333333336</v>
      </c>
      <c r="V111" s="341">
        <f t="shared" si="52"/>
        <v>7.2610833333333336</v>
      </c>
      <c r="W111" s="341">
        <f t="shared" si="52"/>
        <v>8.6360833333333336</v>
      </c>
      <c r="X111" s="341">
        <f t="shared" si="52"/>
        <v>9.4485833333333336</v>
      </c>
      <c r="Y111" s="341">
        <f t="shared" si="52"/>
        <v>9.4485833333333336</v>
      </c>
      <c r="Z111" s="341">
        <f t="shared" si="52"/>
        <v>9.4485833333333336</v>
      </c>
      <c r="AA111" s="341">
        <f t="shared" si="52"/>
        <v>9.4485833333333336</v>
      </c>
      <c r="AB111" s="341">
        <f t="shared" si="52"/>
        <v>9.4485833333333336</v>
      </c>
      <c r="AC111" s="341">
        <f t="shared" si="52"/>
        <v>9.4485833333333336</v>
      </c>
      <c r="AD111" s="342">
        <f t="shared" si="52"/>
        <v>9.4485833333333336</v>
      </c>
    </row>
    <row r="112" spans="2:34">
      <c r="B112" s="237" t="s">
        <v>1856</v>
      </c>
      <c r="C112" s="343"/>
      <c r="D112" s="343"/>
      <c r="E112" s="343">
        <f>IFERROR(E111/'Client Retention'!E105*12,"")</f>
        <v>7.9778750000000009</v>
      </c>
      <c r="F112" s="344">
        <f>IFERROR(F111/'Client Retention'!F105*12,"")</f>
        <v>10.198210526315791</v>
      </c>
      <c r="G112" s="270"/>
      <c r="H112" s="346">
        <f>IFERROR(H111/'Client Retention'!H105*12,"")</f>
        <v>11.081916666666666</v>
      </c>
      <c r="I112" s="270"/>
      <c r="J112" s="348" t="str">
        <f>IFERROR(J111/'Client Retention'!J105*12,"")</f>
        <v/>
      </c>
      <c r="K112" s="343" t="str">
        <f>IFERROR(K111/'Client Retention'!K105*12,"")</f>
        <v/>
      </c>
      <c r="L112" s="343" t="str">
        <f>IFERROR(L111/'Client Retention'!L105*12,"")</f>
        <v/>
      </c>
      <c r="M112" s="343" t="str">
        <f>IFERROR(M111/'Client Retention'!M105*12,"")</f>
        <v/>
      </c>
      <c r="N112" s="343" t="str">
        <f>IFERROR(N111/'Client Retention'!N105*12,"")</f>
        <v/>
      </c>
      <c r="O112" s="343" t="str">
        <f>IFERROR(O111/'Client Retention'!O105*12,"")</f>
        <v/>
      </c>
      <c r="P112" s="343" t="str">
        <f>IFERROR(P111/'Client Retention'!P105*12,"")</f>
        <v/>
      </c>
      <c r="Q112" s="343" t="str">
        <f>IFERROR(Q111/'Client Retention'!Q105*12,"")</f>
        <v/>
      </c>
      <c r="R112" s="343">
        <f>IFERROR(R111/'Client Retention'!R105*12,"")</f>
        <v>3.0400000000000089</v>
      </c>
      <c r="S112" s="343">
        <f>IFERROR(S111/'Client Retention'!S105*12,"")</f>
        <v>10.478300000000001</v>
      </c>
      <c r="T112" s="343">
        <f>IFERROR(T111/'Client Retention'!T105*12,"")</f>
        <v>9.7391764705882355</v>
      </c>
      <c r="U112" s="343">
        <f>IFERROR(U111/'Client Retention'!U105*12,"")</f>
        <v>10.047875000000001</v>
      </c>
      <c r="V112" s="343">
        <f>IFERROR(V111/'Client Retention'!V105*12,"")</f>
        <v>10.250941176470588</v>
      </c>
      <c r="W112" s="343">
        <f>IFERROR(W111/'Client Retention'!W105*12,"")</f>
        <v>10.363299999999999</v>
      </c>
      <c r="X112" s="343">
        <f>IFERROR(X111/'Client Retention'!X105*12,"")</f>
        <v>10.307545454545455</v>
      </c>
      <c r="Y112" s="343">
        <f>IFERROR(Y111/'Client Retention'!Y105*12,"")</f>
        <v>10.307545454545455</v>
      </c>
      <c r="Z112" s="343">
        <f>IFERROR(Z111/'Client Retention'!Z105*12,"")</f>
        <v>10.307545454545455</v>
      </c>
      <c r="AA112" s="343">
        <f>IFERROR(AA111/'Client Retention'!AA105*12,"")</f>
        <v>10.307545454545455</v>
      </c>
      <c r="AB112" s="343">
        <f>IFERROR(AB111/'Client Retention'!AB105*12,"")</f>
        <v>10.307545454545455</v>
      </c>
      <c r="AC112" s="343">
        <f>IFERROR(AC111/'Client Retention'!AC105*12,"")</f>
        <v>10.307545454545455</v>
      </c>
      <c r="AD112" s="344">
        <f>IFERROR(AD111/'Client Retention'!AD105*12,"")</f>
        <v>10.307545454545455</v>
      </c>
    </row>
    <row r="113" spans="2:37" ht="3.95" customHeight="1">
      <c r="B113" s="180"/>
      <c r="C113" s="232"/>
      <c r="D113" s="232"/>
      <c r="E113" s="232"/>
      <c r="F113" s="232"/>
      <c r="H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3"/>
      <c r="AC113" s="233"/>
      <c r="AD113" s="233"/>
    </row>
    <row r="114" spans="2:37" ht="12" customHeight="1">
      <c r="B114" s="234" t="s">
        <v>1550</v>
      </c>
      <c r="C114" s="235"/>
      <c r="D114" s="235"/>
      <c r="E114" s="236">
        <f>(E104+E103)/E103-1</f>
        <v>-6.4518719806763283</v>
      </c>
      <c r="F114" s="247">
        <f>(F104+F103)/F103-1</f>
        <v>0.41053456576639347</v>
      </c>
      <c r="G114" s="248"/>
      <c r="H114" s="249">
        <f>(H104+H103)/H103-1</f>
        <v>5.029744897959187</v>
      </c>
      <c r="J114" s="246">
        <f t="shared" ref="J114:T114" si="53">(J104+J103)/J103-1</f>
        <v>0</v>
      </c>
      <c r="K114" s="236">
        <f t="shared" si="53"/>
        <v>0</v>
      </c>
      <c r="L114" s="236">
        <f t="shared" si="53"/>
        <v>0</v>
      </c>
      <c r="M114" s="236">
        <f t="shared" si="53"/>
        <v>0</v>
      </c>
      <c r="N114" s="236">
        <f t="shared" si="53"/>
        <v>0</v>
      </c>
      <c r="O114" s="236">
        <f t="shared" si="53"/>
        <v>0</v>
      </c>
      <c r="P114" s="236">
        <f t="shared" si="53"/>
        <v>0</v>
      </c>
      <c r="Q114" s="236">
        <f t="shared" si="53"/>
        <v>0</v>
      </c>
      <c r="R114" s="236">
        <f t="shared" si="53"/>
        <v>-2.4915458937198074</v>
      </c>
      <c r="S114" s="236">
        <f t="shared" si="53"/>
        <v>3.3460714285714275</v>
      </c>
      <c r="T114" s="236">
        <f t="shared" si="53"/>
        <v>0</v>
      </c>
      <c r="U114" s="236">
        <f t="shared" ref="U114:AD114" si="54">IFERROR((U104+U103)/U103-1,0)</f>
        <v>0</v>
      </c>
      <c r="V114" s="236">
        <f t="shared" si="54"/>
        <v>0.16794595872261553</v>
      </c>
      <c r="W114" s="236">
        <f t="shared" si="54"/>
        <v>0.20770533536422997</v>
      </c>
      <c r="X114" s="236">
        <f t="shared" si="54"/>
        <v>0</v>
      </c>
      <c r="Y114" s="236">
        <f t="shared" si="54"/>
        <v>0</v>
      </c>
      <c r="Z114" s="236">
        <f t="shared" si="54"/>
        <v>0</v>
      </c>
      <c r="AA114" s="236">
        <f t="shared" si="54"/>
        <v>0</v>
      </c>
      <c r="AB114" s="236">
        <f t="shared" si="54"/>
        <v>0</v>
      </c>
      <c r="AC114" s="236">
        <f t="shared" si="54"/>
        <v>0</v>
      </c>
      <c r="AD114" s="247">
        <f t="shared" si="54"/>
        <v>0</v>
      </c>
    </row>
    <row r="115" spans="2:37" ht="12" customHeight="1">
      <c r="B115" s="237" t="s">
        <v>1551</v>
      </c>
      <c r="C115" s="238"/>
      <c r="D115" s="238"/>
      <c r="E115" s="239">
        <f>(E108+E111)/E111-1</f>
        <v>-0.31023298810773547</v>
      </c>
      <c r="F115" s="240">
        <f>(F108+F111)/F111-1</f>
        <v>0</v>
      </c>
      <c r="G115" s="248"/>
      <c r="H115" s="242">
        <f>(H108+H111)/H111-1</f>
        <v>-7.2189678379943389E-2</v>
      </c>
      <c r="J115" s="241">
        <f t="shared" ref="J115:AD115" si="55">(J108+J111)/J111-1</f>
        <v>0</v>
      </c>
      <c r="K115" s="239">
        <f t="shared" si="55"/>
        <v>0</v>
      </c>
      <c r="L115" s="239">
        <f t="shared" si="55"/>
        <v>0</v>
      </c>
      <c r="M115" s="239">
        <f t="shared" si="55"/>
        <v>0</v>
      </c>
      <c r="N115" s="239">
        <f t="shared" si="55"/>
        <v>0</v>
      </c>
      <c r="O115" s="239">
        <f t="shared" si="55"/>
        <v>0</v>
      </c>
      <c r="P115" s="239">
        <f t="shared" si="55"/>
        <v>0</v>
      </c>
      <c r="Q115" s="239">
        <f t="shared" si="55"/>
        <v>0</v>
      </c>
      <c r="R115" s="239">
        <f t="shared" si="55"/>
        <v>-3.355263157894727</v>
      </c>
      <c r="S115" s="239">
        <f t="shared" si="55"/>
        <v>0</v>
      </c>
      <c r="T115" s="239">
        <f t="shared" si="55"/>
        <v>-5.7982919198386162E-2</v>
      </c>
      <c r="U115" s="239">
        <f t="shared" si="55"/>
        <v>0</v>
      </c>
      <c r="V115" s="239">
        <f t="shared" si="55"/>
        <v>0</v>
      </c>
      <c r="W115" s="239">
        <f t="shared" si="55"/>
        <v>0</v>
      </c>
      <c r="X115" s="239">
        <f t="shared" si="55"/>
        <v>0</v>
      </c>
      <c r="Y115" s="239">
        <f t="shared" si="55"/>
        <v>0</v>
      </c>
      <c r="Z115" s="239">
        <f t="shared" si="55"/>
        <v>0</v>
      </c>
      <c r="AA115" s="239">
        <f t="shared" si="55"/>
        <v>0</v>
      </c>
      <c r="AB115" s="239">
        <f t="shared" si="55"/>
        <v>0</v>
      </c>
      <c r="AC115" s="239">
        <f t="shared" si="55"/>
        <v>0</v>
      </c>
      <c r="AD115" s="240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8">
        <v>44926</v>
      </c>
      <c r="D155" s="200">
        <f>C156</f>
        <v>45291</v>
      </c>
      <c r="E155" s="200">
        <f>D156</f>
        <v>45657</v>
      </c>
      <c r="AK155"/>
    </row>
    <row r="156" spans="3:37" ht="15">
      <c r="C156" s="199">
        <f>EOMONTH(C155,12)</f>
        <v>45291</v>
      </c>
      <c r="D156" s="199">
        <f>EOMONTH(D155,12)</f>
        <v>45657</v>
      </c>
      <c r="E156" s="199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6" priority="1">
      <formula>$AG$3=1</formula>
    </cfRule>
  </conditionalFormatting>
  <conditionalFormatting sqref="B6:H6 J6:AH6">
    <cfRule type="expression" dxfId="45" priority="19">
      <formula>$Y$3=1</formula>
    </cfRule>
  </conditionalFormatting>
  <conditionalFormatting sqref="B22:H22 J22:AH22">
    <cfRule type="expression" dxfId="44" priority="7">
      <formula>$Y$3=1</formula>
    </cfRule>
  </conditionalFormatting>
  <conditionalFormatting sqref="B38:H38">
    <cfRule type="expression" dxfId="43" priority="6">
      <formula>$Y$3=1</formula>
    </cfRule>
  </conditionalFormatting>
  <conditionalFormatting sqref="B54:H54">
    <cfRule type="expression" dxfId="42" priority="5">
      <formula>$Y$3=1</formula>
    </cfRule>
  </conditionalFormatting>
  <conditionalFormatting sqref="B70:H70">
    <cfRule type="expression" dxfId="41" priority="4">
      <formula>$Y$3=1</formula>
    </cfRule>
  </conditionalFormatting>
  <conditionalFormatting sqref="B86:H86">
    <cfRule type="expression" dxfId="40" priority="3">
      <formula>$Y$3=1</formula>
    </cfRule>
  </conditionalFormatting>
  <conditionalFormatting sqref="B102:H102">
    <cfRule type="expression" dxfId="39" priority="2">
      <formula>$Y$3=1</formula>
    </cfRule>
  </conditionalFormatting>
  <conditionalFormatting sqref="J38:AH38">
    <cfRule type="expression" dxfId="38" priority="17">
      <formula>$Y$3=1</formula>
    </cfRule>
  </conditionalFormatting>
  <conditionalFormatting sqref="J54:AH54">
    <cfRule type="expression" dxfId="37" priority="13">
      <formula>$Y$3=1</formula>
    </cfRule>
  </conditionalFormatting>
  <conditionalFormatting sqref="J70:AH70">
    <cfRule type="expression" dxfId="36" priority="16">
      <formula>$Y$3=1</formula>
    </cfRule>
  </conditionalFormatting>
  <conditionalFormatting sqref="J86:AH86">
    <cfRule type="expression" dxfId="35" priority="15">
      <formula>$Y$3=1</formula>
    </cfRule>
  </conditionalFormatting>
  <conditionalFormatting sqref="J102:AH102">
    <cfRule type="expression" dxfId="34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1552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1546</v>
      </c>
    </row>
    <row r="32" spans="2:2">
      <c r="B32" s="217" t="s">
        <v>1545</v>
      </c>
    </row>
    <row r="58" spans="2:2">
      <c r="B58" s="217" t="s">
        <v>1542</v>
      </c>
    </row>
    <row r="85" spans="2:23">
      <c r="B85" s="267" t="str">
        <f>+'Client Retention $'!B22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1537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6" t="s">
        <v>1538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6" t="s">
        <v>1539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6" t="s">
        <v>1540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1537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1541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7" t="str">
        <f>+'Client Retention $'!B38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1537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6" t="s">
        <v>1541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7" t="str">
        <f>+'Client Retention $'!B54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1537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6" t="s">
        <v>1541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52" customFormat="1" ht="12">
      <c r="B3" s="97" t="s">
        <v>1876</v>
      </c>
      <c r="L3" s="352" t="s">
        <v>276</v>
      </c>
      <c r="M3" s="78">
        <v>1</v>
      </c>
    </row>
    <row r="4" spans="2:13" s="352" customFormat="1" ht="12">
      <c r="B4" s="353"/>
      <c r="C4" s="353"/>
      <c r="D4" s="353"/>
      <c r="E4" s="353"/>
      <c r="F4" s="353"/>
      <c r="G4" s="353"/>
      <c r="H4" s="353"/>
      <c r="I4" s="353"/>
      <c r="J4" s="353"/>
    </row>
    <row r="5" spans="2:13" s="352" customFormat="1" ht="12">
      <c r="B5" s="373"/>
      <c r="C5" s="362" t="s">
        <v>1860</v>
      </c>
      <c r="D5" s="362"/>
      <c r="E5" s="362" t="s">
        <v>1861</v>
      </c>
      <c r="F5" s="362"/>
      <c r="G5" s="362"/>
      <c r="H5" s="362" t="s">
        <v>1862</v>
      </c>
      <c r="I5" s="362"/>
      <c r="J5" s="362"/>
    </row>
    <row r="6" spans="2:13" s="352" customFormat="1" ht="12">
      <c r="B6" s="363" t="s">
        <v>1863</v>
      </c>
      <c r="C6" s="364" t="s">
        <v>1877</v>
      </c>
      <c r="D6" s="363" t="s">
        <v>1864</v>
      </c>
      <c r="E6" s="364" t="s">
        <v>1865</v>
      </c>
      <c r="F6" s="363" t="s">
        <v>1866</v>
      </c>
      <c r="G6" s="363" t="s">
        <v>1867</v>
      </c>
      <c r="H6" s="364" t="s">
        <v>490</v>
      </c>
      <c r="I6" s="363" t="s">
        <v>491</v>
      </c>
      <c r="J6" s="363" t="s">
        <v>492</v>
      </c>
      <c r="L6" s="365" t="s">
        <v>1871</v>
      </c>
      <c r="M6" s="365" t="s">
        <v>1872</v>
      </c>
    </row>
    <row r="7" spans="2:13" s="352" customFormat="1" ht="12">
      <c r="B7" s="359" t="str" cm="1">
        <f t="array" ref="B7">INDEX('Full Customer List'!$B:$B,$M7)</f>
        <v>C-001</v>
      </c>
      <c r="C7" s="355">
        <f>$L7*12/1000</f>
        <v>110.31636000000002</v>
      </c>
      <c r="D7" s="366">
        <f t="shared" ref="D7:D26" si="0">$C7/$C$29</f>
        <v>3.5671952744149055E-2</v>
      </c>
      <c r="E7" s="367" cm="1">
        <f t="array" ref="E7">INDEX('Full Customer List'!$F:$F,$M7)</f>
        <v>206</v>
      </c>
      <c r="F7" s="368" cm="1">
        <f t="array" ref="F7">INDEX('Full Customer List'!$I:$I,$M7)</f>
        <v>45597</v>
      </c>
      <c r="G7" s="369">
        <f t="shared" ref="G7:G26" si="1">($C$33-$F7)/365</f>
        <v>1.7452054794520548</v>
      </c>
      <c r="H7" s="352" t="str">
        <f>IFERROR(INDEX('Customer List w Software'!$AA:$AA,MATCH($B7,'Customer List w Software'!$A:$A,0)),"–")</f>
        <v>Abegail Nunez</v>
      </c>
      <c r="I7" s="352" t="str">
        <f>IFERROR(INDEX('Customer List w Software'!$AB:$AB,MATCH($B7,'Customer List w Software'!$A:$A,0)),"–")</f>
        <v>Zen Rodriguez</v>
      </c>
      <c r="J7" s="352" t="str">
        <f>IFERROR(INDEX('Customer List w Software'!$AC:$AC,MATCH($B7,'Customer List w Software'!$A:$A,0)),"–")</f>
        <v>Mary Reilly</v>
      </c>
      <c r="L7" s="370" cm="1">
        <f t="array" ref="L7">_xlfn.AGGREGATE(14,6,'Full Customer List'!$G$7:$G$320/('Full Customer List'!$C$7:$C$320="Active"),ROW()-6)</f>
        <v>9193.0300000000007</v>
      </c>
      <c r="M7" s="370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52" customFormat="1" ht="12">
      <c r="B8" s="359" t="str" cm="1">
        <f t="array" ref="B8">INDEX('Full Customer List'!$B:$B,$M8)</f>
        <v>C-002</v>
      </c>
      <c r="C8" s="367">
        <f t="shared" ref="C8:C26" si="2">$L8*12/1000</f>
        <v>104.232</v>
      </c>
      <c r="D8" s="366">
        <f t="shared" si="0"/>
        <v>3.3704511084558478E-2</v>
      </c>
      <c r="E8" s="367" cm="1">
        <f t="array" ref="E8">INDEX('Full Customer List'!$F:$F,$M8)</f>
        <v>163</v>
      </c>
      <c r="F8" s="368" cm="1">
        <f t="array" ref="F8">INDEX('Full Customer List'!$I:$I,$M8)</f>
        <v>45931</v>
      </c>
      <c r="G8" s="369">
        <f t="shared" si="1"/>
        <v>0.83013698630136989</v>
      </c>
      <c r="H8" s="352" t="str">
        <f>IFERROR(INDEX('Customer List w Software'!$AA:$AA,MATCH($B8,'Customer List w Software'!$A:$A,0)),"–")</f>
        <v>Homer Corpuz</v>
      </c>
      <c r="I8" s="352" t="str">
        <f>IFERROR(INDEX('Customer List w Software'!$AB:$AB,MATCH($B8,'Customer List w Software'!$A:$A,0)),"–")</f>
        <v>Abby Del Rosario</v>
      </c>
      <c r="J8" s="352" t="str">
        <f>IFERROR(INDEX('Customer List w Software'!$AC:$AC,MATCH($B8,'Customer List w Software'!$A:$A,0)),"–")</f>
        <v>Thea Hemmatyar</v>
      </c>
      <c r="L8" s="370" cm="1">
        <f t="array" ref="L8">_xlfn.AGGREGATE(14,6,'Full Customer List'!$G$7:$G$320/('Full Customer List'!$C$7:$C$320="Active"),ROW()-6)</f>
        <v>8686</v>
      </c>
      <c r="M8" s="370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52" customFormat="1" ht="12">
      <c r="B9" s="359" t="str" cm="1">
        <f t="array" ref="B9">INDEX('Full Customer List'!$B:$B,$M9)</f>
        <v>C-007</v>
      </c>
      <c r="C9" s="367">
        <f t="shared" si="2"/>
        <v>76.284000000000006</v>
      </c>
      <c r="D9" s="366">
        <f t="shared" si="0"/>
        <v>2.4667231978417945E-2</v>
      </c>
      <c r="E9" s="367" cm="1">
        <f t="array" ref="E9">INDEX('Full Customer List'!$F:$F,$M9)</f>
        <v>81</v>
      </c>
      <c r="F9" s="368" cm="1">
        <f t="array" ref="F9">INDEX('Full Customer List'!$I:$I,$M9)</f>
        <v>45717</v>
      </c>
      <c r="G9" s="369">
        <f t="shared" si="1"/>
        <v>1.4164383561643836</v>
      </c>
      <c r="H9" s="352" t="str">
        <f>IFERROR(INDEX('Customer List w Software'!$AA:$AA,MATCH($B9,'Customer List w Software'!$A:$A,0)),"–")</f>
        <v>Vincent Basa</v>
      </c>
      <c r="I9" s="352" t="str">
        <f>IFERROR(INDEX('Customer List w Software'!$AB:$AB,MATCH($B9,'Customer List w Software'!$A:$A,0)),"–")</f>
        <v>Ria Velasco</v>
      </c>
      <c r="J9" s="352" t="str">
        <f>IFERROR(INDEX('Customer List w Software'!$AC:$AC,MATCH($B9,'Customer List w Software'!$A:$A,0)),"–")</f>
        <v>Jennifer Murphy</v>
      </c>
      <c r="L9" s="370" cm="1">
        <f t="array" ref="L9">_xlfn.AGGREGATE(14,6,'Full Customer List'!$G$7:$G$320/('Full Customer List'!$C$7:$C$320="Active"),ROW()-6)</f>
        <v>6357</v>
      </c>
      <c r="M9" s="370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52" customFormat="1" ht="12">
      <c r="B10" s="359" t="str" cm="1">
        <f t="array" ref="B10">INDEX('Full Customer List'!$B:$B,$M10)</f>
        <v>C-123</v>
      </c>
      <c r="C10" s="367">
        <f t="shared" si="2"/>
        <v>75.024000000000001</v>
      </c>
      <c r="D10" s="366">
        <f t="shared" si="0"/>
        <v>2.4259797755083998E-2</v>
      </c>
      <c r="E10" s="367" cm="1">
        <f t="array" ref="E10">INDEX('Full Customer List'!$F:$F,$M10)</f>
        <v>83</v>
      </c>
      <c r="F10" s="368" cm="1">
        <f t="array" ref="F10">INDEX('Full Customer List'!$I:$I,$M10)</f>
        <v>46204</v>
      </c>
      <c r="G10" s="369">
        <f t="shared" si="1"/>
        <v>8.2191780821917804E-2</v>
      </c>
      <c r="H10" s="352" t="str">
        <f>IFERROR(INDEX('Customer List w Software'!$AA:$AA,MATCH($B10,'Customer List w Software'!$A:$A,0)),"–")</f>
        <v>Rhonagie Jordan</v>
      </c>
      <c r="I10" s="352" t="str">
        <f>IFERROR(INDEX('Customer List w Software'!$AB:$AB,MATCH($B10,'Customer List w Software'!$A:$A,0)),"–")</f>
        <v>Marie Lasco</v>
      </c>
      <c r="J10" s="352" t="str">
        <f>IFERROR(INDEX('Customer List w Software'!$AC:$AC,MATCH($B10,'Customer List w Software'!$A:$A,0)),"–")</f>
        <v>Ben Coons</v>
      </c>
      <c r="L10" s="370" cm="1">
        <f t="array" ref="L10">_xlfn.AGGREGATE(14,6,'Full Customer List'!$G$7:$G$320/('Full Customer List'!$C$7:$C$320="Active"),ROW()-6)</f>
        <v>6252</v>
      </c>
      <c r="M10" s="370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52" customFormat="1" ht="12">
      <c r="B11" s="359" t="str" cm="1">
        <f t="array" ref="B11">INDEX('Full Customer List'!$B:$B,$M11)</f>
        <v>C-046</v>
      </c>
      <c r="C11" s="367">
        <f t="shared" si="2"/>
        <v>68.744</v>
      </c>
      <c r="D11" s="366">
        <f t="shared" si="0"/>
        <v>2.2229093848308467E-2</v>
      </c>
      <c r="E11" s="367" cm="1">
        <f t="array" ref="E11">INDEX('Full Customer List'!$F:$F,$M11)</f>
        <v>120</v>
      </c>
      <c r="F11" s="368" cm="1">
        <f t="array" ref="F11">INDEX('Full Customer List'!$I:$I,$M11)</f>
        <v>46143</v>
      </c>
      <c r="G11" s="369">
        <f t="shared" si="1"/>
        <v>0.24931506849315069</v>
      </c>
      <c r="H11" s="352" t="str">
        <f>IFERROR(INDEX('Customer List w Software'!$AA:$AA,MATCH($B11,'Customer List w Software'!$A:$A,0)),"–")</f>
        <v>Mariel Vicente</v>
      </c>
      <c r="I11" s="352" t="str">
        <f>IFERROR(INDEX('Customer List w Software'!$AB:$AB,MATCH($B11,'Customer List w Software'!$A:$A,0)),"–")</f>
        <v>Blessie Argente</v>
      </c>
      <c r="J11" s="352" t="str">
        <f>IFERROR(INDEX('Customer List w Software'!$AC:$AC,MATCH($B11,'Customer List w Software'!$A:$A,0)),"–")</f>
        <v>Jennifer Murphy</v>
      </c>
      <c r="L11" s="370" cm="1">
        <f t="array" ref="L11">_xlfn.AGGREGATE(14,6,'Full Customer List'!$G$7:$G$320/('Full Customer List'!$C$7:$C$320="Active"),ROW()-6)</f>
        <v>5728.666666666667</v>
      </c>
      <c r="M11" s="370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52" customFormat="1" ht="12">
      <c r="B12" s="359" t="str" cm="1">
        <f t="array" ref="B12">INDEX('Full Customer List'!$B:$B,$M12)</f>
        <v>C-323</v>
      </c>
      <c r="C12" s="367">
        <f t="shared" si="2"/>
        <v>47.88</v>
      </c>
      <c r="D12" s="366">
        <f t="shared" si="0"/>
        <v>1.5482500486689886E-2</v>
      </c>
      <c r="E12" s="367" cm="1">
        <f t="array" ref="E12">INDEX('Full Customer List'!$F:$F,$M12)</f>
        <v>55</v>
      </c>
      <c r="F12" s="368" cm="1">
        <f t="array" ref="F12">INDEX('Full Customer List'!$I:$I,$M12)</f>
        <v>46266</v>
      </c>
      <c r="G12" s="369">
        <f t="shared" si="1"/>
        <v>-8.7671232876712329E-2</v>
      </c>
      <c r="H12" s="352" t="str">
        <f>IFERROR(INDEX('Customer List w Software'!$AA:$AA,MATCH($B12,'Customer List w Software'!$A:$A,0)),"–")</f>
        <v>–</v>
      </c>
      <c r="I12" s="352" t="str">
        <f>IFERROR(INDEX('Customer List w Software'!$AB:$AB,MATCH($B12,'Customer List w Software'!$A:$A,0)),"–")</f>
        <v>–</v>
      </c>
      <c r="J12" s="352" t="str">
        <f>IFERROR(INDEX('Customer List w Software'!$AC:$AC,MATCH($B12,'Customer List w Software'!$A:$A,0)),"–")</f>
        <v>–</v>
      </c>
      <c r="L12" s="370" cm="1">
        <f t="array" ref="L12">_xlfn.AGGREGATE(14,6,'Full Customer List'!$G$7:$G$320/('Full Customer List'!$C$7:$C$320="Active"),ROW()-6)</f>
        <v>3990</v>
      </c>
      <c r="M12" s="370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52" customFormat="1" ht="12">
      <c r="B13" s="359" t="str" cm="1">
        <f t="array" ref="B13">INDEX('Full Customer List'!$B:$B,$M13)</f>
        <v>C-004</v>
      </c>
      <c r="C13" s="367">
        <f t="shared" si="2"/>
        <v>45.276000000000003</v>
      </c>
      <c r="D13" s="366">
        <f t="shared" si="0"/>
        <v>1.4640469758466401E-2</v>
      </c>
      <c r="E13" s="367" cm="1">
        <f t="array" ref="E13">INDEX('Full Customer List'!$F:$F,$M13)</f>
        <v>99</v>
      </c>
      <c r="F13" s="368" cm="1">
        <f t="array" ref="F13">INDEX('Full Customer List'!$I:$I,$M13)</f>
        <v>45717</v>
      </c>
      <c r="G13" s="369">
        <f t="shared" si="1"/>
        <v>1.4164383561643836</v>
      </c>
      <c r="H13" s="352" t="str">
        <f>IFERROR(INDEX('Customer List w Software'!$AA:$AA,MATCH($B13,'Customer List w Software'!$A:$A,0)),"–")</f>
        <v>Wilyn Gasatan</v>
      </c>
      <c r="I13" s="352" t="str">
        <f>IFERROR(INDEX('Customer List w Software'!$AB:$AB,MATCH($B13,'Customer List w Software'!$A:$A,0)),"–")</f>
        <v>Makie Reblando</v>
      </c>
      <c r="J13" s="352" t="str">
        <f>IFERROR(INDEX('Customer List w Software'!$AC:$AC,MATCH($B13,'Customer List w Software'!$A:$A,0)),"–")</f>
        <v>Thea Hemmatyar</v>
      </c>
      <c r="L13" s="370" cm="1">
        <f t="array" ref="L13">_xlfn.AGGREGATE(14,6,'Full Customer List'!$G$7:$G$320/('Full Customer List'!$C$7:$C$320="Active"),ROW()-6)</f>
        <v>3773</v>
      </c>
      <c r="M13" s="370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52" customFormat="1" ht="12">
      <c r="B14" s="359" t="str" cm="1">
        <f t="array" ref="B14">INDEX('Full Customer List'!$B:$B,$M14)</f>
        <v>C-003</v>
      </c>
      <c r="C14" s="367">
        <f t="shared" si="2"/>
        <v>45</v>
      </c>
      <c r="D14" s="366">
        <f t="shared" si="0"/>
        <v>1.4551222261926584E-2</v>
      </c>
      <c r="E14" s="367" cm="1">
        <f t="array" ref="E14">INDEX('Full Customer List'!$F:$F,$M14)</f>
        <v>85</v>
      </c>
      <c r="F14" s="368" cm="1">
        <f t="array" ref="F14">INDEX('Full Customer List'!$I:$I,$M14)</f>
        <v>44531</v>
      </c>
      <c r="G14" s="369">
        <f t="shared" si="1"/>
        <v>4.6657534246575345</v>
      </c>
      <c r="H14" s="352" t="str">
        <f>IFERROR(INDEX('Customer List w Software'!$AA:$AA,MATCH($B14,'Customer List w Software'!$A:$A,0)),"–")</f>
        <v>Christian Cosicol</v>
      </c>
      <c r="I14" s="352" t="str">
        <f>IFERROR(INDEX('Customer List w Software'!$AB:$AB,MATCH($B14,'Customer List w Software'!$A:$A,0)),"–")</f>
        <v>Jaira Yadan</v>
      </c>
      <c r="J14" s="352" t="str">
        <f>IFERROR(INDEX('Customer List w Software'!$AC:$AC,MATCH($B14,'Customer List w Software'!$A:$A,0)),"–")</f>
        <v>Mary Reilly</v>
      </c>
      <c r="L14" s="370" cm="1">
        <f t="array" ref="L14">_xlfn.AGGREGATE(14,6,'Full Customer List'!$G$7:$G$320/('Full Customer List'!$C$7:$C$320="Active"),ROW()-6)</f>
        <v>3750</v>
      </c>
      <c r="M14" s="370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52" customFormat="1" ht="12">
      <c r="B15" s="359" t="str" cm="1">
        <f t="array" ref="B15">INDEX('Full Customer List'!$B:$B,$M15)</f>
        <v>C-005</v>
      </c>
      <c r="C15" s="367">
        <f t="shared" si="2"/>
        <v>43.811999999999998</v>
      </c>
      <c r="D15" s="366">
        <f t="shared" si="0"/>
        <v>1.4167069994211721E-2</v>
      </c>
      <c r="E15" s="367" cm="1">
        <f t="array" ref="E15">INDEX('Full Customer List'!$F:$F,$M15)</f>
        <v>73</v>
      </c>
      <c r="F15" s="368" cm="1">
        <f t="array" ref="F15">INDEX('Full Customer List'!$I:$I,$M15)</f>
        <v>44713</v>
      </c>
      <c r="G15" s="369">
        <f t="shared" si="1"/>
        <v>4.1671232876712327</v>
      </c>
      <c r="H15" s="352" t="str">
        <f>IFERROR(INDEX('Customer List w Software'!$AA:$AA,MATCH($B15,'Customer List w Software'!$A:$A,0)),"–")</f>
        <v>Ambher Inonog</v>
      </c>
      <c r="I15" s="352" t="str">
        <f>IFERROR(INDEX('Customer List w Software'!$AB:$AB,MATCH($B15,'Customer List w Software'!$A:$A,0)),"–")</f>
        <v>Ria Velasco</v>
      </c>
      <c r="J15" s="352" t="str">
        <f>IFERROR(INDEX('Customer List w Software'!$AC:$AC,MATCH($B15,'Customer List w Software'!$A:$A,0)),"–")</f>
        <v>Jennifer Murphy</v>
      </c>
      <c r="L15" s="370" cm="1">
        <f t="array" ref="L15">_xlfn.AGGREGATE(14,6,'Full Customer List'!$G$7:$G$320/('Full Customer List'!$C$7:$C$320="Active"),ROW()-6)</f>
        <v>3651</v>
      </c>
      <c r="M15" s="370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52" customFormat="1" ht="12">
      <c r="B16" s="359" t="str" cm="1">
        <f t="array" ref="B16">INDEX('Full Customer List'!$B:$B,$M16)</f>
        <v>C-006</v>
      </c>
      <c r="C16" s="367">
        <f t="shared" si="2"/>
        <v>41.847999999999999</v>
      </c>
      <c r="D16" s="366">
        <f t="shared" si="0"/>
        <v>1.3531989982602303E-2</v>
      </c>
      <c r="E16" s="367" cm="1">
        <f t="array" ref="E16">INDEX('Full Customer List'!$F:$F,$M16)</f>
        <v>54</v>
      </c>
      <c r="F16" s="368" cm="1">
        <f t="array" ref="F16">INDEX('Full Customer List'!$I:$I,$M16)</f>
        <v>45444</v>
      </c>
      <c r="G16" s="369">
        <f t="shared" si="1"/>
        <v>2.1643835616438358</v>
      </c>
      <c r="H16" s="352" t="str">
        <f>IFERROR(INDEX('Customer List w Software'!$AA:$AA,MATCH($B16,'Customer List w Software'!$A:$A,0)),"–")</f>
        <v>Zar Centino</v>
      </c>
      <c r="I16" s="352" t="str">
        <f>IFERROR(INDEX('Customer List w Software'!$AB:$AB,MATCH($B16,'Customer List w Software'!$A:$A,0)),"–")</f>
        <v>Lesther Velasco</v>
      </c>
      <c r="J16" s="352" t="str">
        <f>IFERROR(INDEX('Customer List w Software'!$AC:$AC,MATCH($B16,'Customer List w Software'!$A:$A,0)),"–")</f>
        <v>Thea Hemmatyar</v>
      </c>
      <c r="L16" s="370" cm="1">
        <f t="array" ref="L16">_xlfn.AGGREGATE(14,6,'Full Customer List'!$G$7:$G$320/('Full Customer List'!$C$7:$C$320="Active"),ROW()-6)</f>
        <v>3487.3333333333335</v>
      </c>
      <c r="M16" s="370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52" customFormat="1" ht="12">
      <c r="B17" s="359" t="str" cm="1">
        <f t="array" ref="B17">INDEX('Full Customer List'!$B:$B,$M17)</f>
        <v>C-018</v>
      </c>
      <c r="C17" s="367">
        <f t="shared" si="2"/>
        <v>39.152000000000001</v>
      </c>
      <c r="D17" s="366">
        <f t="shared" si="0"/>
        <v>1.2660210088865547E-2</v>
      </c>
      <c r="E17" s="367" cm="1">
        <f t="array" ref="E17">INDEX('Full Customer List'!$F:$F,$M17)</f>
        <v>47</v>
      </c>
      <c r="F17" s="368" cm="1">
        <f t="array" ref="F17">INDEX('Full Customer List'!$I:$I,$M17)</f>
        <v>45231</v>
      </c>
      <c r="G17" s="369">
        <f t="shared" si="1"/>
        <v>2.7479452054794522</v>
      </c>
      <c r="H17" s="352" t="str">
        <f>IFERROR(INDEX('Customer List w Software'!$AA:$AA,MATCH($B17,'Customer List w Software'!$A:$A,0)),"–")</f>
        <v>Hannah Jacalan</v>
      </c>
      <c r="I17" s="352" t="str">
        <f>IFERROR(INDEX('Customer List w Software'!$AB:$AB,MATCH($B17,'Customer List w Software'!$A:$A,0)),"–")</f>
        <v>Benhur Gaddi</v>
      </c>
      <c r="J17" s="352" t="str">
        <f>IFERROR(INDEX('Customer List w Software'!$AC:$AC,MATCH($B17,'Customer List w Software'!$A:$A,0)),"–")</f>
        <v>Jennifer Murphy</v>
      </c>
      <c r="L17" s="370" cm="1">
        <f t="array" ref="L17">_xlfn.AGGREGATE(14,6,'Full Customer List'!$G$7:$G$320/('Full Customer List'!$C$7:$C$320="Active"),ROW()-6)</f>
        <v>3262.6666666666665</v>
      </c>
      <c r="M17" s="370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52" customFormat="1" ht="12">
      <c r="B18" s="359" t="str" cm="1">
        <f t="array" ref="B18">INDEX('Full Customer List'!$B:$B,$M18)</f>
        <v>C-010</v>
      </c>
      <c r="C18" s="367">
        <f t="shared" si="2"/>
        <v>36.9</v>
      </c>
      <c r="D18" s="366">
        <f t="shared" si="0"/>
        <v>1.1932002254779799E-2</v>
      </c>
      <c r="E18" s="367" cm="1">
        <f t="array" ref="E18">INDEX('Full Customer List'!$F:$F,$M18)</f>
        <v>38</v>
      </c>
      <c r="F18" s="368" cm="1">
        <f t="array" ref="F18">INDEX('Full Customer List'!$I:$I,$M18)</f>
        <v>45413</v>
      </c>
      <c r="G18" s="369">
        <f t="shared" si="1"/>
        <v>2.2493150684931509</v>
      </c>
      <c r="H18" s="352" t="str">
        <f>IFERROR(INDEX('Customer List w Software'!$AA:$AA,MATCH($B18,'Customer List w Software'!$A:$A,0)),"–")</f>
        <v>Hannah Jacalan</v>
      </c>
      <c r="I18" s="352" t="str">
        <f>IFERROR(INDEX('Customer List w Software'!$AB:$AB,MATCH($B18,'Customer List w Software'!$A:$A,0)),"–")</f>
        <v>Benhur Gaddi</v>
      </c>
      <c r="J18" s="352" t="str">
        <f>IFERROR(INDEX('Customer List w Software'!$AC:$AC,MATCH($B18,'Customer List w Software'!$A:$A,0)),"–")</f>
        <v>Jennifer Murphy</v>
      </c>
      <c r="L18" s="370" cm="1">
        <f t="array" ref="L18">_xlfn.AGGREGATE(14,6,'Full Customer List'!$G$7:$G$320/('Full Customer List'!$C$7:$C$320="Active"),ROW()-6)</f>
        <v>3075</v>
      </c>
      <c r="M18" s="370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52" customFormat="1" ht="12">
      <c r="B19" s="359" t="str" cm="1">
        <f t="array" ref="B19">INDEX('Full Customer List'!$B:$B,$M19)</f>
        <v>C-034</v>
      </c>
      <c r="C19" s="367">
        <f t="shared" si="2"/>
        <v>35.22</v>
      </c>
      <c r="D19" s="366">
        <f t="shared" si="0"/>
        <v>1.1388756623667872E-2</v>
      </c>
      <c r="E19" s="367" cm="1">
        <f t="array" ref="E19">INDEX('Full Customer List'!$F:$F,$M19)</f>
        <v>84</v>
      </c>
      <c r="F19" s="368" cm="1">
        <f t="array" ref="F19">INDEX('Full Customer List'!$I:$I,$M19)</f>
        <v>45962</v>
      </c>
      <c r="G19" s="369">
        <f t="shared" si="1"/>
        <v>0.74520547945205484</v>
      </c>
      <c r="H19" s="352" t="str">
        <f>IFERROR(INDEX('Customer List w Software'!$AA:$AA,MATCH($B19,'Customer List w Software'!$A:$A,0)),"–")</f>
        <v>Rosemarie Reyes</v>
      </c>
      <c r="I19" s="352" t="str">
        <f>IFERROR(INDEX('Customer List w Software'!$AB:$AB,MATCH($B19,'Customer List w Software'!$A:$A,0)),"–")</f>
        <v>Benhur Gaddi</v>
      </c>
      <c r="J19" s="352" t="str">
        <f>IFERROR(INDEX('Customer List w Software'!$AC:$AC,MATCH($B19,'Customer List w Software'!$A:$A,0)),"–")</f>
        <v>Jennifer Murphy</v>
      </c>
      <c r="L19" s="370" cm="1">
        <f t="array" ref="L19">_xlfn.AGGREGATE(14,6,'Full Customer List'!$G$7:$G$320/('Full Customer List'!$C$7:$C$320="Active"),ROW()-6)</f>
        <v>2935</v>
      </c>
      <c r="M19" s="370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52" customFormat="1" ht="12">
      <c r="B20" s="359" t="str" cm="1">
        <f t="array" ref="B20">INDEX('Full Customer List'!$B:$B,$M20)</f>
        <v>C-011</v>
      </c>
      <c r="C20" s="367">
        <f t="shared" si="2"/>
        <v>34.58</v>
      </c>
      <c r="D20" s="366">
        <f t="shared" si="0"/>
        <v>1.1181805907053805E-2</v>
      </c>
      <c r="E20" s="367" cm="1">
        <f t="array" ref="E20">INDEX('Full Customer List'!$F:$F,$M20)</f>
        <v>61</v>
      </c>
      <c r="F20" s="368" cm="1">
        <f t="array" ref="F20">INDEX('Full Customer List'!$I:$I,$M20)</f>
        <v>45200</v>
      </c>
      <c r="G20" s="369">
        <f t="shared" si="1"/>
        <v>2.8328767123287673</v>
      </c>
      <c r="H20" s="352" t="str">
        <f>IFERROR(INDEX('Customer List w Software'!$AA:$AA,MATCH($B20,'Customer List w Software'!$A:$A,0)),"–")</f>
        <v>Fersie Colantro</v>
      </c>
      <c r="I20" s="352" t="str">
        <f>IFERROR(INDEX('Customer List w Software'!$AB:$AB,MATCH($B20,'Customer List w Software'!$A:$A,0)),"–")</f>
        <v>Grace Reyes</v>
      </c>
      <c r="J20" s="352" t="str">
        <f>IFERROR(INDEX('Customer List w Software'!$AC:$AC,MATCH($B20,'Customer List w Software'!$A:$A,0)),"–")</f>
        <v>Mary Reilly</v>
      </c>
      <c r="L20" s="370" cm="1">
        <f t="array" ref="L20">_xlfn.AGGREGATE(14,6,'Full Customer List'!$G$7:$G$320/('Full Customer List'!$C$7:$C$320="Active"),ROW()-6)</f>
        <v>2881.6666666666665</v>
      </c>
      <c r="M20" s="370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52" customFormat="1" ht="12">
      <c r="B21" s="359" t="str" cm="1">
        <f t="array" ref="B21">INDEX('Full Customer List'!$B:$B,$M21)</f>
        <v>C-026</v>
      </c>
      <c r="C21" s="367">
        <f t="shared" si="2"/>
        <v>33.415999999999997</v>
      </c>
      <c r="D21" s="366">
        <f t="shared" si="0"/>
        <v>1.0805414291211971E-2</v>
      </c>
      <c r="E21" s="367" cm="1">
        <f t="array" ref="E21">INDEX('Full Customer List'!$F:$F,$M21)</f>
        <v>55</v>
      </c>
      <c r="F21" s="368" cm="1">
        <f t="array" ref="F21">INDEX('Full Customer List'!$I:$I,$M21)</f>
        <v>45992</v>
      </c>
      <c r="G21" s="369">
        <f t="shared" si="1"/>
        <v>0.66301369863013704</v>
      </c>
      <c r="H21" s="352" t="str">
        <f>IFERROR(INDEX('Customer List w Software'!$AA:$AA,MATCH($B21,'Customer List w Software'!$A:$A,0)),"–")</f>
        <v>Princess Perez</v>
      </c>
      <c r="I21" s="352" t="str">
        <f>IFERROR(INDEX('Customer List w Software'!$AB:$AB,MATCH($B21,'Customer List w Software'!$A:$A,0)),"–")</f>
        <v>Makie Reblando</v>
      </c>
      <c r="J21" s="352" t="str">
        <f>IFERROR(INDEX('Customer List w Software'!$AC:$AC,MATCH($B21,'Customer List w Software'!$A:$A,0)),"–")</f>
        <v>Thea Hemmatyar</v>
      </c>
      <c r="L21" s="370" cm="1">
        <f t="array" ref="L21">_xlfn.AGGREGATE(14,6,'Full Customer List'!$G$7:$G$320/('Full Customer List'!$C$7:$C$320="Active"),ROW()-6)</f>
        <v>2784.6666666666665</v>
      </c>
      <c r="M21" s="370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52" customFormat="1" ht="12">
      <c r="B22" s="359" t="str" cm="1">
        <f t="array" ref="B22">INDEX('Full Customer List'!$B:$B,$M22)</f>
        <v>C-008</v>
      </c>
      <c r="C22" s="367">
        <f t="shared" si="2"/>
        <v>33.031999999999996</v>
      </c>
      <c r="D22" s="366">
        <f t="shared" si="0"/>
        <v>1.068124386124353E-2</v>
      </c>
      <c r="E22" s="367" cm="1">
        <f t="array" ref="E22">INDEX('Full Customer List'!$F:$F,$M22)</f>
        <v>33</v>
      </c>
      <c r="F22" s="368" cm="1">
        <f t="array" ref="F22">INDEX('Full Customer List'!$I:$I,$M22)</f>
        <v>45323</v>
      </c>
      <c r="G22" s="369">
        <f t="shared" si="1"/>
        <v>2.495890410958904</v>
      </c>
      <c r="H22" s="352" t="str">
        <f>IFERROR(INDEX('Customer List w Software'!$AA:$AA,MATCH($B22,'Customer List w Software'!$A:$A,0)),"–")</f>
        <v>Jamaica Quiroz</v>
      </c>
      <c r="I22" s="352" t="str">
        <f>IFERROR(INDEX('Customer List w Software'!$AB:$AB,MATCH($B22,'Customer List w Software'!$A:$A,0)),"–")</f>
        <v>Zen Rodriguez</v>
      </c>
      <c r="J22" s="352" t="str">
        <f>IFERROR(INDEX('Customer List w Software'!$AC:$AC,MATCH($B22,'Customer List w Software'!$A:$A,0)),"–")</f>
        <v>Mary Reilly</v>
      </c>
      <c r="L22" s="370" cm="1">
        <f t="array" ref="L22">_xlfn.AGGREGATE(14,6,'Full Customer List'!$G$7:$G$320/('Full Customer List'!$C$7:$C$320="Active"),ROW()-6)</f>
        <v>2752.6666666666665</v>
      </c>
      <c r="M22" s="370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52" customFormat="1" ht="12">
      <c r="B23" s="359" t="str" cm="1">
        <f t="array" ref="B23">INDEX('Full Customer List'!$B:$B,$M23)</f>
        <v>C-009</v>
      </c>
      <c r="C23" s="367">
        <f t="shared" si="2"/>
        <v>32.505400000000002</v>
      </c>
      <c r="D23" s="366">
        <f t="shared" si="0"/>
        <v>1.051096222472952E-2</v>
      </c>
      <c r="E23" s="367" cm="1">
        <f t="array" ref="E23">INDEX('Full Customer List'!$F:$F,$M23)</f>
        <v>36</v>
      </c>
      <c r="F23" s="368" cm="1">
        <f t="array" ref="F23">INDEX('Full Customer List'!$I:$I,$M23)</f>
        <v>44713</v>
      </c>
      <c r="G23" s="369">
        <f t="shared" si="1"/>
        <v>4.1671232876712327</v>
      </c>
      <c r="H23" s="352" t="str">
        <f>IFERROR(INDEX('Customer List w Software'!$AA:$AA,MATCH($B23,'Customer List w Software'!$A:$A,0)),"–")</f>
        <v>Airenz Lara</v>
      </c>
      <c r="I23" s="352" t="str">
        <f>IFERROR(INDEX('Customer List w Software'!$AB:$AB,MATCH($B23,'Customer List w Software'!$A:$A,0)),"–")</f>
        <v>Abby Del Rosario</v>
      </c>
      <c r="J23" s="352" t="str">
        <f>IFERROR(INDEX('Customer List w Software'!$AC:$AC,MATCH($B23,'Customer List w Software'!$A:$A,0)),"–")</f>
        <v>Thea Hemmatyar</v>
      </c>
      <c r="L23" s="370" cm="1">
        <f t="array" ref="L23">_xlfn.AGGREGATE(14,6,'Full Customer List'!$G$7:$G$320/('Full Customer List'!$C$7:$C$320="Active"),ROW()-6)</f>
        <v>2708.7833333333333</v>
      </c>
      <c r="M23" s="370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52" customFormat="1" ht="12">
      <c r="B24" s="359" t="str" cm="1">
        <f t="array" ref="B24">INDEX('Full Customer List'!$B:$B,$M24)</f>
        <v>C-015</v>
      </c>
      <c r="C24" s="367">
        <f t="shared" si="2"/>
        <v>31.736000000000001</v>
      </c>
      <c r="D24" s="366">
        <f t="shared" si="0"/>
        <v>1.0262168660100046E-2</v>
      </c>
      <c r="E24" s="367" cm="1">
        <f t="array" ref="E24">INDEX('Full Customer List'!$F:$F,$M24)</f>
        <v>60</v>
      </c>
      <c r="F24" s="368" cm="1">
        <f t="array" ref="F24">INDEX('Full Customer List'!$I:$I,$M24)</f>
        <v>45778</v>
      </c>
      <c r="G24" s="369">
        <f t="shared" si="1"/>
        <v>1.2493150684931507</v>
      </c>
      <c r="H24" s="352" t="str">
        <f>IFERROR(INDEX('Customer List w Software'!$AA:$AA,MATCH($B24,'Customer List w Software'!$A:$A,0)),"–")</f>
        <v>Jimberly Kemp</v>
      </c>
      <c r="I24" s="352" t="str">
        <f>IFERROR(INDEX('Customer List w Software'!$AB:$AB,MATCH($B24,'Customer List w Software'!$A:$A,0)),"–")</f>
        <v>Lawrence Trajano</v>
      </c>
      <c r="J24" s="352" t="str">
        <f>IFERROR(INDEX('Customer List w Software'!$AC:$AC,MATCH($B24,'Customer List w Software'!$A:$A,0)),"–")</f>
        <v>Mary Reilly</v>
      </c>
      <c r="L24" s="370" cm="1">
        <f t="array" ref="L24">_xlfn.AGGREGATE(14,6,'Full Customer List'!$G$7:$G$320/('Full Customer List'!$C$7:$C$320="Active"),ROW()-6)</f>
        <v>2644.6666666666665</v>
      </c>
      <c r="M24" s="370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52" customFormat="1" ht="12">
      <c r="B25" s="359" t="str" cm="1">
        <f t="array" ref="B25">INDEX('Full Customer List'!$B:$B,$M25)</f>
        <v>C-101</v>
      </c>
      <c r="C25" s="367">
        <f t="shared" si="2"/>
        <v>31.667999999999999</v>
      </c>
      <c r="D25" s="366">
        <f t="shared" si="0"/>
        <v>1.0240180146459801E-2</v>
      </c>
      <c r="E25" s="367" cm="1">
        <f t="array" ref="E25">INDEX('Full Customer List'!$F:$F,$M25)</f>
        <v>29</v>
      </c>
      <c r="F25" s="368" cm="1">
        <f t="array" ref="F25">INDEX('Full Customer List'!$I:$I,$M25)</f>
        <v>46143</v>
      </c>
      <c r="G25" s="369">
        <f t="shared" si="1"/>
        <v>0.24931506849315069</v>
      </c>
      <c r="H25" s="352" t="str">
        <f>IFERROR(INDEX('Customer List w Software'!$AA:$AA,MATCH($B25,'Customer List w Software'!$A:$A,0)),"–")</f>
        <v>Rose Deang</v>
      </c>
      <c r="I25" s="352" t="str">
        <f>IFERROR(INDEX('Customer List w Software'!$AB:$AB,MATCH($B25,'Customer List w Software'!$A:$A,0)),"–")</f>
        <v>Jaira Yadan</v>
      </c>
      <c r="J25" s="352" t="str">
        <f>IFERROR(INDEX('Customer List w Software'!$AC:$AC,MATCH($B25,'Customer List w Software'!$A:$A,0)),"–")</f>
        <v>Mary Reilly</v>
      </c>
      <c r="L25" s="370" cm="1">
        <f t="array" ref="L25">_xlfn.AGGREGATE(14,6,'Full Customer List'!$G$7:$G$320/('Full Customer List'!$C$7:$C$320="Active"),ROW()-6)</f>
        <v>2639</v>
      </c>
      <c r="M25" s="370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52" customFormat="1" ht="12">
      <c r="B26" s="359" t="str" cm="1">
        <f t="array" ref="B26">INDEX('Full Customer List'!$B:$B,$M26)</f>
        <v>C-056</v>
      </c>
      <c r="C26" s="367">
        <f t="shared" si="2"/>
        <v>31.643999999999998</v>
      </c>
      <c r="D26" s="366">
        <f t="shared" si="0"/>
        <v>1.0232419494586772E-2</v>
      </c>
      <c r="E26" s="367" cm="1">
        <f t="array" ref="E26">INDEX('Full Customer List'!$F:$F,$M26)</f>
        <v>44</v>
      </c>
      <c r="F26" s="368" cm="1">
        <f t="array" ref="F26">INDEX('Full Customer List'!$I:$I,$M26)</f>
        <v>46113</v>
      </c>
      <c r="G26" s="369">
        <f t="shared" si="1"/>
        <v>0.33150684931506852</v>
      </c>
      <c r="H26" s="352" t="str">
        <f>IFERROR(INDEX('Customer List w Software'!$AA:$AA,MATCH($B26,'Customer List w Software'!$A:$A,0)),"–")</f>
        <v>Coralyn Joguilon</v>
      </c>
      <c r="I26" s="352" t="str">
        <f>IFERROR(INDEX('Customer List w Software'!$AB:$AB,MATCH($B26,'Customer List w Software'!$A:$A,0)),"–")</f>
        <v>Coralyn Joguilon</v>
      </c>
      <c r="J26" s="352" t="str">
        <f>IFERROR(INDEX('Customer List w Software'!$AC:$AC,MATCH($B26,'Customer List w Software'!$A:$A,0)),"–")</f>
        <v>Jennifer Murphy</v>
      </c>
      <c r="L26" s="370" cm="1">
        <f t="array" ref="L26">_xlfn.AGGREGATE(14,6,'Full Customer List'!$G$7:$G$320/('Full Customer List'!$C$7:$C$320="Active"),ROW()-6)</f>
        <v>2637</v>
      </c>
      <c r="M26" s="370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52" customFormat="1" ht="12">
      <c r="B27" s="357" t="s">
        <v>1873</v>
      </c>
      <c r="C27" s="61">
        <f>SUM(C7:C26)</f>
        <v>998.26976000000002</v>
      </c>
      <c r="D27" s="371">
        <f>SUM(D7:D26)</f>
        <v>0.32280100344711343</v>
      </c>
      <c r="E27" s="229">
        <f>SUM(E7:E26)</f>
        <v>1506</v>
      </c>
      <c r="F27" s="360"/>
      <c r="G27" s="372">
        <f>AVERAGE(G7:G26)</f>
        <v>1.7190410958904114</v>
      </c>
    </row>
    <row r="28" spans="2:13" s="352" customFormat="1" ht="12">
      <c r="B28" s="359" t="s">
        <v>1875</v>
      </c>
      <c r="C28" s="367">
        <f>$C29-$C27</f>
        <v>2094.2539599999991</v>
      </c>
      <c r="D28" s="366">
        <f>$D29-$D27</f>
        <v>0.67719899655288662</v>
      </c>
      <c r="E28" s="367">
        <f>$E29-$E27</f>
        <v>2294</v>
      </c>
    </row>
    <row r="29" spans="2:13" s="352" customFormat="1" ht="12">
      <c r="B29" s="358" t="s">
        <v>1874</v>
      </c>
      <c r="C29" s="61">
        <f>SUMIFS('Full Customer List'!$G$7:$G$320,'Full Customer List'!$C$7:$C$320,"Active")*12/1000</f>
        <v>3092.5237199999992</v>
      </c>
      <c r="D29" s="371">
        <f>$C29/$C$29</f>
        <v>1</v>
      </c>
      <c r="E29" s="229">
        <f>SUMIFS('Full Customer List'!$F$7:$F$320,'Full Customer List'!$C$7:$C$320,"Active")</f>
        <v>3800</v>
      </c>
      <c r="F29" s="360"/>
      <c r="G29" s="372">
        <f>($C$33-SUMIFS('Full Customer List'!$I$7:$I$320,'Full Customer List'!$C$7:$C$320,"Active")/$C$34)/365</f>
        <v>1.4545061283345391</v>
      </c>
    </row>
    <row r="32" spans="2:13">
      <c r="B32" s="97" t="s">
        <v>1306</v>
      </c>
      <c r="C32" s="350"/>
    </row>
    <row r="33" spans="2:3">
      <c r="B33" s="97" t="s">
        <v>1868</v>
      </c>
      <c r="C33" s="356">
        <f>EOMONTH('Full Customer List'!$AC$6,0)</f>
        <v>46234</v>
      </c>
    </row>
    <row r="34" spans="2:3">
      <c r="B34" s="97" t="s">
        <v>1869</v>
      </c>
      <c r="C34" s="225">
        <f>COUNTIFS('Full Customer List'!$C$7:$C$320,"Active")</f>
        <v>190</v>
      </c>
    </row>
    <row r="35" spans="2:3">
      <c r="B35" s="97" t="s">
        <v>1870</v>
      </c>
      <c r="C35" s="225">
        <f>C27+C28-C29</f>
        <v>0</v>
      </c>
    </row>
  </sheetData>
  <conditionalFormatting sqref="A6:XFD29">
    <cfRule type="expression" dxfId="33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Normal="160" zoomScaleSheetLayoutView="100" workbookViewId="0"/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216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1504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1</v>
      </c>
    </row>
    <row r="5" spans="2:23" ht="36">
      <c r="B5" s="159" t="s">
        <v>1508</v>
      </c>
      <c r="C5" s="176" t="s">
        <v>1064</v>
      </c>
      <c r="D5" s="176" t="s">
        <v>1597</v>
      </c>
      <c r="E5" s="193"/>
      <c r="F5" s="176" t="s">
        <v>3</v>
      </c>
      <c r="G5" s="176" t="s">
        <v>4</v>
      </c>
      <c r="H5" s="193"/>
      <c r="I5" s="176" t="s">
        <v>1600</v>
      </c>
      <c r="J5" s="176" t="s">
        <v>1601</v>
      </c>
      <c r="K5" s="176" t="s">
        <v>1595</v>
      </c>
      <c r="L5" s="193"/>
      <c r="M5" s="176" t="s">
        <v>1598</v>
      </c>
      <c r="N5" s="176" t="s">
        <v>1590</v>
      </c>
      <c r="O5" s="193"/>
      <c r="P5" s="176" t="s">
        <v>1596</v>
      </c>
      <c r="Q5" s="176" t="s">
        <v>1595</v>
      </c>
      <c r="R5" s="193"/>
      <c r="S5" s="176" t="s">
        <v>1599</v>
      </c>
      <c r="T5" s="176" t="s">
        <v>1590</v>
      </c>
      <c r="U5" s="193"/>
      <c r="W5" s="220" t="s">
        <v>497</v>
      </c>
    </row>
    <row r="6" spans="2:23">
      <c r="B6" s="42" t="s">
        <v>1514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285"/>
      <c r="P6" s="221"/>
      <c r="Q6" s="221"/>
      <c r="R6" s="285"/>
      <c r="S6" s="221"/>
      <c r="T6" s="221"/>
      <c r="U6" s="285"/>
    </row>
    <row r="7" spans="2:23">
      <c r="B7" s="213" t="s">
        <v>490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Forecast'!C32</f>
        <v>183.36902999999998</v>
      </c>
      <c r="G7" s="47">
        <f>+'P&amp;L Forecast'!D32</f>
        <v>316.18462</v>
      </c>
      <c r="H7" s="226"/>
      <c r="I7" s="47">
        <f>+'P&amp;L Forecast'!I32</f>
        <v>240.18097999999998</v>
      </c>
      <c r="J7" s="47">
        <f>+'P&amp;L Forecast'!J32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230"/>
      <c r="P7" s="47">
        <f>+'P&amp;L Forecast'!AT32*12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491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Forecast'!C33+'P&amp;L Forecast'!C38</f>
        <v>286.16129000000001</v>
      </c>
      <c r="G8" s="53">
        <f>+'P&amp;L Forecast'!D33+'P&amp;L Forecast'!D38</f>
        <v>352.95844</v>
      </c>
      <c r="H8" s="222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230"/>
      <c r="P8" s="53">
        <f>(+'P&amp;L Forecast'!AT33+'P&amp;L Forecast'!AT38)*12</f>
        <v>426.00576000000001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-45.605760000000032</v>
      </c>
      <c r="T8" s="230">
        <f>S8/$D8</f>
        <v>-1.9182233438485818</v>
      </c>
      <c r="U8" s="230"/>
      <c r="W8" s="216" t="s">
        <v>35</v>
      </c>
    </row>
    <row r="9" spans="2:23">
      <c r="B9" s="104" t="s">
        <v>1517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287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3">
        <f>S9/$D9</f>
        <v>-5.5715804810996614</v>
      </c>
      <c r="U9" s="287"/>
    </row>
    <row r="10" spans="2:23">
      <c r="B10" s="107" t="s">
        <v>1592</v>
      </c>
      <c r="C10" s="294">
        <v>0</v>
      </c>
      <c r="D10" s="295">
        <v>0</v>
      </c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02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>
        <v>0</v>
      </c>
      <c r="N10" s="297">
        <v>0</v>
      </c>
      <c r="O10" s="299"/>
      <c r="P10" s="291">
        <f>P9/('P&amp;L Forecast'!K7+'P&amp;L Forecast'!K9)</f>
        <v>0.39561337867078827</v>
      </c>
      <c r="Q10" s="292">
        <f>Q9/('P&amp;L Forecast'!K7+'P&amp;L Forecast'!K9)</f>
        <v>0.35981452859350849</v>
      </c>
      <c r="R10" s="71"/>
      <c r="S10" s="296">
        <v>0</v>
      </c>
      <c r="T10" s="297">
        <v>0</v>
      </c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1515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285"/>
      <c r="P12" s="221"/>
      <c r="Q12" s="221"/>
      <c r="R12" s="285"/>
      <c r="S12" s="221"/>
      <c r="T12" s="221"/>
      <c r="U12" s="285"/>
    </row>
    <row r="13" spans="2:23">
      <c r="B13" s="213" t="s">
        <v>1513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8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1512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8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1516</v>
      </c>
      <c r="C15" s="290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287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1594</v>
      </c>
      <c r="C16" s="294">
        <v>0</v>
      </c>
      <c r="D16" s="295">
        <v>0</v>
      </c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02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>
        <v>0</v>
      </c>
      <c r="N16" s="297">
        <v>0</v>
      </c>
      <c r="O16" s="299"/>
      <c r="P16" s="291">
        <f>P15/('P&amp;L Forecast'!K10+'P&amp;L Forecast'!K14)</f>
        <v>1.9035840393945975</v>
      </c>
      <c r="Q16" s="292">
        <f>Q15/('P&amp;L Forecast'!K10+'P&amp;L Forecast'!K14)</f>
        <v>1.2948077340864654</v>
      </c>
      <c r="R16" s="71"/>
      <c r="S16" s="296">
        <v>0</v>
      </c>
      <c r="T16" s="297">
        <v>0</v>
      </c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1584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285"/>
      <c r="P18" s="221"/>
      <c r="Q18" s="221"/>
      <c r="R18" s="285"/>
      <c r="S18" s="221"/>
      <c r="T18" s="221"/>
      <c r="U18" s="285"/>
    </row>
    <row r="19" spans="2:23" ht="12" customHeight="1">
      <c r="B19" s="213" t="s">
        <v>1511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Forecast'!C37</f>
        <v>1.1133499999999998</v>
      </c>
      <c r="G19" s="53">
        <f>+'P&amp;L Forecast'!D37</f>
        <v>29.564150000000001</v>
      </c>
      <c r="H19" s="222"/>
      <c r="I19" s="53">
        <f>+'P&amp;L Forecast'!I37</f>
        <v>15.389199999999999</v>
      </c>
      <c r="J19" s="53">
        <f>+'P&amp;L Forecast'!J37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230"/>
      <c r="P19" s="53">
        <f>+'P&amp;L Forecast'!AT37*12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Forecast'!C36</f>
        <v>0</v>
      </c>
      <c r="G20" s="53">
        <f>+'P&amp;L Forecast'!D36</f>
        <v>19.149630000000002</v>
      </c>
      <c r="H20" s="222"/>
      <c r="I20" s="53">
        <f>+'P&amp;L Forecast'!I36</f>
        <v>3.09945</v>
      </c>
      <c r="J20" s="53">
        <f>+'P&amp;L Forecast'!J36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222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1503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Forecast'!C35</f>
        <v>0</v>
      </c>
      <c r="G21" s="53">
        <f>+'P&amp;L Forecast'!D35</f>
        <v>90.66704</v>
      </c>
      <c r="H21" s="222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222"/>
      <c r="P21" s="53">
        <f>+'P&amp;L Forecast'!K35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1593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287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f>+T19</f>
        <v>-0.68131958762886613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285"/>
      <c r="P24" s="221"/>
      <c r="Q24" s="221"/>
      <c r="R24" s="285"/>
      <c r="S24" s="221"/>
      <c r="T24" s="221"/>
      <c r="U24" s="285"/>
    </row>
    <row r="25" spans="2:23">
      <c r="B25" s="213" t="s">
        <v>1364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8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493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8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1510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8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1519</v>
      </c>
      <c r="C28" s="229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287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1520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+N9+N15+N22+N28</f>
        <v>5.4230817835118419</v>
      </c>
      <c r="O30" s="287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31">
        <f>+T9+T15+T22+T28</f>
        <v>-10.310244055205228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1585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285"/>
      <c r="P32" s="221"/>
      <c r="Q32" s="221"/>
      <c r="R32" s="285"/>
      <c r="S32" s="221"/>
      <c r="T32" s="221"/>
      <c r="U32" s="285"/>
    </row>
    <row r="33" spans="1:21" ht="12" customHeight="1">
      <c r="B33" s="300" t="s">
        <v>1586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289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1587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289"/>
      <c r="P34" s="83">
        <f t="shared" ref="P34:P35" si="6">Q34</f>
        <v>116.25</v>
      </c>
      <c r="Q34" s="83">
        <f>+K34</f>
        <v>116.25</v>
      </c>
      <c r="R34" s="222"/>
      <c r="S34" s="222">
        <f>Q34-P34</f>
        <v>0</v>
      </c>
      <c r="T34" s="289">
        <v>0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Forecast'!C39</f>
        <v>5.3740499999999995</v>
      </c>
      <c r="G35" s="53">
        <f>+'P&amp;L Forecast'!D39</f>
        <v>19.23245</v>
      </c>
      <c r="H35" s="222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22"/>
      <c r="M35" s="222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1589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22"/>
      <c r="M36" s="222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1588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287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0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1520</v>
      </c>
      <c r="C39" s="290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6.4230817835118419</v>
      </c>
      <c r="O39" s="287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3">
        <f>+T37+T30</f>
        <v>-10.310244055205228</v>
      </c>
      <c r="U39" s="287"/>
    </row>
    <row r="40" spans="1:21">
      <c r="B40" s="107" t="s">
        <v>1591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02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299"/>
      <c r="P40" s="291">
        <f>+P$39/'P&amp;L Forecast'!K$24</f>
        <v>0.7986839679785338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298" t="s">
        <v>294</v>
      </c>
      <c r="B42" s="159" t="s">
        <v>1507</v>
      </c>
      <c r="C42" s="176" t="s">
        <v>1064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77"/>
      <c r="P42" s="76"/>
      <c r="Q42" s="176"/>
      <c r="R42" s="193"/>
      <c r="S42" s="76"/>
      <c r="T42" s="76"/>
      <c r="U42" s="77"/>
    </row>
    <row r="43" spans="1:21">
      <c r="B43" s="42" t="s">
        <v>1505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285"/>
      <c r="P43" s="221"/>
      <c r="Q43" s="221"/>
      <c r="R43" s="285"/>
      <c r="S43" s="221"/>
      <c r="T43" s="221"/>
      <c r="U43" s="285"/>
    </row>
    <row r="44" spans="1:21">
      <c r="B44" s="216" t="s">
        <v>1343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1349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490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491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1364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1370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1374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1401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1408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1410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1413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1416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1430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1447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1450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1455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1467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1473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1480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1485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1494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1499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1501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1503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224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1306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1305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2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1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6">
        <f t="shared" ref="H1:N1" si="0">EOMONTH(H5,0)</f>
        <v>45688</v>
      </c>
      <c r="I1" s="196">
        <f t="shared" si="0"/>
        <v>45716</v>
      </c>
      <c r="J1" s="196">
        <f t="shared" si="0"/>
        <v>45747</v>
      </c>
      <c r="K1" s="196">
        <f t="shared" si="0"/>
        <v>45777</v>
      </c>
      <c r="L1" s="196">
        <f t="shared" si="0"/>
        <v>45808</v>
      </c>
      <c r="M1" s="196">
        <f t="shared" si="0"/>
        <v>45838</v>
      </c>
      <c r="N1" s="196">
        <f t="shared" si="0"/>
        <v>45869</v>
      </c>
      <c r="O1" s="196">
        <f>EOMONTH(O5,0)</f>
        <v>45900</v>
      </c>
      <c r="P1" s="196">
        <f t="shared" ref="P1:AB1" si="1">EOMONTH(P5,0)</f>
        <v>45930</v>
      </c>
      <c r="Q1" s="196">
        <f t="shared" si="1"/>
        <v>45961</v>
      </c>
      <c r="R1" s="196">
        <f t="shared" si="1"/>
        <v>45991</v>
      </c>
      <c r="S1" s="196">
        <f t="shared" si="1"/>
        <v>46022</v>
      </c>
      <c r="T1" s="196">
        <f t="shared" si="1"/>
        <v>46053</v>
      </c>
      <c r="U1" s="196">
        <f t="shared" si="1"/>
        <v>46081</v>
      </c>
      <c r="V1" s="196">
        <f t="shared" si="1"/>
        <v>46112</v>
      </c>
      <c r="W1" s="196">
        <f t="shared" si="1"/>
        <v>46142</v>
      </c>
      <c r="X1" s="196">
        <f t="shared" si="1"/>
        <v>46173</v>
      </c>
      <c r="Y1" s="196">
        <f t="shared" si="1"/>
        <v>46203</v>
      </c>
      <c r="Z1" s="196">
        <f t="shared" si="1"/>
        <v>46234</v>
      </c>
      <c r="AA1" s="196">
        <f t="shared" si="1"/>
        <v>46265</v>
      </c>
      <c r="AB1" s="196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1813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4">
        <v>1</v>
      </c>
    </row>
    <row r="5" spans="2:32" ht="24">
      <c r="B5" s="159" t="s">
        <v>1814</v>
      </c>
      <c r="C5" s="176" t="s">
        <v>4</v>
      </c>
      <c r="D5" s="176" t="s">
        <v>1320</v>
      </c>
      <c r="E5" s="193"/>
      <c r="F5" s="176" t="s">
        <v>1530</v>
      </c>
      <c r="H5" s="192">
        <v>45658</v>
      </c>
      <c r="I5" s="192">
        <f t="shared" ref="I5:N5" si="2">EOMONTH(H5,0)+1</f>
        <v>45689</v>
      </c>
      <c r="J5" s="192">
        <f t="shared" si="2"/>
        <v>45717</v>
      </c>
      <c r="K5" s="192">
        <f t="shared" si="2"/>
        <v>45748</v>
      </c>
      <c r="L5" s="192">
        <f t="shared" si="2"/>
        <v>45778</v>
      </c>
      <c r="M5" s="192">
        <f t="shared" si="2"/>
        <v>45809</v>
      </c>
      <c r="N5" s="192">
        <f t="shared" si="2"/>
        <v>45839</v>
      </c>
      <c r="O5" s="192">
        <v>45870</v>
      </c>
      <c r="P5" s="192">
        <f t="shared" ref="P5:AB5" si="3">EOMONTH(O5,0)+1</f>
        <v>45901</v>
      </c>
      <c r="Q5" s="192">
        <f t="shared" si="3"/>
        <v>45931</v>
      </c>
      <c r="R5" s="192">
        <f t="shared" si="3"/>
        <v>45962</v>
      </c>
      <c r="S5" s="192">
        <f t="shared" si="3"/>
        <v>45992</v>
      </c>
      <c r="T5" s="192">
        <f t="shared" si="3"/>
        <v>46023</v>
      </c>
      <c r="U5" s="192">
        <f t="shared" si="3"/>
        <v>46054</v>
      </c>
      <c r="V5" s="192">
        <f t="shared" si="3"/>
        <v>46082</v>
      </c>
      <c r="W5" s="192">
        <f t="shared" si="3"/>
        <v>46113</v>
      </c>
      <c r="X5" s="192">
        <f t="shared" si="3"/>
        <v>46143</v>
      </c>
      <c r="Y5" s="192">
        <f t="shared" si="3"/>
        <v>46174</v>
      </c>
      <c r="Z5" s="192">
        <f t="shared" si="3"/>
        <v>46204</v>
      </c>
      <c r="AA5" s="192">
        <f t="shared" si="3"/>
        <v>46235</v>
      </c>
      <c r="AB5" s="192">
        <f t="shared" si="3"/>
        <v>46266</v>
      </c>
      <c r="AC5" s="187"/>
      <c r="AD5" s="187"/>
      <c r="AE5" s="187"/>
      <c r="AF5" s="187"/>
    </row>
    <row r="6" spans="2:32">
      <c r="B6" s="186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1316</v>
      </c>
      <c r="C7" s="182">
        <f>+C10-C8-C9</f>
        <v>43</v>
      </c>
      <c r="D7" s="182">
        <f>+D10-D8-D9</f>
        <v>70</v>
      </c>
      <c r="F7" s="182">
        <f>+F10-F8-F9</f>
        <v>63</v>
      </c>
      <c r="H7" s="182">
        <f t="shared" ref="H7:AB7" si="4">+H10-H8-H9</f>
        <v>43</v>
      </c>
      <c r="I7" s="182">
        <f t="shared" si="4"/>
        <v>45</v>
      </c>
      <c r="J7" s="182">
        <f t="shared" si="4"/>
        <v>44</v>
      </c>
      <c r="K7" s="182">
        <f t="shared" si="4"/>
        <v>46</v>
      </c>
      <c r="L7" s="182">
        <f t="shared" si="4"/>
        <v>49</v>
      </c>
      <c r="M7" s="182">
        <f t="shared" si="4"/>
        <v>49</v>
      </c>
      <c r="N7" s="182">
        <f t="shared" si="4"/>
        <v>53</v>
      </c>
      <c r="O7" s="182">
        <f t="shared" si="4"/>
        <v>57</v>
      </c>
      <c r="P7" s="182">
        <f t="shared" si="4"/>
        <v>61</v>
      </c>
      <c r="Q7" s="182">
        <f t="shared" si="4"/>
        <v>63</v>
      </c>
      <c r="R7" s="182">
        <f t="shared" si="4"/>
        <v>67</v>
      </c>
      <c r="S7" s="182">
        <f t="shared" si="4"/>
        <v>67</v>
      </c>
      <c r="T7" s="182">
        <f t="shared" si="4"/>
        <v>70</v>
      </c>
      <c r="U7" s="182">
        <f t="shared" si="4"/>
        <v>72</v>
      </c>
      <c r="V7" s="182">
        <f t="shared" si="4"/>
        <v>77</v>
      </c>
      <c r="W7" s="182">
        <f t="shared" si="4"/>
        <v>81</v>
      </c>
      <c r="X7" s="182">
        <f t="shared" si="4"/>
        <v>84</v>
      </c>
      <c r="Y7" s="182">
        <f t="shared" si="4"/>
        <v>82</v>
      </c>
      <c r="Z7" s="182">
        <f t="shared" si="4"/>
        <v>85</v>
      </c>
      <c r="AA7" s="182">
        <f t="shared" si="4"/>
        <v>85</v>
      </c>
      <c r="AB7" s="182">
        <f t="shared" si="4"/>
        <v>87</v>
      </c>
    </row>
    <row r="8" spans="2:32">
      <c r="B8" s="191" t="s">
        <v>1817</v>
      </c>
      <c r="C8" s="197">
        <f>SUM(H8:S8)</f>
        <v>51</v>
      </c>
      <c r="D8" s="197">
        <f>SUM(T8:AB8)</f>
        <v>44</v>
      </c>
      <c r="F8" s="197">
        <f>SUM(Q8:AB8)</f>
        <v>59</v>
      </c>
      <c r="H8" s="195">
        <f>COUNTIFS('Combined Employee Worksheet'!$I:$I,"&gt;="&amp;'Employee Retention'!H$5,'Combined Employee Worksheet'!$I:$I,"&lt;="&amp;'Employee Retention'!H$1)</f>
        <v>3</v>
      </c>
      <c r="I8" s="195">
        <f>COUNTIFS('Combined Employee Worksheet'!$I:$I,"&gt;="&amp;'Employee Retention'!I$5,'Combined Employee Worksheet'!$I:$I,"&lt;="&amp;'Employee Retention'!I$1)</f>
        <v>4</v>
      </c>
      <c r="J8" s="195">
        <f>COUNTIFS('Combined Employee Worksheet'!$I:$I,"&gt;="&amp;'Employee Retention'!J$5,'Combined Employee Worksheet'!$I:$I,"&lt;="&amp;'Employee Retention'!J$1)</f>
        <v>5</v>
      </c>
      <c r="K8" s="195">
        <f>COUNTIFS('Combined Employee Worksheet'!$I:$I,"&gt;="&amp;'Employee Retention'!K$5,'Combined Employee Worksheet'!$I:$I,"&lt;="&amp;'Employee Retention'!K$1)</f>
        <v>3</v>
      </c>
      <c r="L8" s="195">
        <f>COUNTIFS('Combined Employee Worksheet'!$I:$I,"&gt;="&amp;'Employee Retention'!L$5,'Combined Employee Worksheet'!$I:$I,"&lt;="&amp;'Employee Retention'!L$1)</f>
        <v>2</v>
      </c>
      <c r="M8" s="195">
        <f>COUNTIFS('Combined Employee Worksheet'!$I:$I,"&gt;="&amp;'Employee Retention'!M$5,'Combined Employee Worksheet'!$I:$I,"&lt;="&amp;'Employee Retention'!M$1)</f>
        <v>7</v>
      </c>
      <c r="N8" s="195">
        <f>COUNTIFS('Combined Employee Worksheet'!$I:$I,"&gt;="&amp;'Employee Retention'!N$5,'Combined Employee Worksheet'!$I:$I,"&lt;="&amp;'Employee Retention'!N$1)</f>
        <v>4</v>
      </c>
      <c r="O8" s="195">
        <f>COUNTIFS('Combined Employee Worksheet'!$I:$I,"&gt;="&amp;'Employee Retention'!O$5,'Combined Employee Worksheet'!$I:$I,"&lt;="&amp;'Employee Retention'!O$1)</f>
        <v>6</v>
      </c>
      <c r="P8" s="195">
        <f>COUNTIFS('Combined Employee Worksheet'!$I:$I,"&gt;="&amp;'Employee Retention'!P$5,'Combined Employee Worksheet'!$I:$I,"&lt;="&amp;'Employee Retention'!P$1)</f>
        <v>2</v>
      </c>
      <c r="Q8" s="195">
        <f>COUNTIFS('Combined Employee Worksheet'!$I:$I,"&gt;="&amp;'Employee Retention'!Q$5,'Combined Employee Worksheet'!$I:$I,"&lt;="&amp;'Employee Retention'!Q$1)</f>
        <v>4</v>
      </c>
      <c r="R8" s="195">
        <f>COUNTIFS('Combined Employee Worksheet'!$I:$I,"&gt;="&amp;'Employee Retention'!R$5,'Combined Employee Worksheet'!$I:$I,"&lt;="&amp;'Employee Retention'!R$1)</f>
        <v>5</v>
      </c>
      <c r="S8" s="195">
        <f>COUNTIFS('Combined Employee Worksheet'!$I:$I,"&gt;="&amp;'Employee Retention'!S$5,'Combined Employee Worksheet'!$I:$I,"&lt;="&amp;'Employee Retention'!S$1)</f>
        <v>6</v>
      </c>
      <c r="T8" s="195">
        <f>COUNTIFS('Combined Employee Worksheet'!$I:$I,"&gt;="&amp;'Employee Retention'!T$5,'Combined Employee Worksheet'!$I:$I,"&lt;="&amp;'Employee Retention'!T$1)</f>
        <v>3</v>
      </c>
      <c r="U8" s="195">
        <f>COUNTIFS('Combined Employee Worksheet'!$I:$I,"&gt;="&amp;'Employee Retention'!U$5,'Combined Employee Worksheet'!$I:$I,"&lt;="&amp;'Employee Retention'!U$1)</f>
        <v>6</v>
      </c>
      <c r="V8" s="195">
        <f>COUNTIFS('Combined Employee Worksheet'!$I:$I,"&gt;="&amp;'Employee Retention'!V$5,'Combined Employee Worksheet'!$I:$I,"&lt;="&amp;'Employee Retention'!V$1)</f>
        <v>4</v>
      </c>
      <c r="W8" s="195">
        <f>COUNTIFS('Combined Employee Worksheet'!$I:$I,"&gt;="&amp;'Employee Retention'!W$5,'Combined Employee Worksheet'!$I:$I,"&lt;="&amp;'Employee Retention'!W$1)</f>
        <v>4</v>
      </c>
      <c r="X8" s="195">
        <f>COUNTIFS('Combined Employee Worksheet'!$I:$I,"&gt;="&amp;'Employee Retention'!X$5,'Combined Employee Worksheet'!$I:$I,"&lt;="&amp;'Employee Retention'!X$1)</f>
        <v>5</v>
      </c>
      <c r="Y8" s="195">
        <f>COUNTIFS('Combined Employee Worksheet'!$I:$I,"&gt;="&amp;'Employee Retention'!Y$5,'Combined Employee Worksheet'!$I:$I,"&lt;="&amp;'Employee Retention'!Y$1)</f>
        <v>6</v>
      </c>
      <c r="Z8" s="195">
        <f>COUNTIFS('Combined Employee Worksheet'!$I:$I,"&gt;="&amp;'Employee Retention'!Z$5,'Combined Employee Worksheet'!$I:$I,"&lt;="&amp;'Employee Retention'!Z$1)</f>
        <v>6</v>
      </c>
      <c r="AA8" s="195">
        <f>COUNTIFS('Combined Employee Worksheet'!$I:$I,"&gt;="&amp;'Employee Retention'!AA$5,'Combined Employee Worksheet'!$I:$I,"&lt;="&amp;'Employee Retention'!AA$1)</f>
        <v>6</v>
      </c>
      <c r="AB8" s="195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91" t="s">
        <v>1818</v>
      </c>
      <c r="C9" s="197">
        <f>SUM(H9:S9)</f>
        <v>-24</v>
      </c>
      <c r="D9" s="197">
        <f>SUM(T9:AB9)</f>
        <v>-27</v>
      </c>
      <c r="F9" s="197">
        <f>SUM(Q9:AB9)</f>
        <v>-35</v>
      </c>
      <c r="H9" s="195">
        <f>-COUNTIFS('Combined Employee Worksheet'!$J:$J,"&gt;="&amp;'Employee Retention'!H$5,'Combined Employee Worksheet'!$J:$J,"&lt;="&amp;'Employee Retention'!H$1)</f>
        <v>-1</v>
      </c>
      <c r="I9" s="195">
        <f>-COUNTIFS('Combined Employee Worksheet'!$J:$J,"&gt;="&amp;'Employee Retention'!I$5,'Combined Employee Worksheet'!$J:$J,"&lt;="&amp;'Employee Retention'!I$1)</f>
        <v>-5</v>
      </c>
      <c r="J9" s="195">
        <f>-COUNTIFS('Combined Employee Worksheet'!$J:$J,"&gt;="&amp;'Employee Retention'!J$5,'Combined Employee Worksheet'!$J:$J,"&lt;="&amp;'Employee Retention'!J$1)</f>
        <v>-3</v>
      </c>
      <c r="K9" s="195">
        <f>-COUNTIFS('Combined Employee Worksheet'!$J:$J,"&gt;="&amp;'Employee Retention'!K$5,'Combined Employee Worksheet'!$J:$J,"&lt;="&amp;'Employee Retention'!K$1)</f>
        <v>0</v>
      </c>
      <c r="L9" s="195">
        <f>-COUNTIFS('Combined Employee Worksheet'!$J:$J,"&gt;="&amp;'Employee Retention'!L$5,'Combined Employee Worksheet'!$J:$J,"&lt;="&amp;'Employee Retention'!L$1)</f>
        <v>-2</v>
      </c>
      <c r="M9" s="195">
        <f>-COUNTIFS('Combined Employee Worksheet'!$J:$J,"&gt;="&amp;'Employee Retention'!M$5,'Combined Employee Worksheet'!$J:$J,"&lt;="&amp;'Employee Retention'!M$1)</f>
        <v>-3</v>
      </c>
      <c r="N9" s="195">
        <f>-COUNTIFS('Combined Employee Worksheet'!$J:$J,"&gt;="&amp;'Employee Retention'!N$5,'Combined Employee Worksheet'!$J:$J,"&lt;="&amp;'Employee Retention'!N$1)</f>
        <v>0</v>
      </c>
      <c r="O9" s="195">
        <f>-COUNTIFS('Combined Employee Worksheet'!$J:$J,"&gt;="&amp;'Employee Retention'!O$5,'Combined Employee Worksheet'!$J:$J,"&lt;="&amp;'Employee Retention'!O$1)</f>
        <v>-2</v>
      </c>
      <c r="P9" s="195">
        <f>-COUNTIFS('Combined Employee Worksheet'!$J:$J,"&gt;="&amp;'Employee Retention'!P$5,'Combined Employee Worksheet'!$J:$J,"&lt;="&amp;'Employee Retention'!P$1)</f>
        <v>0</v>
      </c>
      <c r="Q9" s="195">
        <f>-COUNTIFS('Combined Employee Worksheet'!$J:$J,"&gt;="&amp;'Employee Retention'!Q$5,'Combined Employee Worksheet'!$J:$J,"&lt;="&amp;'Employee Retention'!Q$1)</f>
        <v>0</v>
      </c>
      <c r="R9" s="195">
        <f>-COUNTIFS('Combined Employee Worksheet'!$J:$J,"&gt;="&amp;'Employee Retention'!R$5,'Combined Employee Worksheet'!$J:$J,"&lt;="&amp;'Employee Retention'!R$1)</f>
        <v>-5</v>
      </c>
      <c r="S9" s="195">
        <f>-COUNTIFS('Combined Employee Worksheet'!$J:$J,"&gt;="&amp;'Employee Retention'!S$5,'Combined Employee Worksheet'!$J:$J,"&lt;="&amp;'Employee Retention'!S$1)</f>
        <v>-3</v>
      </c>
      <c r="T9" s="195">
        <f>-COUNTIFS('Combined Employee Worksheet'!$J:$J,"&gt;="&amp;'Employee Retention'!T$5,'Combined Employee Worksheet'!$J:$J,"&lt;="&amp;'Employee Retention'!T$1)</f>
        <v>-1</v>
      </c>
      <c r="U9" s="195">
        <f>-COUNTIFS('Combined Employee Worksheet'!$J:$J,"&gt;="&amp;'Employee Retention'!U$5,'Combined Employee Worksheet'!$J:$J,"&lt;="&amp;'Employee Retention'!U$1)</f>
        <v>-1</v>
      </c>
      <c r="V9" s="195">
        <f>-COUNTIFS('Combined Employee Worksheet'!$J:$J,"&gt;="&amp;'Employee Retention'!V$5,'Combined Employee Worksheet'!$J:$J,"&lt;="&amp;'Employee Retention'!V$1)</f>
        <v>0</v>
      </c>
      <c r="W9" s="195">
        <f>-COUNTIFS('Combined Employee Worksheet'!$J:$J,"&gt;="&amp;'Employee Retention'!W$5,'Combined Employee Worksheet'!$J:$J,"&lt;="&amp;'Employee Retention'!W$1)</f>
        <v>-1</v>
      </c>
      <c r="X9" s="195">
        <f>-COUNTIFS('Combined Employee Worksheet'!$J:$J,"&gt;="&amp;'Employee Retention'!X$5,'Combined Employee Worksheet'!$J:$J,"&lt;="&amp;'Employee Retention'!X$1)</f>
        <v>-7</v>
      </c>
      <c r="Y9" s="195">
        <f>-COUNTIFS('Combined Employee Worksheet'!$J:$J,"&gt;="&amp;'Employee Retention'!Y$5,'Combined Employee Worksheet'!$J:$J,"&lt;="&amp;'Employee Retention'!Y$1)</f>
        <v>-3</v>
      </c>
      <c r="Z9" s="195">
        <f>-COUNTIFS('Combined Employee Worksheet'!$J:$J,"&gt;="&amp;'Employee Retention'!Z$5,'Combined Employee Worksheet'!$J:$J,"&lt;="&amp;'Employee Retention'!Z$1)</f>
        <v>-6</v>
      </c>
      <c r="AA9" s="195">
        <f>-COUNTIFS('Combined Employee Worksheet'!$J:$J,"&gt;="&amp;'Employee Retention'!AA$5,'Combined Employee Worksheet'!$J:$J,"&lt;="&amp;'Employee Retention'!AA$1)</f>
        <v>-4</v>
      </c>
      <c r="AB9" s="195">
        <f>-COUNTIFS('Combined Employee Worksheet'!$J:$J,"&gt;="&amp;'Employee Retention'!AB$5,'Combined Employee Worksheet'!$J:$J,"&lt;="&amp;'Employee Retention'!AB$1)</f>
        <v>-4</v>
      </c>
      <c r="AD9" s="340">
        <f>AB10/H7-1</f>
        <v>1.0232558139534884</v>
      </c>
    </row>
    <row r="10" spans="2:32">
      <c r="B10" s="259" t="s">
        <v>1318</v>
      </c>
      <c r="C10" s="260">
        <f>+D7</f>
        <v>70</v>
      </c>
      <c r="D10" s="261">
        <f>+$AB10</f>
        <v>87</v>
      </c>
      <c r="F10" s="264">
        <f>+$AB10</f>
        <v>87</v>
      </c>
      <c r="H10" s="262">
        <f t="shared" ref="H10:AA10" si="5">+I7</f>
        <v>45</v>
      </c>
      <c r="I10" s="260">
        <f t="shared" si="5"/>
        <v>44</v>
      </c>
      <c r="J10" s="260">
        <f t="shared" si="5"/>
        <v>46</v>
      </c>
      <c r="K10" s="260">
        <f t="shared" si="5"/>
        <v>49</v>
      </c>
      <c r="L10" s="260">
        <f t="shared" si="5"/>
        <v>49</v>
      </c>
      <c r="M10" s="260">
        <f t="shared" si="5"/>
        <v>53</v>
      </c>
      <c r="N10" s="260">
        <f t="shared" si="5"/>
        <v>57</v>
      </c>
      <c r="O10" s="260">
        <f t="shared" si="5"/>
        <v>61</v>
      </c>
      <c r="P10" s="260">
        <f t="shared" si="5"/>
        <v>63</v>
      </c>
      <c r="Q10" s="262">
        <f t="shared" si="5"/>
        <v>67</v>
      </c>
      <c r="R10" s="260">
        <f t="shared" si="5"/>
        <v>67</v>
      </c>
      <c r="S10" s="260">
        <f t="shared" si="5"/>
        <v>70</v>
      </c>
      <c r="T10" s="260">
        <f t="shared" si="5"/>
        <v>72</v>
      </c>
      <c r="U10" s="260">
        <f t="shared" si="5"/>
        <v>77</v>
      </c>
      <c r="V10" s="260">
        <f t="shared" si="5"/>
        <v>81</v>
      </c>
      <c r="W10" s="260">
        <f t="shared" si="5"/>
        <v>84</v>
      </c>
      <c r="X10" s="260">
        <f t="shared" si="5"/>
        <v>82</v>
      </c>
      <c r="Y10" s="260">
        <f t="shared" si="5"/>
        <v>85</v>
      </c>
      <c r="Z10" s="260">
        <f t="shared" si="5"/>
        <v>85</v>
      </c>
      <c r="AA10" s="260">
        <f t="shared" si="5"/>
        <v>87</v>
      </c>
      <c r="AB10" s="310">
        <f>COUNTIFS('Combined Employee Worksheet'!$H:$H,"Active")</f>
        <v>87</v>
      </c>
      <c r="AD10" s="182">
        <f>AB10-H7</f>
        <v>44</v>
      </c>
    </row>
    <row r="11" spans="2:32" ht="3.95" customHeight="1">
      <c r="B11" s="180"/>
      <c r="C11" s="232"/>
      <c r="D11" s="232"/>
      <c r="F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3"/>
      <c r="AA11" s="233"/>
      <c r="AB11" s="233"/>
    </row>
    <row r="12" spans="2:32" ht="12" customHeight="1">
      <c r="B12" s="259" t="s">
        <v>1820</v>
      </c>
      <c r="C12" s="323">
        <f>AVERAGE(C7,C10)</f>
        <v>56.5</v>
      </c>
      <c r="D12" s="324">
        <f>AVERAGE(D7,D10)</f>
        <v>78.5</v>
      </c>
      <c r="F12" s="325">
        <f>AVERAGE(F7,F10)</f>
        <v>75</v>
      </c>
      <c r="H12" s="326">
        <f t="shared" ref="H12:AB12" si="6">AVERAGE(H7,H10)</f>
        <v>44</v>
      </c>
      <c r="I12" s="323">
        <f t="shared" si="6"/>
        <v>44.5</v>
      </c>
      <c r="J12" s="323">
        <f t="shared" si="6"/>
        <v>45</v>
      </c>
      <c r="K12" s="323">
        <f t="shared" si="6"/>
        <v>47.5</v>
      </c>
      <c r="L12" s="323">
        <f t="shared" si="6"/>
        <v>49</v>
      </c>
      <c r="M12" s="323">
        <f t="shared" si="6"/>
        <v>51</v>
      </c>
      <c r="N12" s="323">
        <f t="shared" si="6"/>
        <v>55</v>
      </c>
      <c r="O12" s="323">
        <f t="shared" si="6"/>
        <v>59</v>
      </c>
      <c r="P12" s="323">
        <f t="shared" si="6"/>
        <v>62</v>
      </c>
      <c r="Q12" s="326">
        <f t="shared" si="6"/>
        <v>65</v>
      </c>
      <c r="R12" s="323">
        <f t="shared" si="6"/>
        <v>67</v>
      </c>
      <c r="S12" s="323">
        <f t="shared" si="6"/>
        <v>68.5</v>
      </c>
      <c r="T12" s="323">
        <f t="shared" si="6"/>
        <v>71</v>
      </c>
      <c r="U12" s="323">
        <f t="shared" si="6"/>
        <v>74.5</v>
      </c>
      <c r="V12" s="323">
        <f t="shared" si="6"/>
        <v>79</v>
      </c>
      <c r="W12" s="323">
        <f t="shared" si="6"/>
        <v>82.5</v>
      </c>
      <c r="X12" s="323">
        <f t="shared" si="6"/>
        <v>83</v>
      </c>
      <c r="Y12" s="323">
        <f t="shared" si="6"/>
        <v>83.5</v>
      </c>
      <c r="Z12" s="323">
        <f t="shared" si="6"/>
        <v>85</v>
      </c>
      <c r="AA12" s="323">
        <f t="shared" si="6"/>
        <v>86</v>
      </c>
      <c r="AB12" s="324">
        <f t="shared" si="6"/>
        <v>87</v>
      </c>
    </row>
    <row r="13" spans="2:32" ht="3.95" customHeight="1">
      <c r="B13" s="180"/>
      <c r="C13" s="232"/>
      <c r="D13" s="232"/>
      <c r="F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3"/>
      <c r="AA13" s="233"/>
      <c r="AB13" s="233"/>
    </row>
    <row r="14" spans="2:32">
      <c r="B14" s="234" t="s">
        <v>1816</v>
      </c>
      <c r="C14" s="236">
        <f>(C8+C7)/C7-1</f>
        <v>1.1860465116279069</v>
      </c>
      <c r="D14" s="247">
        <f>(D8+D7)/D7-1</f>
        <v>0.62857142857142856</v>
      </c>
      <c r="E14" s="248"/>
      <c r="F14" s="249">
        <f>(F8+F7)/F7-1</f>
        <v>0.93650793650793651</v>
      </c>
      <c r="H14" s="246">
        <f t="shared" ref="H14:AB14" si="7">(H8+H7)/H7-1</f>
        <v>6.9767441860465018E-2</v>
      </c>
      <c r="I14" s="236">
        <f t="shared" si="7"/>
        <v>8.8888888888888795E-2</v>
      </c>
      <c r="J14" s="236">
        <f t="shared" si="7"/>
        <v>0.11363636363636354</v>
      </c>
      <c r="K14" s="236">
        <f t="shared" si="7"/>
        <v>6.5217391304347894E-2</v>
      </c>
      <c r="L14" s="236">
        <f t="shared" si="7"/>
        <v>4.081632653061229E-2</v>
      </c>
      <c r="M14" s="236">
        <f t="shared" si="7"/>
        <v>0.14285714285714279</v>
      </c>
      <c r="N14" s="236">
        <f t="shared" si="7"/>
        <v>7.547169811320753E-2</v>
      </c>
      <c r="O14" s="236">
        <f t="shared" si="7"/>
        <v>0.10526315789473695</v>
      </c>
      <c r="P14" s="236">
        <f t="shared" si="7"/>
        <v>3.2786885245901676E-2</v>
      </c>
      <c r="Q14" s="246">
        <f t="shared" si="7"/>
        <v>6.3492063492063489E-2</v>
      </c>
      <c r="R14" s="236">
        <f t="shared" si="7"/>
        <v>7.4626865671641784E-2</v>
      </c>
      <c r="S14" s="236">
        <f t="shared" si="7"/>
        <v>8.9552238805970186E-2</v>
      </c>
      <c r="T14" s="236">
        <f t="shared" si="7"/>
        <v>4.2857142857142927E-2</v>
      </c>
      <c r="U14" s="236">
        <f t="shared" si="7"/>
        <v>8.3333333333333259E-2</v>
      </c>
      <c r="V14" s="236">
        <f t="shared" si="7"/>
        <v>5.1948051948051965E-2</v>
      </c>
      <c r="W14" s="236">
        <f t="shared" si="7"/>
        <v>4.9382716049382713E-2</v>
      </c>
      <c r="X14" s="236">
        <f t="shared" si="7"/>
        <v>5.9523809523809534E-2</v>
      </c>
      <c r="Y14" s="236">
        <f t="shared" si="7"/>
        <v>7.3170731707317138E-2</v>
      </c>
      <c r="Z14" s="236">
        <f t="shared" si="7"/>
        <v>7.0588235294117618E-2</v>
      </c>
      <c r="AA14" s="236">
        <f t="shared" si="7"/>
        <v>7.0588235294117618E-2</v>
      </c>
      <c r="AB14" s="247">
        <f t="shared" si="7"/>
        <v>4.5977011494252817E-2</v>
      </c>
    </row>
    <row r="15" spans="2:32">
      <c r="B15" s="237" t="s">
        <v>1815</v>
      </c>
      <c r="C15" s="239">
        <f t="shared" ref="C15:D15" si="8">(C9+C12)/C12-1</f>
        <v>-0.4247787610619469</v>
      </c>
      <c r="D15" s="240">
        <f t="shared" si="8"/>
        <v>-0.3439490445859873</v>
      </c>
      <c r="E15" s="248"/>
      <c r="F15" s="242">
        <f>(F9+F12)/F12-1</f>
        <v>-0.46666666666666667</v>
      </c>
      <c r="H15" s="241">
        <f t="shared" ref="H15:AB15" si="9">(H9+H12)/H12-1</f>
        <v>-2.2727272727272707E-2</v>
      </c>
      <c r="I15" s="239">
        <f t="shared" si="9"/>
        <v>-0.11235955056179781</v>
      </c>
      <c r="J15" s="239">
        <f t="shared" si="9"/>
        <v>-6.6666666666666652E-2</v>
      </c>
      <c r="K15" s="239">
        <f t="shared" si="9"/>
        <v>0</v>
      </c>
      <c r="L15" s="239">
        <f t="shared" si="9"/>
        <v>-4.081632653061229E-2</v>
      </c>
      <c r="M15" s="239">
        <f t="shared" si="9"/>
        <v>-5.8823529411764719E-2</v>
      </c>
      <c r="N15" s="239">
        <f t="shared" si="9"/>
        <v>0</v>
      </c>
      <c r="O15" s="239">
        <f t="shared" si="9"/>
        <v>-3.3898305084745783E-2</v>
      </c>
      <c r="P15" s="239">
        <f t="shared" si="9"/>
        <v>0</v>
      </c>
      <c r="Q15" s="241">
        <f t="shared" si="9"/>
        <v>0</v>
      </c>
      <c r="R15" s="239">
        <f t="shared" si="9"/>
        <v>-7.4626865671641784E-2</v>
      </c>
      <c r="S15" s="239">
        <f t="shared" si="9"/>
        <v>-4.3795620437956151E-2</v>
      </c>
      <c r="T15" s="239">
        <f t="shared" si="9"/>
        <v>-1.4084507042253502E-2</v>
      </c>
      <c r="U15" s="239">
        <f t="shared" si="9"/>
        <v>-1.3422818791946289E-2</v>
      </c>
      <c r="V15" s="239">
        <f t="shared" si="9"/>
        <v>0</v>
      </c>
      <c r="W15" s="239">
        <f t="shared" si="9"/>
        <v>-1.2121212121212088E-2</v>
      </c>
      <c r="X15" s="239">
        <f t="shared" si="9"/>
        <v>-8.4337349397590411E-2</v>
      </c>
      <c r="Y15" s="239">
        <f t="shared" si="9"/>
        <v>-3.59281437125748E-2</v>
      </c>
      <c r="Z15" s="239">
        <f t="shared" si="9"/>
        <v>-7.0588235294117618E-2</v>
      </c>
      <c r="AA15" s="239">
        <f t="shared" si="9"/>
        <v>-4.6511627906976716E-2</v>
      </c>
      <c r="AB15" s="240">
        <f t="shared" si="9"/>
        <v>-4.5977011494252928E-2</v>
      </c>
    </row>
    <row r="16" spans="2:32" ht="3.95" customHeight="1">
      <c r="B16" s="180"/>
    </row>
    <row r="17" spans="2:31" ht="24">
      <c r="B17" s="159" t="s">
        <v>1814</v>
      </c>
      <c r="C17" s="176" t="s">
        <v>4</v>
      </c>
      <c r="D17" s="176" t="s">
        <v>1320</v>
      </c>
      <c r="E17" s="193"/>
      <c r="F17" s="176" t="s">
        <v>1530</v>
      </c>
      <c r="H17" s="192">
        <v>45658</v>
      </c>
      <c r="I17" s="192">
        <f t="shared" ref="I17:N17" si="10">EOMONTH(H17,0)+1</f>
        <v>45689</v>
      </c>
      <c r="J17" s="192">
        <f t="shared" si="10"/>
        <v>45717</v>
      </c>
      <c r="K17" s="192">
        <f t="shared" si="10"/>
        <v>45748</v>
      </c>
      <c r="L17" s="192">
        <f t="shared" si="10"/>
        <v>45778</v>
      </c>
      <c r="M17" s="192">
        <f t="shared" si="10"/>
        <v>45809</v>
      </c>
      <c r="N17" s="192">
        <f t="shared" si="10"/>
        <v>45839</v>
      </c>
      <c r="O17" s="192">
        <v>45870</v>
      </c>
      <c r="P17" s="192">
        <f t="shared" ref="P17:AB17" si="11">EOMONTH(O17,0)+1</f>
        <v>45901</v>
      </c>
      <c r="Q17" s="192">
        <f t="shared" si="11"/>
        <v>45931</v>
      </c>
      <c r="R17" s="192">
        <f t="shared" si="11"/>
        <v>45962</v>
      </c>
      <c r="S17" s="192">
        <f t="shared" si="11"/>
        <v>45992</v>
      </c>
      <c r="T17" s="192">
        <f t="shared" si="11"/>
        <v>46023</v>
      </c>
      <c r="U17" s="192">
        <f t="shared" si="11"/>
        <v>46054</v>
      </c>
      <c r="V17" s="192">
        <f t="shared" si="11"/>
        <v>46082</v>
      </c>
      <c r="W17" s="192">
        <f t="shared" si="11"/>
        <v>46113</v>
      </c>
      <c r="X17" s="192">
        <f t="shared" si="11"/>
        <v>46143</v>
      </c>
      <c r="Y17" s="192">
        <f t="shared" si="11"/>
        <v>46174</v>
      </c>
      <c r="Z17" s="192">
        <f t="shared" si="11"/>
        <v>46204</v>
      </c>
      <c r="AA17" s="192">
        <f t="shared" si="11"/>
        <v>46235</v>
      </c>
      <c r="AB17" s="192">
        <f t="shared" si="11"/>
        <v>46266</v>
      </c>
      <c r="AC17" s="187"/>
      <c r="AE17" s="187"/>
    </row>
    <row r="18" spans="2:31">
      <c r="B18" s="322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12" t="s">
        <v>1821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11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1316</v>
      </c>
      <c r="C21" s="182">
        <f>+C24-C22-C23</f>
        <v>13</v>
      </c>
      <c r="D21" s="182">
        <f>+D24-D22-D23</f>
        <v>31</v>
      </c>
      <c r="F21" s="182">
        <f>+F24-F22-F23</f>
        <v>27</v>
      </c>
      <c r="H21" s="182">
        <f t="shared" ref="H21:AB21" si="12">+H24-H22-H23</f>
        <v>13</v>
      </c>
      <c r="I21" s="182">
        <f t="shared" si="12"/>
        <v>13</v>
      </c>
      <c r="J21" s="182">
        <f t="shared" si="12"/>
        <v>14</v>
      </c>
      <c r="K21" s="182">
        <f t="shared" si="12"/>
        <v>15</v>
      </c>
      <c r="L21" s="182">
        <f t="shared" si="12"/>
        <v>17</v>
      </c>
      <c r="M21" s="182">
        <f t="shared" si="12"/>
        <v>16</v>
      </c>
      <c r="N21" s="182">
        <f t="shared" si="12"/>
        <v>20</v>
      </c>
      <c r="O21" s="182">
        <f t="shared" si="12"/>
        <v>24</v>
      </c>
      <c r="P21" s="182">
        <f t="shared" si="12"/>
        <v>26</v>
      </c>
      <c r="Q21" s="182">
        <f t="shared" si="12"/>
        <v>27</v>
      </c>
      <c r="R21" s="182">
        <f t="shared" si="12"/>
        <v>29</v>
      </c>
      <c r="S21" s="182">
        <f t="shared" si="12"/>
        <v>30</v>
      </c>
      <c r="T21" s="182">
        <f t="shared" si="12"/>
        <v>31</v>
      </c>
      <c r="U21" s="182">
        <f t="shared" si="12"/>
        <v>32</v>
      </c>
      <c r="V21" s="182">
        <f t="shared" si="12"/>
        <v>32</v>
      </c>
      <c r="W21" s="182">
        <f t="shared" si="12"/>
        <v>32</v>
      </c>
      <c r="X21" s="182">
        <f t="shared" si="12"/>
        <v>34</v>
      </c>
      <c r="Y21" s="182">
        <f t="shared" si="12"/>
        <v>34</v>
      </c>
      <c r="Z21" s="182">
        <f t="shared" si="12"/>
        <v>38</v>
      </c>
      <c r="AA21" s="182">
        <f t="shared" si="12"/>
        <v>39</v>
      </c>
      <c r="AB21" s="182">
        <f t="shared" si="12"/>
        <v>39</v>
      </c>
    </row>
    <row r="22" spans="2:31">
      <c r="B22" s="191" t="s">
        <v>1817</v>
      </c>
      <c r="C22" s="197">
        <f>SUM(H22:S22)</f>
        <v>29</v>
      </c>
      <c r="D22" s="197">
        <f>SUM(T22:AB22)</f>
        <v>20</v>
      </c>
      <c r="F22" s="197">
        <f>SUM(Q22:AB22)</f>
        <v>26</v>
      </c>
      <c r="H22" s="195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5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5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5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5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5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5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5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5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5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5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5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5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5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5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5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5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5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5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5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5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91" t="s">
        <v>1818</v>
      </c>
      <c r="C23" s="197">
        <f>SUM(H23:S23)</f>
        <v>-11</v>
      </c>
      <c r="D23" s="197">
        <f>SUM(T23:AB23)</f>
        <v>-11</v>
      </c>
      <c r="F23" s="197">
        <f>SUM(Q23:AB23)</f>
        <v>-13</v>
      </c>
      <c r="H23" s="195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5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5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5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5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5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5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5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5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5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5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5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5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5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5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5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5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5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5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5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5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9" t="s">
        <v>1318</v>
      </c>
      <c r="C24" s="260">
        <f>+D21</f>
        <v>31</v>
      </c>
      <c r="D24" s="261">
        <f>+$AB24</f>
        <v>40</v>
      </c>
      <c r="F24" s="264">
        <f>+$AB24</f>
        <v>40</v>
      </c>
      <c r="H24" s="262">
        <f t="shared" ref="H24:AA24" si="13">+I21</f>
        <v>13</v>
      </c>
      <c r="I24" s="260">
        <f t="shared" si="13"/>
        <v>14</v>
      </c>
      <c r="J24" s="260">
        <f t="shared" si="13"/>
        <v>15</v>
      </c>
      <c r="K24" s="260">
        <f t="shared" si="13"/>
        <v>17</v>
      </c>
      <c r="L24" s="260">
        <f t="shared" si="13"/>
        <v>16</v>
      </c>
      <c r="M24" s="260">
        <f t="shared" si="13"/>
        <v>20</v>
      </c>
      <c r="N24" s="260">
        <f t="shared" si="13"/>
        <v>24</v>
      </c>
      <c r="O24" s="260">
        <f t="shared" si="13"/>
        <v>26</v>
      </c>
      <c r="P24" s="260">
        <f t="shared" si="13"/>
        <v>27</v>
      </c>
      <c r="Q24" s="262">
        <f t="shared" si="13"/>
        <v>29</v>
      </c>
      <c r="R24" s="260">
        <f t="shared" si="13"/>
        <v>30</v>
      </c>
      <c r="S24" s="260">
        <f t="shared" si="13"/>
        <v>31</v>
      </c>
      <c r="T24" s="260">
        <f t="shared" si="13"/>
        <v>32</v>
      </c>
      <c r="U24" s="260">
        <f t="shared" si="13"/>
        <v>32</v>
      </c>
      <c r="V24" s="260">
        <f t="shared" si="13"/>
        <v>32</v>
      </c>
      <c r="W24" s="260">
        <f t="shared" si="13"/>
        <v>34</v>
      </c>
      <c r="X24" s="260">
        <f t="shared" si="13"/>
        <v>34</v>
      </c>
      <c r="Y24" s="260">
        <f t="shared" si="13"/>
        <v>38</v>
      </c>
      <c r="Z24" s="260">
        <f t="shared" si="13"/>
        <v>39</v>
      </c>
      <c r="AA24" s="260">
        <f t="shared" si="13"/>
        <v>39</v>
      </c>
      <c r="AB24" s="310">
        <f>COUNTIFS('Combined Employee Worksheet'!$H:$H,"Active",'Combined Employee Worksheet'!$D:$D,'Employee Retention'!B18)</f>
        <v>40</v>
      </c>
    </row>
    <row r="25" spans="2:31" ht="3.95" customHeight="1">
      <c r="B25" s="180"/>
      <c r="C25" s="232"/>
      <c r="D25" s="232"/>
      <c r="F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317"/>
    </row>
    <row r="26" spans="2:31" ht="12" customHeight="1">
      <c r="B26" s="234" t="s">
        <v>1820</v>
      </c>
      <c r="C26" s="318">
        <f>AVERAGE(C21,C24)</f>
        <v>22</v>
      </c>
      <c r="D26" s="319">
        <f>AVERAGE(D21,D24)</f>
        <v>35.5</v>
      </c>
      <c r="F26" s="320">
        <f>AVERAGE(F21,F24)</f>
        <v>33.5</v>
      </c>
      <c r="H26" s="321">
        <f t="shared" ref="H26:AB26" si="14">AVERAGE(H21,H24)</f>
        <v>13</v>
      </c>
      <c r="I26" s="318">
        <f t="shared" si="14"/>
        <v>13.5</v>
      </c>
      <c r="J26" s="318">
        <f t="shared" si="14"/>
        <v>14.5</v>
      </c>
      <c r="K26" s="318">
        <f t="shared" si="14"/>
        <v>16</v>
      </c>
      <c r="L26" s="318">
        <f t="shared" si="14"/>
        <v>16.5</v>
      </c>
      <c r="M26" s="318">
        <f t="shared" si="14"/>
        <v>18</v>
      </c>
      <c r="N26" s="318">
        <f t="shared" si="14"/>
        <v>22</v>
      </c>
      <c r="O26" s="318">
        <f t="shared" si="14"/>
        <v>25</v>
      </c>
      <c r="P26" s="318">
        <f t="shared" si="14"/>
        <v>26.5</v>
      </c>
      <c r="Q26" s="321">
        <f t="shared" si="14"/>
        <v>28</v>
      </c>
      <c r="R26" s="318">
        <f t="shared" si="14"/>
        <v>29.5</v>
      </c>
      <c r="S26" s="318">
        <f t="shared" si="14"/>
        <v>30.5</v>
      </c>
      <c r="T26" s="318">
        <f t="shared" si="14"/>
        <v>31.5</v>
      </c>
      <c r="U26" s="318">
        <f t="shared" si="14"/>
        <v>32</v>
      </c>
      <c r="V26" s="318">
        <f t="shared" si="14"/>
        <v>32</v>
      </c>
      <c r="W26" s="318">
        <f t="shared" si="14"/>
        <v>33</v>
      </c>
      <c r="X26" s="318">
        <f t="shared" si="14"/>
        <v>34</v>
      </c>
      <c r="Y26" s="318">
        <f t="shared" si="14"/>
        <v>36</v>
      </c>
      <c r="Z26" s="318">
        <f t="shared" si="14"/>
        <v>38.5</v>
      </c>
      <c r="AA26" s="318">
        <f t="shared" si="14"/>
        <v>39</v>
      </c>
      <c r="AB26" s="319">
        <f t="shared" si="14"/>
        <v>39.5</v>
      </c>
    </row>
    <row r="27" spans="2:31" ht="12" customHeight="1">
      <c r="B27" s="237" t="s">
        <v>1819</v>
      </c>
      <c r="C27" s="313">
        <f>C19/C26</f>
        <v>7.3863636363636367</v>
      </c>
      <c r="D27" s="314">
        <f>D19/D26</f>
        <v>5.056338028169014</v>
      </c>
      <c r="E27" s="182"/>
      <c r="F27" s="315">
        <f>F19/F26</f>
        <v>5.3134328358208958</v>
      </c>
      <c r="G27" s="182"/>
      <c r="H27" s="316">
        <f t="shared" ref="H27:AB27" si="15">H19/H26</f>
        <v>11.23076923076923</v>
      </c>
      <c r="I27" s="313">
        <f t="shared" si="15"/>
        <v>10.925925925925926</v>
      </c>
      <c r="J27" s="313">
        <f t="shared" si="15"/>
        <v>10.413793103448276</v>
      </c>
      <c r="K27" s="313">
        <f t="shared" si="15"/>
        <v>9.78125</v>
      </c>
      <c r="L27" s="313">
        <f t="shared" si="15"/>
        <v>9.8181818181818183</v>
      </c>
      <c r="M27" s="313">
        <f t="shared" si="15"/>
        <v>9.1666666666666661</v>
      </c>
      <c r="N27" s="313">
        <f t="shared" si="15"/>
        <v>7.5909090909090908</v>
      </c>
      <c r="O27" s="313">
        <f t="shared" si="15"/>
        <v>6.88</v>
      </c>
      <c r="P27" s="313">
        <f t="shared" si="15"/>
        <v>6.6415094339622645</v>
      </c>
      <c r="Q27" s="316">
        <f t="shared" si="15"/>
        <v>6.4107142857142856</v>
      </c>
      <c r="R27" s="313">
        <f t="shared" si="15"/>
        <v>6.1525423728813555</v>
      </c>
      <c r="S27" s="313">
        <f t="shared" si="15"/>
        <v>5.918032786885246</v>
      </c>
      <c r="T27" s="313">
        <f t="shared" si="15"/>
        <v>5.8095238095238093</v>
      </c>
      <c r="U27" s="313">
        <f t="shared" si="15"/>
        <v>5.921875</v>
      </c>
      <c r="V27" s="313">
        <f t="shared" si="15"/>
        <v>6.015625</v>
      </c>
      <c r="W27" s="313">
        <f t="shared" si="15"/>
        <v>5.9090909090909092</v>
      </c>
      <c r="X27" s="313">
        <f t="shared" si="15"/>
        <v>5.6911764705882355</v>
      </c>
      <c r="Y27" s="313">
        <f t="shared" si="15"/>
        <v>5.25</v>
      </c>
      <c r="Z27" s="313">
        <f t="shared" si="15"/>
        <v>4.7142857142857144</v>
      </c>
      <c r="AA27" s="313">
        <f t="shared" si="15"/>
        <v>4.4743589743589745</v>
      </c>
      <c r="AB27" s="314">
        <f t="shared" si="15"/>
        <v>4.481012658227848</v>
      </c>
    </row>
    <row r="28" spans="2:31" ht="3.95" customHeight="1">
      <c r="B28" s="180"/>
      <c r="C28" s="232"/>
      <c r="D28" s="232"/>
      <c r="F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3"/>
      <c r="AA28" s="233"/>
      <c r="AB28" s="233"/>
    </row>
    <row r="29" spans="2:31" ht="12" customHeight="1">
      <c r="B29" s="234" t="s">
        <v>1816</v>
      </c>
      <c r="C29" s="236">
        <f>(C22+C21)/C21-1</f>
        <v>2.2307692307692308</v>
      </c>
      <c r="D29" s="247">
        <f>(D22+D21)/D21-1</f>
        <v>0.64516129032258074</v>
      </c>
      <c r="E29" s="248"/>
      <c r="F29" s="249">
        <f>(F22+F21)/F21-1</f>
        <v>0.96296296296296302</v>
      </c>
      <c r="H29" s="246">
        <f t="shared" ref="H29:AB29" si="16">(H22+H21)/H21-1</f>
        <v>0</v>
      </c>
      <c r="I29" s="236">
        <f t="shared" si="16"/>
        <v>0.23076923076923084</v>
      </c>
      <c r="J29" s="236">
        <f t="shared" si="16"/>
        <v>0.14285714285714279</v>
      </c>
      <c r="K29" s="236">
        <f t="shared" si="16"/>
        <v>0.1333333333333333</v>
      </c>
      <c r="L29" s="236">
        <f t="shared" si="16"/>
        <v>5.8823529411764719E-2</v>
      </c>
      <c r="M29" s="236">
        <f t="shared" si="16"/>
        <v>0.375</v>
      </c>
      <c r="N29" s="236">
        <f t="shared" si="16"/>
        <v>0.19999999999999996</v>
      </c>
      <c r="O29" s="236">
        <f t="shared" si="16"/>
        <v>0.16666666666666674</v>
      </c>
      <c r="P29" s="236">
        <f t="shared" si="16"/>
        <v>3.8461538461538547E-2</v>
      </c>
      <c r="Q29" s="246">
        <f t="shared" si="16"/>
        <v>7.4074074074074181E-2</v>
      </c>
      <c r="R29" s="236">
        <f t="shared" si="16"/>
        <v>0.10344827586206895</v>
      </c>
      <c r="S29" s="236">
        <f t="shared" si="16"/>
        <v>3.3333333333333437E-2</v>
      </c>
      <c r="T29" s="236">
        <f t="shared" si="16"/>
        <v>3.2258064516129004E-2</v>
      </c>
      <c r="U29" s="236">
        <f t="shared" si="16"/>
        <v>0</v>
      </c>
      <c r="V29" s="236">
        <f t="shared" si="16"/>
        <v>0</v>
      </c>
      <c r="W29" s="236">
        <f t="shared" si="16"/>
        <v>6.25E-2</v>
      </c>
      <c r="X29" s="236">
        <f t="shared" si="16"/>
        <v>5.8823529411764719E-2</v>
      </c>
      <c r="Y29" s="236">
        <f t="shared" si="16"/>
        <v>0.17647058823529416</v>
      </c>
      <c r="Z29" s="236">
        <f t="shared" si="16"/>
        <v>7.8947368421052655E-2</v>
      </c>
      <c r="AA29" s="236">
        <f t="shared" si="16"/>
        <v>7.6923076923076872E-2</v>
      </c>
      <c r="AB29" s="247">
        <f t="shared" si="16"/>
        <v>7.6923076923076872E-2</v>
      </c>
    </row>
    <row r="30" spans="2:31">
      <c r="B30" s="237" t="s">
        <v>1815</v>
      </c>
      <c r="C30" s="239">
        <f>(C23+C26)/C26-1</f>
        <v>-0.5</v>
      </c>
      <c r="D30" s="240">
        <f>(D23+D26)/D26-1</f>
        <v>-0.3098591549295775</v>
      </c>
      <c r="E30" s="248"/>
      <c r="F30" s="242">
        <f>(F23+F26)/F26-1</f>
        <v>-0.38805970149253732</v>
      </c>
      <c r="H30" s="241">
        <f t="shared" ref="H30:AB30" si="17">(H23+H26)/H26-1</f>
        <v>0</v>
      </c>
      <c r="I30" s="239">
        <f t="shared" si="17"/>
        <v>-0.14814814814814814</v>
      </c>
      <c r="J30" s="239">
        <f t="shared" si="17"/>
        <v>-6.8965517241379337E-2</v>
      </c>
      <c r="K30" s="239">
        <f t="shared" si="17"/>
        <v>0</v>
      </c>
      <c r="L30" s="239">
        <f t="shared" si="17"/>
        <v>-0.12121212121212122</v>
      </c>
      <c r="M30" s="239">
        <f t="shared" si="17"/>
        <v>-0.11111111111111116</v>
      </c>
      <c r="N30" s="239">
        <f t="shared" si="17"/>
        <v>0</v>
      </c>
      <c r="O30" s="239">
        <f t="shared" si="17"/>
        <v>-7.999999999999996E-2</v>
      </c>
      <c r="P30" s="239">
        <f t="shared" si="17"/>
        <v>0</v>
      </c>
      <c r="Q30" s="241">
        <f t="shared" si="17"/>
        <v>0</v>
      </c>
      <c r="R30" s="239">
        <f t="shared" si="17"/>
        <v>-6.7796610169491567E-2</v>
      </c>
      <c r="S30" s="239">
        <f t="shared" si="17"/>
        <v>0</v>
      </c>
      <c r="T30" s="239">
        <f t="shared" si="17"/>
        <v>0</v>
      </c>
      <c r="U30" s="239">
        <f t="shared" si="17"/>
        <v>0</v>
      </c>
      <c r="V30" s="239">
        <f t="shared" si="17"/>
        <v>0</v>
      </c>
      <c r="W30" s="239">
        <f t="shared" si="17"/>
        <v>0</v>
      </c>
      <c r="X30" s="239">
        <f t="shared" si="17"/>
        <v>-5.8823529411764719E-2</v>
      </c>
      <c r="Y30" s="239">
        <f t="shared" si="17"/>
        <v>-5.555555555555558E-2</v>
      </c>
      <c r="Z30" s="239">
        <f t="shared" si="17"/>
        <v>-5.1948051948051965E-2</v>
      </c>
      <c r="AA30" s="239">
        <f t="shared" si="17"/>
        <v>-7.6923076923076872E-2</v>
      </c>
      <c r="AB30" s="240">
        <f t="shared" si="17"/>
        <v>-5.0632911392405111E-2</v>
      </c>
    </row>
    <row r="31" spans="2:31" ht="3.95" customHeight="1">
      <c r="B31" s="180"/>
    </row>
    <row r="32" spans="2:31" ht="24">
      <c r="B32" s="159" t="s">
        <v>1814</v>
      </c>
      <c r="C32" s="176" t="s">
        <v>4</v>
      </c>
      <c r="D32" s="176" t="s">
        <v>1320</v>
      </c>
      <c r="E32" s="193"/>
      <c r="F32" s="176" t="s">
        <v>1530</v>
      </c>
      <c r="H32" s="192">
        <v>45658</v>
      </c>
      <c r="I32" s="192">
        <f t="shared" ref="I32" si="18">EOMONTH(H32,0)+1</f>
        <v>45689</v>
      </c>
      <c r="J32" s="192">
        <f t="shared" ref="J32" si="19">EOMONTH(I32,0)+1</f>
        <v>45717</v>
      </c>
      <c r="K32" s="192">
        <f t="shared" ref="K32" si="20">EOMONTH(J32,0)+1</f>
        <v>45748</v>
      </c>
      <c r="L32" s="192">
        <f t="shared" ref="L32" si="21">EOMONTH(K32,0)+1</f>
        <v>45778</v>
      </c>
      <c r="M32" s="192">
        <f t="shared" ref="M32" si="22">EOMONTH(L32,0)+1</f>
        <v>45809</v>
      </c>
      <c r="N32" s="192">
        <f t="shared" ref="N32" si="23">EOMONTH(M32,0)+1</f>
        <v>45839</v>
      </c>
      <c r="O32" s="192">
        <v>45870</v>
      </c>
      <c r="P32" s="192">
        <f t="shared" ref="P32" si="24">EOMONTH(O32,0)+1</f>
        <v>45901</v>
      </c>
      <c r="Q32" s="192">
        <f t="shared" ref="Q32" si="25">EOMONTH(P32,0)+1</f>
        <v>45931</v>
      </c>
      <c r="R32" s="192">
        <f t="shared" ref="R32" si="26">EOMONTH(Q32,0)+1</f>
        <v>45962</v>
      </c>
      <c r="S32" s="192">
        <f t="shared" ref="S32" si="27">EOMONTH(R32,0)+1</f>
        <v>45992</v>
      </c>
      <c r="T32" s="192">
        <f t="shared" ref="T32" si="28">EOMONTH(S32,0)+1</f>
        <v>46023</v>
      </c>
      <c r="U32" s="192">
        <f t="shared" ref="U32" si="29">EOMONTH(T32,0)+1</f>
        <v>46054</v>
      </c>
      <c r="V32" s="192">
        <f t="shared" ref="V32" si="30">EOMONTH(U32,0)+1</f>
        <v>46082</v>
      </c>
      <c r="W32" s="192">
        <f t="shared" ref="W32" si="31">EOMONTH(V32,0)+1</f>
        <v>46113</v>
      </c>
      <c r="X32" s="192">
        <f t="shared" ref="X32" si="32">EOMONTH(W32,0)+1</f>
        <v>46143</v>
      </c>
      <c r="Y32" s="192">
        <f t="shared" ref="Y32" si="33">EOMONTH(X32,0)+1</f>
        <v>46174</v>
      </c>
      <c r="Z32" s="192">
        <f t="shared" ref="Z32" si="34">EOMONTH(Y32,0)+1</f>
        <v>46204</v>
      </c>
      <c r="AA32" s="192">
        <f t="shared" ref="AA32" si="35">EOMONTH(Z32,0)+1</f>
        <v>46235</v>
      </c>
      <c r="AB32" s="192">
        <f t="shared" ref="AB32" si="36">EOMONTH(AA32,0)+1</f>
        <v>46266</v>
      </c>
      <c r="AC32" s="187"/>
      <c r="AE32" s="187"/>
    </row>
    <row r="33" spans="2:31">
      <c r="B33" s="322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12" t="s">
        <v>1821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11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1316</v>
      </c>
      <c r="C36" s="182">
        <f>+C39-C37-C38</f>
        <v>13</v>
      </c>
      <c r="D36" s="182">
        <f>+D39-D37-D38</f>
        <v>13</v>
      </c>
      <c r="F36" s="182">
        <f>+F39-F37-F38</f>
        <v>12</v>
      </c>
      <c r="H36" s="182">
        <f t="shared" ref="H36" si="38">+H39-H37-H38</f>
        <v>13</v>
      </c>
      <c r="I36" s="182">
        <f t="shared" ref="I36" si="39">+I39-I37-I38</f>
        <v>14</v>
      </c>
      <c r="J36" s="182">
        <f t="shared" ref="J36" si="40">+J39-J37-J38</f>
        <v>12</v>
      </c>
      <c r="K36" s="182">
        <f t="shared" ref="K36" si="41">+K39-K37-K38</f>
        <v>13</v>
      </c>
      <c r="L36" s="182">
        <f t="shared" ref="L36" si="42">+L39-L37-L38</f>
        <v>13</v>
      </c>
      <c r="M36" s="182">
        <f t="shared" ref="M36" si="43">+M39-M37-M38</f>
        <v>13</v>
      </c>
      <c r="N36" s="182">
        <f t="shared" ref="N36" si="44">+N39-N37-N38</f>
        <v>12</v>
      </c>
      <c r="O36" s="182">
        <f t="shared" ref="O36" si="45">+O39-O37-O38</f>
        <v>12</v>
      </c>
      <c r="P36" s="182">
        <f t="shared" ref="P36" si="46">+P39-P37-P38</f>
        <v>12</v>
      </c>
      <c r="Q36" s="182">
        <f t="shared" ref="Q36" si="47">+Q39-Q37-Q38</f>
        <v>12</v>
      </c>
      <c r="R36" s="182">
        <f t="shared" ref="R36" si="48">+R39-R37-R38</f>
        <v>13</v>
      </c>
      <c r="S36" s="182">
        <f t="shared" ref="S36" si="49">+S39-S37-S38</f>
        <v>13</v>
      </c>
      <c r="T36" s="182">
        <f t="shared" ref="T36" si="50">+T39-T37-T38</f>
        <v>13</v>
      </c>
      <c r="U36" s="182">
        <f t="shared" ref="U36" si="51">+U39-U37-U38</f>
        <v>13</v>
      </c>
      <c r="V36" s="182">
        <f t="shared" ref="V36" si="52">+V39-V37-V38</f>
        <v>14</v>
      </c>
      <c r="W36" s="182">
        <f t="shared" ref="W36" si="53">+W39-W37-W38</f>
        <v>16</v>
      </c>
      <c r="X36" s="182">
        <f t="shared" ref="X36" si="54">+X39-X37-X38</f>
        <v>17</v>
      </c>
      <c r="Y36" s="182">
        <f t="shared" ref="Y36" si="55">+Y39-Y37-Y38</f>
        <v>17</v>
      </c>
      <c r="Z36" s="182">
        <f t="shared" ref="Z36" si="56">+Z39-Z37-Z38</f>
        <v>16</v>
      </c>
      <c r="AA36" s="182">
        <f t="shared" ref="AA36" si="57">+AA39-AA37-AA38</f>
        <v>17</v>
      </c>
      <c r="AB36" s="182">
        <f t="shared" ref="AB36" si="58">+AB39-AB37-AB38</f>
        <v>18</v>
      </c>
    </row>
    <row r="37" spans="2:31">
      <c r="B37" s="191" t="s">
        <v>1817</v>
      </c>
      <c r="C37" s="197">
        <f>SUM(H37:S37)</f>
        <v>5</v>
      </c>
      <c r="D37" s="197">
        <f>SUM(T37:AB37)</f>
        <v>8</v>
      </c>
      <c r="F37" s="197">
        <f>SUM(Q37:AB37)</f>
        <v>10</v>
      </c>
      <c r="H37" s="195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5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5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5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5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5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5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5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5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5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5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5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5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5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5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5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5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5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5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5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5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91" t="s">
        <v>1818</v>
      </c>
      <c r="C38" s="197">
        <f>SUM(H38:S38)</f>
        <v>-5</v>
      </c>
      <c r="D38" s="197">
        <f>SUM(T38:AB38)</f>
        <v>-5</v>
      </c>
      <c r="F38" s="197">
        <f>SUM(Q38:AB38)</f>
        <v>-6</v>
      </c>
      <c r="H38" s="195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5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5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5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5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5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5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5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5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5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5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5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5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5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5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5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5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5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5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5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5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9" t="s">
        <v>1318</v>
      </c>
      <c r="C39" s="260">
        <f>+D36</f>
        <v>13</v>
      </c>
      <c r="D39" s="261">
        <f>+$AB39</f>
        <v>16</v>
      </c>
      <c r="F39" s="264">
        <f>+$AB39</f>
        <v>16</v>
      </c>
      <c r="H39" s="262">
        <f t="shared" ref="H39:AA39" si="59">+I36</f>
        <v>14</v>
      </c>
      <c r="I39" s="260">
        <f t="shared" si="59"/>
        <v>12</v>
      </c>
      <c r="J39" s="260">
        <f t="shared" si="59"/>
        <v>13</v>
      </c>
      <c r="K39" s="260">
        <f t="shared" si="59"/>
        <v>13</v>
      </c>
      <c r="L39" s="260">
        <f t="shared" si="59"/>
        <v>13</v>
      </c>
      <c r="M39" s="260">
        <f t="shared" si="59"/>
        <v>12</v>
      </c>
      <c r="N39" s="260">
        <f t="shared" si="59"/>
        <v>12</v>
      </c>
      <c r="O39" s="260">
        <f t="shared" si="59"/>
        <v>12</v>
      </c>
      <c r="P39" s="260">
        <f t="shared" si="59"/>
        <v>12</v>
      </c>
      <c r="Q39" s="262">
        <f t="shared" si="59"/>
        <v>13</v>
      </c>
      <c r="R39" s="260">
        <f t="shared" si="59"/>
        <v>13</v>
      </c>
      <c r="S39" s="260">
        <f t="shared" si="59"/>
        <v>13</v>
      </c>
      <c r="T39" s="260">
        <f t="shared" si="59"/>
        <v>13</v>
      </c>
      <c r="U39" s="260">
        <f t="shared" si="59"/>
        <v>14</v>
      </c>
      <c r="V39" s="260">
        <f t="shared" si="59"/>
        <v>16</v>
      </c>
      <c r="W39" s="260">
        <f t="shared" si="59"/>
        <v>17</v>
      </c>
      <c r="X39" s="260">
        <f t="shared" si="59"/>
        <v>17</v>
      </c>
      <c r="Y39" s="260">
        <f t="shared" si="59"/>
        <v>16</v>
      </c>
      <c r="Z39" s="260">
        <f t="shared" si="59"/>
        <v>17</v>
      </c>
      <c r="AA39" s="260">
        <f t="shared" si="59"/>
        <v>18</v>
      </c>
      <c r="AB39" s="310">
        <f>COUNTIFS('Combined Employee Worksheet'!$H:$H,"Active",'Combined Employee Worksheet'!$D:$D,'Employee Retention'!B33)</f>
        <v>16</v>
      </c>
    </row>
    <row r="40" spans="2:31" ht="3.95" customHeight="1">
      <c r="B40" s="180"/>
      <c r="C40" s="232"/>
      <c r="D40" s="232"/>
      <c r="F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317"/>
    </row>
    <row r="41" spans="2:31" ht="12" customHeight="1">
      <c r="B41" s="234" t="s">
        <v>1820</v>
      </c>
      <c r="C41" s="318">
        <f>AVERAGE(C36,C39)</f>
        <v>13</v>
      </c>
      <c r="D41" s="319">
        <f>AVERAGE(D36,D39)</f>
        <v>14.5</v>
      </c>
      <c r="F41" s="320">
        <f>AVERAGE(F36,F39)</f>
        <v>14</v>
      </c>
      <c r="H41" s="321">
        <f t="shared" ref="H41" si="60">AVERAGE(H36,H39)</f>
        <v>13.5</v>
      </c>
      <c r="I41" s="318">
        <f t="shared" ref="I41" si="61">AVERAGE(I36,I39)</f>
        <v>13</v>
      </c>
      <c r="J41" s="318">
        <f t="shared" ref="J41" si="62">AVERAGE(J36,J39)</f>
        <v>12.5</v>
      </c>
      <c r="K41" s="318">
        <f t="shared" ref="K41" si="63">AVERAGE(K36,K39)</f>
        <v>13</v>
      </c>
      <c r="L41" s="318">
        <f t="shared" ref="L41" si="64">AVERAGE(L36,L39)</f>
        <v>13</v>
      </c>
      <c r="M41" s="318">
        <f t="shared" ref="M41" si="65">AVERAGE(M36,M39)</f>
        <v>12.5</v>
      </c>
      <c r="N41" s="318">
        <f t="shared" ref="N41" si="66">AVERAGE(N36,N39)</f>
        <v>12</v>
      </c>
      <c r="O41" s="318">
        <f t="shared" ref="O41" si="67">AVERAGE(O36,O39)</f>
        <v>12</v>
      </c>
      <c r="P41" s="318">
        <f t="shared" ref="P41" si="68">AVERAGE(P36,P39)</f>
        <v>12</v>
      </c>
      <c r="Q41" s="321">
        <f t="shared" ref="Q41" si="69">AVERAGE(Q36,Q39)</f>
        <v>12.5</v>
      </c>
      <c r="R41" s="318">
        <f t="shared" ref="R41" si="70">AVERAGE(R36,R39)</f>
        <v>13</v>
      </c>
      <c r="S41" s="318">
        <f t="shared" ref="S41" si="71">AVERAGE(S36,S39)</f>
        <v>13</v>
      </c>
      <c r="T41" s="318">
        <f t="shared" ref="T41" si="72">AVERAGE(T36,T39)</f>
        <v>13</v>
      </c>
      <c r="U41" s="318">
        <f t="shared" ref="U41" si="73">AVERAGE(U36,U39)</f>
        <v>13.5</v>
      </c>
      <c r="V41" s="318">
        <f t="shared" ref="V41" si="74">AVERAGE(V36,V39)</f>
        <v>15</v>
      </c>
      <c r="W41" s="318">
        <f t="shared" ref="W41" si="75">AVERAGE(W36,W39)</f>
        <v>16.5</v>
      </c>
      <c r="X41" s="318">
        <f t="shared" ref="X41" si="76">AVERAGE(X36,X39)</f>
        <v>17</v>
      </c>
      <c r="Y41" s="318">
        <f t="shared" ref="Y41" si="77">AVERAGE(Y36,Y39)</f>
        <v>16.5</v>
      </c>
      <c r="Z41" s="318">
        <f t="shared" ref="Z41" si="78">AVERAGE(Z36,Z39)</f>
        <v>16.5</v>
      </c>
      <c r="AA41" s="318">
        <f t="shared" ref="AA41" si="79">AVERAGE(AA36,AA39)</f>
        <v>17.5</v>
      </c>
      <c r="AB41" s="319">
        <f t="shared" ref="AB41" si="80">AVERAGE(AB36,AB39)</f>
        <v>17</v>
      </c>
    </row>
    <row r="42" spans="2:31" ht="12" customHeight="1">
      <c r="B42" s="237" t="s">
        <v>1819</v>
      </c>
      <c r="C42" s="313">
        <f>C34/C41</f>
        <v>12.5</v>
      </c>
      <c r="D42" s="314">
        <f>D34/D41</f>
        <v>12.379310344827585</v>
      </c>
      <c r="E42" s="182"/>
      <c r="F42" s="315">
        <f>F34/F41</f>
        <v>12.714285714285714</v>
      </c>
      <c r="G42" s="182"/>
      <c r="H42" s="316">
        <f t="shared" ref="H42" si="81">H34/H41</f>
        <v>10.814814814814815</v>
      </c>
      <c r="I42" s="313">
        <f t="shared" ref="I42" si="82">I34/I41</f>
        <v>11.346153846153847</v>
      </c>
      <c r="J42" s="313">
        <f t="shared" ref="J42" si="83">J34/J41</f>
        <v>12.08</v>
      </c>
      <c r="K42" s="313">
        <f t="shared" ref="K42" si="84">K34/K41</f>
        <v>12.038461538461538</v>
      </c>
      <c r="L42" s="313">
        <f t="shared" ref="L42" si="85">L34/L41</f>
        <v>12.461538461538462</v>
      </c>
      <c r="M42" s="313">
        <f t="shared" ref="M42" si="86">M34/M41</f>
        <v>13.2</v>
      </c>
      <c r="N42" s="313">
        <f t="shared" ref="N42" si="87">N34/N41</f>
        <v>13.916666666666666</v>
      </c>
      <c r="O42" s="313">
        <f t="shared" ref="O42" si="88">O34/O41</f>
        <v>14.333333333333334</v>
      </c>
      <c r="P42" s="313">
        <f t="shared" ref="P42" si="89">P34/P41</f>
        <v>14.666666666666666</v>
      </c>
      <c r="Q42" s="316">
        <f t="shared" ref="Q42" si="90">Q34/Q41</f>
        <v>14.36</v>
      </c>
      <c r="R42" s="313">
        <f t="shared" ref="R42" si="91">R34/R41</f>
        <v>13.961538461538462</v>
      </c>
      <c r="S42" s="313">
        <f t="shared" ref="S42" si="92">S34/S41</f>
        <v>13.884615384615385</v>
      </c>
      <c r="T42" s="313">
        <f t="shared" ref="T42" si="93">T34/T41</f>
        <v>14.076923076923077</v>
      </c>
      <c r="U42" s="313">
        <f t="shared" ref="U42" si="94">U34/U41</f>
        <v>14.037037037037036</v>
      </c>
      <c r="V42" s="313">
        <f t="shared" ref="V42" si="95">V34/V41</f>
        <v>12.833333333333334</v>
      </c>
      <c r="W42" s="313">
        <f t="shared" ref="W42" si="96">W34/W41</f>
        <v>11.818181818181818</v>
      </c>
      <c r="X42" s="313">
        <f t="shared" ref="X42" si="97">X34/X41</f>
        <v>11.382352941176471</v>
      </c>
      <c r="Y42" s="313">
        <f t="shared" ref="Y42" si="98">Y34/Y41</f>
        <v>11.454545454545455</v>
      </c>
      <c r="Z42" s="313">
        <f t="shared" ref="Z42" si="99">Z34/Z41</f>
        <v>11</v>
      </c>
      <c r="AA42" s="313">
        <f t="shared" ref="AA42" si="100">AA34/AA41</f>
        <v>9.9714285714285715</v>
      </c>
      <c r="AB42" s="314">
        <f t="shared" ref="AB42" si="101">AB34/AB41</f>
        <v>10.411764705882353</v>
      </c>
    </row>
    <row r="43" spans="2:31" ht="3.95" customHeight="1">
      <c r="B43" s="180"/>
      <c r="C43" s="232"/>
      <c r="D43" s="232"/>
      <c r="F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3"/>
      <c r="AA43" s="233"/>
      <c r="AB43" s="233"/>
    </row>
    <row r="44" spans="2:31" ht="12" customHeight="1">
      <c r="B44" s="234" t="s">
        <v>1816</v>
      </c>
      <c r="C44" s="236">
        <f>(C37+C36)/C36-1</f>
        <v>0.38461538461538458</v>
      </c>
      <c r="D44" s="247">
        <f>(D37+D36)/D36-1</f>
        <v>0.61538461538461542</v>
      </c>
      <c r="E44" s="248"/>
      <c r="F44" s="249">
        <f>(F37+F36)/F36-1</f>
        <v>0.83333333333333326</v>
      </c>
      <c r="H44" s="246">
        <f t="shared" ref="H44:AB44" si="102">(H37+H36)/H36-1</f>
        <v>7.6923076923076872E-2</v>
      </c>
      <c r="I44" s="236">
        <f t="shared" si="102"/>
        <v>0</v>
      </c>
      <c r="J44" s="236">
        <f t="shared" si="102"/>
        <v>0.16666666666666674</v>
      </c>
      <c r="K44" s="236">
        <f t="shared" si="102"/>
        <v>0</v>
      </c>
      <c r="L44" s="236">
        <f t="shared" si="102"/>
        <v>0</v>
      </c>
      <c r="M44" s="236">
        <f t="shared" si="102"/>
        <v>0</v>
      </c>
      <c r="N44" s="236">
        <f t="shared" si="102"/>
        <v>0</v>
      </c>
      <c r="O44" s="236">
        <f t="shared" si="102"/>
        <v>0</v>
      </c>
      <c r="P44" s="236">
        <f t="shared" si="102"/>
        <v>0</v>
      </c>
      <c r="Q44" s="246">
        <f t="shared" si="102"/>
        <v>8.3333333333333259E-2</v>
      </c>
      <c r="R44" s="236">
        <f t="shared" si="102"/>
        <v>7.6923076923076872E-2</v>
      </c>
      <c r="S44" s="236">
        <f t="shared" si="102"/>
        <v>0</v>
      </c>
      <c r="T44" s="236">
        <f t="shared" si="102"/>
        <v>0</v>
      </c>
      <c r="U44" s="236">
        <f t="shared" si="102"/>
        <v>0.15384615384615374</v>
      </c>
      <c r="V44" s="236">
        <f t="shared" si="102"/>
        <v>0.14285714285714279</v>
      </c>
      <c r="W44" s="236">
        <f t="shared" si="102"/>
        <v>6.25E-2</v>
      </c>
      <c r="X44" s="236">
        <f t="shared" si="102"/>
        <v>5.8823529411764719E-2</v>
      </c>
      <c r="Y44" s="236">
        <f t="shared" si="102"/>
        <v>0</v>
      </c>
      <c r="Z44" s="236">
        <f t="shared" si="102"/>
        <v>6.25E-2</v>
      </c>
      <c r="AA44" s="236">
        <f t="shared" si="102"/>
        <v>5.8823529411764719E-2</v>
      </c>
      <c r="AB44" s="247">
        <f t="shared" si="102"/>
        <v>0</v>
      </c>
    </row>
    <row r="45" spans="2:31">
      <c r="B45" s="237" t="s">
        <v>1815</v>
      </c>
      <c r="C45" s="239">
        <f>(C38+C41)/C41-1</f>
        <v>-0.38461538461538458</v>
      </c>
      <c r="D45" s="240">
        <f>(D38+D41)/D41-1</f>
        <v>-0.34482758620689657</v>
      </c>
      <c r="E45" s="248"/>
      <c r="F45" s="242">
        <f>(F38+F41)/F41-1</f>
        <v>-0.4285714285714286</v>
      </c>
      <c r="H45" s="241">
        <f t="shared" ref="H45:AB45" si="103">(H38+H41)/H41-1</f>
        <v>0</v>
      </c>
      <c r="I45" s="239">
        <f t="shared" si="103"/>
        <v>-0.15384615384615385</v>
      </c>
      <c r="J45" s="239">
        <f t="shared" si="103"/>
        <v>-7.999999999999996E-2</v>
      </c>
      <c r="K45" s="239">
        <f t="shared" si="103"/>
        <v>0</v>
      </c>
      <c r="L45" s="239">
        <f t="shared" si="103"/>
        <v>0</v>
      </c>
      <c r="M45" s="239">
        <f t="shared" si="103"/>
        <v>-7.999999999999996E-2</v>
      </c>
      <c r="N45" s="239">
        <f t="shared" si="103"/>
        <v>0</v>
      </c>
      <c r="O45" s="239">
        <f t="shared" si="103"/>
        <v>0</v>
      </c>
      <c r="P45" s="239">
        <f t="shared" si="103"/>
        <v>0</v>
      </c>
      <c r="Q45" s="241">
        <f t="shared" si="103"/>
        <v>0</v>
      </c>
      <c r="R45" s="239">
        <f t="shared" si="103"/>
        <v>-7.6923076923076872E-2</v>
      </c>
      <c r="S45" s="239">
        <f t="shared" si="103"/>
        <v>0</v>
      </c>
      <c r="T45" s="239">
        <f t="shared" si="103"/>
        <v>0</v>
      </c>
      <c r="U45" s="239">
        <f t="shared" si="103"/>
        <v>-7.407407407407407E-2</v>
      </c>
      <c r="V45" s="239">
        <f t="shared" si="103"/>
        <v>0</v>
      </c>
      <c r="W45" s="239">
        <f t="shared" si="103"/>
        <v>0</v>
      </c>
      <c r="X45" s="239">
        <f t="shared" si="103"/>
        <v>-5.8823529411764719E-2</v>
      </c>
      <c r="Y45" s="239">
        <f t="shared" si="103"/>
        <v>-6.0606060606060552E-2</v>
      </c>
      <c r="Z45" s="239">
        <f t="shared" si="103"/>
        <v>0</v>
      </c>
      <c r="AA45" s="239">
        <f t="shared" si="103"/>
        <v>0</v>
      </c>
      <c r="AB45" s="240">
        <f t="shared" si="103"/>
        <v>-0.11764705882352944</v>
      </c>
    </row>
    <row r="46" spans="2:31" ht="3.95" customHeight="1">
      <c r="B46" s="180"/>
    </row>
    <row r="47" spans="2:31" ht="24">
      <c r="B47" s="159" t="s">
        <v>1814</v>
      </c>
      <c r="C47" s="176" t="s">
        <v>4</v>
      </c>
      <c r="D47" s="176" t="s">
        <v>1320</v>
      </c>
      <c r="E47" s="193"/>
      <c r="F47" s="176" t="s">
        <v>1530</v>
      </c>
      <c r="H47" s="192">
        <v>45658</v>
      </c>
      <c r="I47" s="192">
        <f t="shared" ref="I47" si="104">EOMONTH(H47,0)+1</f>
        <v>45689</v>
      </c>
      <c r="J47" s="192">
        <f t="shared" ref="J47" si="105">EOMONTH(I47,0)+1</f>
        <v>45717</v>
      </c>
      <c r="K47" s="192">
        <f t="shared" ref="K47" si="106">EOMONTH(J47,0)+1</f>
        <v>45748</v>
      </c>
      <c r="L47" s="192">
        <f t="shared" ref="L47" si="107">EOMONTH(K47,0)+1</f>
        <v>45778</v>
      </c>
      <c r="M47" s="192">
        <f t="shared" ref="M47" si="108">EOMONTH(L47,0)+1</f>
        <v>45809</v>
      </c>
      <c r="N47" s="192">
        <f t="shared" ref="N47" si="109">EOMONTH(M47,0)+1</f>
        <v>45839</v>
      </c>
      <c r="O47" s="192">
        <v>45870</v>
      </c>
      <c r="P47" s="192">
        <f t="shared" ref="P47" si="110">EOMONTH(O47,0)+1</f>
        <v>45901</v>
      </c>
      <c r="Q47" s="192">
        <f t="shared" ref="Q47" si="111">EOMONTH(P47,0)+1</f>
        <v>45931</v>
      </c>
      <c r="R47" s="192">
        <f t="shared" ref="R47" si="112">EOMONTH(Q47,0)+1</f>
        <v>45962</v>
      </c>
      <c r="S47" s="192">
        <f t="shared" ref="S47" si="113">EOMONTH(R47,0)+1</f>
        <v>45992</v>
      </c>
      <c r="T47" s="192">
        <f t="shared" ref="T47" si="114">EOMONTH(S47,0)+1</f>
        <v>46023</v>
      </c>
      <c r="U47" s="192">
        <f t="shared" ref="U47" si="115">EOMONTH(T47,0)+1</f>
        <v>46054</v>
      </c>
      <c r="V47" s="192">
        <f t="shared" ref="V47" si="116">EOMONTH(U47,0)+1</f>
        <v>46082</v>
      </c>
      <c r="W47" s="192">
        <f t="shared" ref="W47" si="117">EOMONTH(V47,0)+1</f>
        <v>46113</v>
      </c>
      <c r="X47" s="192">
        <f t="shared" ref="X47" si="118">EOMONTH(W47,0)+1</f>
        <v>46143</v>
      </c>
      <c r="Y47" s="192">
        <f t="shared" ref="Y47" si="119">EOMONTH(X47,0)+1</f>
        <v>46174</v>
      </c>
      <c r="Z47" s="192">
        <f t="shared" ref="Z47" si="120">EOMONTH(Y47,0)+1</f>
        <v>46204</v>
      </c>
      <c r="AA47" s="192">
        <f t="shared" ref="AA47" si="121">EOMONTH(Z47,0)+1</f>
        <v>46235</v>
      </c>
      <c r="AB47" s="192">
        <f t="shared" ref="AB47" si="122">EOMONTH(AA47,0)+1</f>
        <v>46266</v>
      </c>
      <c r="AC47" s="187"/>
      <c r="AE47" s="187"/>
    </row>
    <row r="48" spans="2:31">
      <c r="B48" s="322" t="s">
        <v>1364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12" t="s">
        <v>1821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11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1316</v>
      </c>
      <c r="C51" s="182">
        <f>+C54-C52-C53</f>
        <v>1</v>
      </c>
      <c r="D51" s="182">
        <f>+D54-D52-D53</f>
        <v>2</v>
      </c>
      <c r="F51" s="182">
        <f>+F54-F52-F53</f>
        <v>3</v>
      </c>
      <c r="H51" s="182">
        <f t="shared" ref="H51" si="124">+H54-H52-H53</f>
        <v>1</v>
      </c>
      <c r="I51" s="182">
        <f t="shared" ref="I51" si="125">+I54-I52-I53</f>
        <v>1</v>
      </c>
      <c r="J51" s="182">
        <f t="shared" ref="J51" si="126">+J54-J52-J53</f>
        <v>2</v>
      </c>
      <c r="K51" s="182">
        <f t="shared" ref="K51" si="127">+K54-K52-K53</f>
        <v>2</v>
      </c>
      <c r="L51" s="182">
        <f t="shared" ref="L51" si="128">+L54-L52-L53</f>
        <v>2</v>
      </c>
      <c r="M51" s="182">
        <f t="shared" ref="M51" si="129">+M54-M52-M53</f>
        <v>2</v>
      </c>
      <c r="N51" s="182">
        <f t="shared" ref="N51" si="130">+N54-N52-N53</f>
        <v>2</v>
      </c>
      <c r="O51" s="182">
        <f t="shared" ref="O51" si="131">+O54-O52-O53</f>
        <v>2</v>
      </c>
      <c r="P51" s="182">
        <f t="shared" ref="P51" si="132">+P54-P52-P53</f>
        <v>2</v>
      </c>
      <c r="Q51" s="182">
        <f t="shared" ref="Q51" si="133">+Q54-Q52-Q53</f>
        <v>3</v>
      </c>
      <c r="R51" s="182">
        <f t="shared" ref="R51" si="134">+R54-R52-R53</f>
        <v>3</v>
      </c>
      <c r="S51" s="182">
        <f t="shared" ref="S51" si="135">+S54-S52-S53</f>
        <v>3</v>
      </c>
      <c r="T51" s="182">
        <f t="shared" ref="T51" si="136">+T54-T52-T53</f>
        <v>2</v>
      </c>
      <c r="U51" s="182">
        <f t="shared" ref="U51" si="137">+U54-U52-U53</f>
        <v>2</v>
      </c>
      <c r="V51" s="182">
        <f t="shared" ref="V51" si="138">+V54-V52-V53</f>
        <v>4</v>
      </c>
      <c r="W51" s="182">
        <f t="shared" ref="W51" si="139">+W54-W52-W53</f>
        <v>4</v>
      </c>
      <c r="X51" s="182">
        <f t="shared" ref="X51" si="140">+X54-X52-X53</f>
        <v>4</v>
      </c>
      <c r="Y51" s="182">
        <f t="shared" ref="Y51" si="141">+Y54-Y52-Y53</f>
        <v>4</v>
      </c>
      <c r="Z51" s="182">
        <f t="shared" ref="Z51" si="142">+Z54-Z52-Z53</f>
        <v>4</v>
      </c>
      <c r="AA51" s="182">
        <f t="shared" ref="AA51" si="143">+AA54-AA52-AA53</f>
        <v>4</v>
      </c>
      <c r="AB51" s="182">
        <f t="shared" ref="AB51" si="144">+AB54-AB52-AB53</f>
        <v>4</v>
      </c>
    </row>
    <row r="52" spans="2:31">
      <c r="B52" s="191" t="s">
        <v>1817</v>
      </c>
      <c r="C52" s="197">
        <f>SUM(H52:S52)</f>
        <v>3</v>
      </c>
      <c r="D52" s="197">
        <f>SUM(T52:AB52)</f>
        <v>3</v>
      </c>
      <c r="F52" s="197">
        <f>SUM(Q52:AB52)</f>
        <v>3</v>
      </c>
      <c r="H52" s="195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5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5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5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5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5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5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5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5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5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5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5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5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5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5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5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5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5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5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5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5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91" t="s">
        <v>1818</v>
      </c>
      <c r="C53" s="197">
        <f>SUM(H53:S53)</f>
        <v>-2</v>
      </c>
      <c r="D53" s="197">
        <f>SUM(T53:AB53)</f>
        <v>-1</v>
      </c>
      <c r="F53" s="197">
        <f>SUM(Q53:AB53)</f>
        <v>-2</v>
      </c>
      <c r="H53" s="195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5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5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5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5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5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5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5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5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5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5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5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5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5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5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5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5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5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5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5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5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9" t="s">
        <v>1318</v>
      </c>
      <c r="C54" s="260">
        <f>+D51</f>
        <v>2</v>
      </c>
      <c r="D54" s="261">
        <f>+$AB54</f>
        <v>4</v>
      </c>
      <c r="F54" s="264">
        <f>+$AB54</f>
        <v>4</v>
      </c>
      <c r="H54" s="262">
        <f t="shared" ref="H54:AA54" si="145">+I51</f>
        <v>1</v>
      </c>
      <c r="I54" s="260">
        <f t="shared" si="145"/>
        <v>2</v>
      </c>
      <c r="J54" s="260">
        <f t="shared" si="145"/>
        <v>2</v>
      </c>
      <c r="K54" s="260">
        <f t="shared" si="145"/>
        <v>2</v>
      </c>
      <c r="L54" s="260">
        <f t="shared" si="145"/>
        <v>2</v>
      </c>
      <c r="M54" s="260">
        <f t="shared" si="145"/>
        <v>2</v>
      </c>
      <c r="N54" s="260">
        <f t="shared" si="145"/>
        <v>2</v>
      </c>
      <c r="O54" s="260">
        <f t="shared" si="145"/>
        <v>2</v>
      </c>
      <c r="P54" s="260">
        <f t="shared" si="145"/>
        <v>3</v>
      </c>
      <c r="Q54" s="262">
        <f t="shared" si="145"/>
        <v>3</v>
      </c>
      <c r="R54" s="260">
        <f t="shared" si="145"/>
        <v>3</v>
      </c>
      <c r="S54" s="260">
        <f t="shared" si="145"/>
        <v>2</v>
      </c>
      <c r="T54" s="260">
        <f t="shared" si="145"/>
        <v>2</v>
      </c>
      <c r="U54" s="260">
        <f t="shared" si="145"/>
        <v>4</v>
      </c>
      <c r="V54" s="260">
        <f t="shared" si="145"/>
        <v>4</v>
      </c>
      <c r="W54" s="260">
        <f t="shared" si="145"/>
        <v>4</v>
      </c>
      <c r="X54" s="260">
        <f t="shared" si="145"/>
        <v>4</v>
      </c>
      <c r="Y54" s="260">
        <f t="shared" si="145"/>
        <v>4</v>
      </c>
      <c r="Z54" s="260">
        <f t="shared" si="145"/>
        <v>4</v>
      </c>
      <c r="AA54" s="260">
        <f t="shared" si="145"/>
        <v>4</v>
      </c>
      <c r="AB54" s="310">
        <f>COUNTIFS('Combined Employee Worksheet'!$H:$H,"Active",'Combined Employee Worksheet'!$D:$D,'Employee Retention'!B48)</f>
        <v>4</v>
      </c>
    </row>
    <row r="55" spans="2:31" ht="3.95" customHeight="1">
      <c r="B55" s="180"/>
      <c r="C55" s="232"/>
      <c r="D55" s="232"/>
      <c r="F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317"/>
    </row>
    <row r="56" spans="2:31" ht="12" customHeight="1">
      <c r="B56" s="234" t="s">
        <v>1820</v>
      </c>
      <c r="C56" s="318">
        <f>AVERAGE(C51,C54)</f>
        <v>1.5</v>
      </c>
      <c r="D56" s="319">
        <f>AVERAGE(D51,D54)</f>
        <v>3</v>
      </c>
      <c r="F56" s="320">
        <f>AVERAGE(F51,F54)</f>
        <v>3.5</v>
      </c>
      <c r="H56" s="321">
        <f t="shared" ref="H56" si="146">AVERAGE(H51,H54)</f>
        <v>1</v>
      </c>
      <c r="I56" s="318">
        <f t="shared" ref="I56" si="147">AVERAGE(I51,I54)</f>
        <v>1.5</v>
      </c>
      <c r="J56" s="318">
        <f t="shared" ref="J56" si="148">AVERAGE(J51,J54)</f>
        <v>2</v>
      </c>
      <c r="K56" s="318">
        <f t="shared" ref="K56" si="149">AVERAGE(K51,K54)</f>
        <v>2</v>
      </c>
      <c r="L56" s="318">
        <f t="shared" ref="L56" si="150">AVERAGE(L51,L54)</f>
        <v>2</v>
      </c>
      <c r="M56" s="318">
        <f t="shared" ref="M56" si="151">AVERAGE(M51,M54)</f>
        <v>2</v>
      </c>
      <c r="N56" s="318">
        <f t="shared" ref="N56" si="152">AVERAGE(N51,N54)</f>
        <v>2</v>
      </c>
      <c r="O56" s="318">
        <f t="shared" ref="O56" si="153">AVERAGE(O51,O54)</f>
        <v>2</v>
      </c>
      <c r="P56" s="318">
        <f t="shared" ref="P56" si="154">AVERAGE(P51,P54)</f>
        <v>2.5</v>
      </c>
      <c r="Q56" s="321">
        <f t="shared" ref="Q56" si="155">AVERAGE(Q51,Q54)</f>
        <v>3</v>
      </c>
      <c r="R56" s="318">
        <f t="shared" ref="R56" si="156">AVERAGE(R51,R54)</f>
        <v>3</v>
      </c>
      <c r="S56" s="318">
        <f t="shared" ref="S56" si="157">AVERAGE(S51,S54)</f>
        <v>2.5</v>
      </c>
      <c r="T56" s="318">
        <f t="shared" ref="T56" si="158">AVERAGE(T51,T54)</f>
        <v>2</v>
      </c>
      <c r="U56" s="318">
        <f t="shared" ref="U56" si="159">AVERAGE(U51,U54)</f>
        <v>3</v>
      </c>
      <c r="V56" s="318">
        <f t="shared" ref="V56" si="160">AVERAGE(V51,V54)</f>
        <v>4</v>
      </c>
      <c r="W56" s="318">
        <f t="shared" ref="W56" si="161">AVERAGE(W51,W54)</f>
        <v>4</v>
      </c>
      <c r="X56" s="318">
        <f t="shared" ref="X56" si="162">AVERAGE(X51,X54)</f>
        <v>4</v>
      </c>
      <c r="Y56" s="318">
        <f t="shared" ref="Y56" si="163">AVERAGE(Y51,Y54)</f>
        <v>4</v>
      </c>
      <c r="Z56" s="318">
        <f t="shared" ref="Z56" si="164">AVERAGE(Z51,Z54)</f>
        <v>4</v>
      </c>
      <c r="AA56" s="318">
        <f t="shared" ref="AA56" si="165">AVERAGE(AA51,AA54)</f>
        <v>4</v>
      </c>
      <c r="AB56" s="319">
        <f t="shared" ref="AB56" si="166">AVERAGE(AB51,AB54)</f>
        <v>4</v>
      </c>
    </row>
    <row r="57" spans="2:31" ht="12" customHeight="1">
      <c r="B57" s="237" t="s">
        <v>1819</v>
      </c>
      <c r="C57" s="313">
        <f>C49/C56</f>
        <v>108.33333333333333</v>
      </c>
      <c r="D57" s="314">
        <f>D49/D56</f>
        <v>59.833333333333336</v>
      </c>
      <c r="E57" s="182"/>
      <c r="F57" s="315">
        <f>F49/F56</f>
        <v>50.857142857142854</v>
      </c>
      <c r="G57" s="182"/>
      <c r="H57" s="316">
        <f t="shared" ref="H57" si="167">H49/H56</f>
        <v>146</v>
      </c>
      <c r="I57" s="313">
        <f t="shared" ref="I57" si="168">I49/I56</f>
        <v>98.333333333333329</v>
      </c>
      <c r="J57" s="313">
        <f t="shared" ref="J57" si="169">J49/J56</f>
        <v>75.5</v>
      </c>
      <c r="K57" s="313">
        <f t="shared" ref="K57" si="170">K49/K56</f>
        <v>78.25</v>
      </c>
      <c r="L57" s="313">
        <f t="shared" ref="L57" si="171">L49/L56</f>
        <v>81</v>
      </c>
      <c r="M57" s="313">
        <f t="shared" ref="M57" si="172">M49/M56</f>
        <v>82.5</v>
      </c>
      <c r="N57" s="313">
        <f t="shared" ref="N57" si="173">N49/N56</f>
        <v>83.5</v>
      </c>
      <c r="O57" s="313">
        <f t="shared" ref="O57" si="174">O49/O56</f>
        <v>86</v>
      </c>
      <c r="P57" s="313">
        <f t="shared" ref="P57" si="175">P49/P56</f>
        <v>70.400000000000006</v>
      </c>
      <c r="Q57" s="316">
        <f t="shared" ref="Q57" si="176">Q49/Q56</f>
        <v>59.833333333333336</v>
      </c>
      <c r="R57" s="313">
        <f t="shared" ref="R57" si="177">R49/R56</f>
        <v>60.5</v>
      </c>
      <c r="S57" s="313">
        <f t="shared" ref="S57" si="178">S49/S56</f>
        <v>72.2</v>
      </c>
      <c r="T57" s="313">
        <f t="shared" ref="T57" si="179">T49/T56</f>
        <v>91.5</v>
      </c>
      <c r="U57" s="313">
        <f t="shared" ref="U57" si="180">U49/U56</f>
        <v>63.166666666666664</v>
      </c>
      <c r="V57" s="313">
        <f t="shared" ref="V57" si="181">V49/V56</f>
        <v>48.125</v>
      </c>
      <c r="W57" s="313">
        <f t="shared" ref="W57" si="182">W49/W56</f>
        <v>48.75</v>
      </c>
      <c r="X57" s="313">
        <f t="shared" ref="X57" si="183">X49/X56</f>
        <v>48.375</v>
      </c>
      <c r="Y57" s="313">
        <f t="shared" ref="Y57" si="184">Y49/Y56</f>
        <v>47.25</v>
      </c>
      <c r="Z57" s="313">
        <f t="shared" ref="Z57" si="185">Z49/Z56</f>
        <v>45.375</v>
      </c>
      <c r="AA57" s="313">
        <f t="shared" ref="AA57" si="186">AA49/AA56</f>
        <v>43.625</v>
      </c>
      <c r="AB57" s="314">
        <f t="shared" ref="AB57" si="187">AB49/AB56</f>
        <v>44.25</v>
      </c>
    </row>
    <row r="58" spans="2:31" ht="3.95" customHeight="1">
      <c r="B58" s="180"/>
      <c r="C58" s="232"/>
      <c r="D58" s="232"/>
      <c r="F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3"/>
      <c r="AA58" s="233"/>
      <c r="AB58" s="233"/>
    </row>
    <row r="59" spans="2:31" ht="12" customHeight="1">
      <c r="B59" s="234" t="s">
        <v>1816</v>
      </c>
      <c r="C59" s="236">
        <f>(C52+C51)/C51-1</f>
        <v>3</v>
      </c>
      <c r="D59" s="247">
        <f>(D52+D51)/D51-1</f>
        <v>1.5</v>
      </c>
      <c r="E59" s="248"/>
      <c r="F59" s="249">
        <f>(F52+F51)/F51-1</f>
        <v>1</v>
      </c>
      <c r="H59" s="246">
        <f t="shared" ref="H59:AB59" si="188">(H52+H51)/H51-1</f>
        <v>0</v>
      </c>
      <c r="I59" s="236">
        <f t="shared" si="188"/>
        <v>1</v>
      </c>
      <c r="J59" s="236">
        <f t="shared" si="188"/>
        <v>0.5</v>
      </c>
      <c r="K59" s="236">
        <f t="shared" si="188"/>
        <v>0</v>
      </c>
      <c r="L59" s="236">
        <f t="shared" si="188"/>
        <v>0</v>
      </c>
      <c r="M59" s="236">
        <f t="shared" si="188"/>
        <v>0</v>
      </c>
      <c r="N59" s="236">
        <f t="shared" si="188"/>
        <v>0</v>
      </c>
      <c r="O59" s="236">
        <f t="shared" si="188"/>
        <v>0</v>
      </c>
      <c r="P59" s="236">
        <f t="shared" si="188"/>
        <v>0.5</v>
      </c>
      <c r="Q59" s="246">
        <f t="shared" si="188"/>
        <v>0</v>
      </c>
      <c r="R59" s="236">
        <f t="shared" si="188"/>
        <v>0</v>
      </c>
      <c r="S59" s="236">
        <f t="shared" si="188"/>
        <v>0</v>
      </c>
      <c r="T59" s="236">
        <f t="shared" si="188"/>
        <v>0</v>
      </c>
      <c r="U59" s="236">
        <f t="shared" si="188"/>
        <v>1</v>
      </c>
      <c r="V59" s="236">
        <f t="shared" si="188"/>
        <v>0</v>
      </c>
      <c r="W59" s="236">
        <f t="shared" si="188"/>
        <v>0</v>
      </c>
      <c r="X59" s="236">
        <f t="shared" si="188"/>
        <v>0</v>
      </c>
      <c r="Y59" s="236">
        <f t="shared" si="188"/>
        <v>0</v>
      </c>
      <c r="Z59" s="236">
        <f t="shared" si="188"/>
        <v>0</v>
      </c>
      <c r="AA59" s="236">
        <f t="shared" si="188"/>
        <v>0.25</v>
      </c>
      <c r="AB59" s="247">
        <f t="shared" si="188"/>
        <v>0</v>
      </c>
    </row>
    <row r="60" spans="2:31">
      <c r="B60" s="237" t="s">
        <v>1815</v>
      </c>
      <c r="C60" s="239">
        <f>(C53+C56)/C56-1</f>
        <v>-1.3333333333333333</v>
      </c>
      <c r="D60" s="240">
        <f>(D53+D56)/D56-1</f>
        <v>-0.33333333333333337</v>
      </c>
      <c r="E60" s="248"/>
      <c r="F60" s="242">
        <f>(F53+F56)/F56-1</f>
        <v>-0.5714285714285714</v>
      </c>
      <c r="H60" s="241">
        <f t="shared" ref="H60:AB60" si="189">(H53+H56)/H56-1</f>
        <v>0</v>
      </c>
      <c r="I60" s="239">
        <f t="shared" si="189"/>
        <v>0</v>
      </c>
      <c r="J60" s="239">
        <f t="shared" si="189"/>
        <v>-0.5</v>
      </c>
      <c r="K60" s="239">
        <f t="shared" si="189"/>
        <v>0</v>
      </c>
      <c r="L60" s="239">
        <f t="shared" si="189"/>
        <v>0</v>
      </c>
      <c r="M60" s="239">
        <f t="shared" si="189"/>
        <v>0</v>
      </c>
      <c r="N60" s="239">
        <f t="shared" si="189"/>
        <v>0</v>
      </c>
      <c r="O60" s="239">
        <f t="shared" si="189"/>
        <v>0</v>
      </c>
      <c r="P60" s="239">
        <f t="shared" si="189"/>
        <v>0</v>
      </c>
      <c r="Q60" s="241">
        <f t="shared" si="189"/>
        <v>0</v>
      </c>
      <c r="R60" s="239">
        <f t="shared" si="189"/>
        <v>0</v>
      </c>
      <c r="S60" s="239">
        <f t="shared" si="189"/>
        <v>-0.4</v>
      </c>
      <c r="T60" s="239">
        <f t="shared" si="189"/>
        <v>0</v>
      </c>
      <c r="U60" s="239">
        <f t="shared" si="189"/>
        <v>0</v>
      </c>
      <c r="V60" s="239">
        <f t="shared" si="189"/>
        <v>0</v>
      </c>
      <c r="W60" s="239">
        <f t="shared" si="189"/>
        <v>0</v>
      </c>
      <c r="X60" s="239">
        <f t="shared" si="189"/>
        <v>0</v>
      </c>
      <c r="Y60" s="239">
        <f t="shared" si="189"/>
        <v>0</v>
      </c>
      <c r="Z60" s="239">
        <f t="shared" si="189"/>
        <v>0</v>
      </c>
      <c r="AA60" s="239">
        <f t="shared" si="189"/>
        <v>-0.25</v>
      </c>
      <c r="AB60" s="240">
        <f t="shared" si="189"/>
        <v>0</v>
      </c>
    </row>
    <row r="61" spans="2:31" ht="3.95" customHeight="1">
      <c r="B61" s="180"/>
    </row>
    <row r="62" spans="2:31" ht="24">
      <c r="B62" s="159" t="s">
        <v>1814</v>
      </c>
      <c r="C62" s="176" t="s">
        <v>4</v>
      </c>
      <c r="D62" s="176" t="s">
        <v>1320</v>
      </c>
      <c r="E62" s="193"/>
      <c r="F62" s="176" t="s">
        <v>1530</v>
      </c>
      <c r="H62" s="192">
        <v>45658</v>
      </c>
      <c r="I62" s="192">
        <f t="shared" ref="I62" si="190">EOMONTH(H62,0)+1</f>
        <v>45689</v>
      </c>
      <c r="J62" s="192">
        <f t="shared" ref="J62" si="191">EOMONTH(I62,0)+1</f>
        <v>45717</v>
      </c>
      <c r="K62" s="192">
        <f t="shared" ref="K62" si="192">EOMONTH(J62,0)+1</f>
        <v>45748</v>
      </c>
      <c r="L62" s="192">
        <f t="shared" ref="L62" si="193">EOMONTH(K62,0)+1</f>
        <v>45778</v>
      </c>
      <c r="M62" s="192">
        <f t="shared" ref="M62" si="194">EOMONTH(L62,0)+1</f>
        <v>45809</v>
      </c>
      <c r="N62" s="192">
        <f t="shared" ref="N62" si="195">EOMONTH(M62,0)+1</f>
        <v>45839</v>
      </c>
      <c r="O62" s="192">
        <v>45870</v>
      </c>
      <c r="P62" s="192">
        <f t="shared" ref="P62" si="196">EOMONTH(O62,0)+1</f>
        <v>45901</v>
      </c>
      <c r="Q62" s="192">
        <f t="shared" ref="Q62" si="197">EOMONTH(P62,0)+1</f>
        <v>45931</v>
      </c>
      <c r="R62" s="192">
        <f t="shared" ref="R62" si="198">EOMONTH(Q62,0)+1</f>
        <v>45962</v>
      </c>
      <c r="S62" s="192">
        <f t="shared" ref="S62" si="199">EOMONTH(R62,0)+1</f>
        <v>45992</v>
      </c>
      <c r="T62" s="192">
        <f t="shared" ref="T62" si="200">EOMONTH(S62,0)+1</f>
        <v>46023</v>
      </c>
      <c r="U62" s="192">
        <f t="shared" ref="U62" si="201">EOMONTH(T62,0)+1</f>
        <v>46054</v>
      </c>
      <c r="V62" s="192">
        <f t="shared" ref="V62" si="202">EOMONTH(U62,0)+1</f>
        <v>46082</v>
      </c>
      <c r="W62" s="192">
        <f t="shared" ref="W62" si="203">EOMONTH(V62,0)+1</f>
        <v>46113</v>
      </c>
      <c r="X62" s="192">
        <f t="shared" ref="X62" si="204">EOMONTH(W62,0)+1</f>
        <v>46143</v>
      </c>
      <c r="Y62" s="192">
        <f t="shared" ref="Y62" si="205">EOMONTH(X62,0)+1</f>
        <v>46174</v>
      </c>
      <c r="Z62" s="192">
        <f t="shared" ref="Z62" si="206">EOMONTH(Y62,0)+1</f>
        <v>46204</v>
      </c>
      <c r="AA62" s="192">
        <f t="shared" ref="AA62" si="207">EOMONTH(Z62,0)+1</f>
        <v>46235</v>
      </c>
      <c r="AB62" s="192">
        <f t="shared" ref="AB62" si="208">EOMONTH(AA62,0)+1</f>
        <v>46266</v>
      </c>
      <c r="AC62" s="187"/>
      <c r="AE62" s="187"/>
    </row>
    <row r="63" spans="2:31">
      <c r="B63" s="322" t="s">
        <v>1513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12" t="s">
        <v>1821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11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1316</v>
      </c>
      <c r="C66" s="182">
        <f>+C69-C67-C68</f>
        <v>1</v>
      </c>
      <c r="D66" s="182">
        <f>+D69-D67-D68</f>
        <v>5</v>
      </c>
      <c r="F66" s="182">
        <f>+F69-F67-F68</f>
        <v>4</v>
      </c>
      <c r="H66" s="182">
        <f t="shared" ref="H66" si="210">+H69-H67-H68</f>
        <v>1</v>
      </c>
      <c r="I66" s="182">
        <f t="shared" ref="I66" si="211">+I69-I67-I68</f>
        <v>2</v>
      </c>
      <c r="J66" s="182">
        <f t="shared" ref="J66" si="212">+J69-J67-J68</f>
        <v>2</v>
      </c>
      <c r="K66" s="182">
        <f t="shared" ref="K66" si="213">+K69-K67-K68</f>
        <v>2</v>
      </c>
      <c r="L66" s="182">
        <f t="shared" ref="L66" si="214">+L69-L67-L68</f>
        <v>3</v>
      </c>
      <c r="M66" s="182">
        <f t="shared" ref="M66" si="215">+M69-M67-M68</f>
        <v>3</v>
      </c>
      <c r="N66" s="182">
        <f t="shared" ref="N66" si="216">+N69-N67-N68</f>
        <v>3</v>
      </c>
      <c r="O66" s="182">
        <f t="shared" ref="O66" si="217">+O69-O67-O68</f>
        <v>3</v>
      </c>
      <c r="P66" s="182">
        <f t="shared" ref="P66" si="218">+P69-P67-P68</f>
        <v>4</v>
      </c>
      <c r="Q66" s="182">
        <f t="shared" ref="Q66" si="219">+Q69-Q67-Q68</f>
        <v>4</v>
      </c>
      <c r="R66" s="182">
        <f t="shared" ref="R66" si="220">+R69-R67-R68</f>
        <v>5</v>
      </c>
      <c r="S66" s="182">
        <f t="shared" ref="S66" si="221">+S69-S67-S68</f>
        <v>4</v>
      </c>
      <c r="T66" s="182">
        <f t="shared" ref="T66" si="222">+T69-T67-T68</f>
        <v>5</v>
      </c>
      <c r="U66" s="182">
        <f t="shared" ref="U66" si="223">+U69-U67-U68</f>
        <v>5</v>
      </c>
      <c r="V66" s="182">
        <f t="shared" ref="V66" si="224">+V69-V67-V68</f>
        <v>6</v>
      </c>
      <c r="W66" s="182">
        <f t="shared" ref="W66" si="225">+W69-W67-W68</f>
        <v>7</v>
      </c>
      <c r="X66" s="182">
        <f t="shared" ref="X66" si="226">+X69-X67-X68</f>
        <v>6</v>
      </c>
      <c r="Y66" s="182">
        <f t="shared" ref="Y66" si="227">+Y69-Y67-Y68</f>
        <v>6</v>
      </c>
      <c r="Z66" s="182">
        <f t="shared" ref="Z66" si="228">+Z69-Z67-Z68</f>
        <v>6</v>
      </c>
      <c r="AA66" s="182">
        <f t="shared" ref="AA66" si="229">+AA69-AA67-AA68</f>
        <v>4</v>
      </c>
      <c r="AB66" s="182">
        <f t="shared" ref="AB66" si="230">+AB69-AB67-AB68</f>
        <v>4</v>
      </c>
    </row>
    <row r="67" spans="2:31">
      <c r="B67" s="191" t="s">
        <v>1817</v>
      </c>
      <c r="C67" s="197">
        <f>SUM(H67:S67)</f>
        <v>5</v>
      </c>
      <c r="D67" s="197">
        <f>SUM(T67:AB67)</f>
        <v>4</v>
      </c>
      <c r="F67" s="197">
        <f>SUM(Q67:AB67)</f>
        <v>6</v>
      </c>
      <c r="H67" s="195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5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5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5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5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5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5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5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5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5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5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5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5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5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5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5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5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5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5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5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5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91" t="s">
        <v>1818</v>
      </c>
      <c r="C68" s="197">
        <f>SUM(H68:S68)</f>
        <v>-1</v>
      </c>
      <c r="D68" s="197">
        <f>SUM(T68:AB68)</f>
        <v>-5</v>
      </c>
      <c r="F68" s="197">
        <f>SUM(Q68:AB68)</f>
        <v>-6</v>
      </c>
      <c r="H68" s="195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5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5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5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5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5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5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5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5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5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5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5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5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5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5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5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5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5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5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5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5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9" t="s">
        <v>1318</v>
      </c>
      <c r="C69" s="260">
        <f>+D66</f>
        <v>5</v>
      </c>
      <c r="D69" s="261">
        <f>+$AB69</f>
        <v>4</v>
      </c>
      <c r="F69" s="264">
        <f>+$AB69</f>
        <v>4</v>
      </c>
      <c r="H69" s="262">
        <f t="shared" ref="H69:AA69" si="231">+I66</f>
        <v>2</v>
      </c>
      <c r="I69" s="260">
        <f t="shared" si="231"/>
        <v>2</v>
      </c>
      <c r="J69" s="260">
        <f t="shared" si="231"/>
        <v>2</v>
      </c>
      <c r="K69" s="260">
        <f t="shared" si="231"/>
        <v>3</v>
      </c>
      <c r="L69" s="260">
        <f t="shared" si="231"/>
        <v>3</v>
      </c>
      <c r="M69" s="260">
        <f t="shared" si="231"/>
        <v>3</v>
      </c>
      <c r="N69" s="260">
        <f t="shared" si="231"/>
        <v>3</v>
      </c>
      <c r="O69" s="260">
        <f t="shared" si="231"/>
        <v>4</v>
      </c>
      <c r="P69" s="260">
        <f t="shared" si="231"/>
        <v>4</v>
      </c>
      <c r="Q69" s="262">
        <f t="shared" si="231"/>
        <v>5</v>
      </c>
      <c r="R69" s="260">
        <f t="shared" si="231"/>
        <v>4</v>
      </c>
      <c r="S69" s="260">
        <f t="shared" si="231"/>
        <v>5</v>
      </c>
      <c r="T69" s="260">
        <f t="shared" si="231"/>
        <v>5</v>
      </c>
      <c r="U69" s="260">
        <f t="shared" si="231"/>
        <v>6</v>
      </c>
      <c r="V69" s="260">
        <f t="shared" si="231"/>
        <v>7</v>
      </c>
      <c r="W69" s="260">
        <f t="shared" si="231"/>
        <v>6</v>
      </c>
      <c r="X69" s="260">
        <f t="shared" si="231"/>
        <v>6</v>
      </c>
      <c r="Y69" s="260">
        <f t="shared" si="231"/>
        <v>6</v>
      </c>
      <c r="Z69" s="260">
        <f t="shared" si="231"/>
        <v>4</v>
      </c>
      <c r="AA69" s="260">
        <f t="shared" si="231"/>
        <v>4</v>
      </c>
      <c r="AB69" s="310">
        <f>COUNTIFS('Combined Employee Worksheet'!$H:$H,"Active",'Combined Employee Worksheet'!$D:$D,'Employee Retention'!B63)</f>
        <v>4</v>
      </c>
    </row>
    <row r="70" spans="2:31" ht="3.95" customHeight="1">
      <c r="B70" s="180"/>
      <c r="C70" s="232"/>
      <c r="D70" s="232"/>
      <c r="F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317"/>
    </row>
    <row r="71" spans="2:31" ht="12" customHeight="1">
      <c r="B71" s="234" t="s">
        <v>1820</v>
      </c>
      <c r="C71" s="318">
        <f>AVERAGE(C66,C69)</f>
        <v>3</v>
      </c>
      <c r="D71" s="319">
        <f>AVERAGE(D66,D69)</f>
        <v>4.5</v>
      </c>
      <c r="F71" s="320">
        <f>AVERAGE(F66,F69)</f>
        <v>4</v>
      </c>
      <c r="H71" s="321">
        <f t="shared" ref="H71" si="232">AVERAGE(H66,H69)</f>
        <v>1.5</v>
      </c>
      <c r="I71" s="318">
        <f t="shared" ref="I71" si="233">AVERAGE(I66,I69)</f>
        <v>2</v>
      </c>
      <c r="J71" s="318">
        <f t="shared" ref="J71" si="234">AVERAGE(J66,J69)</f>
        <v>2</v>
      </c>
      <c r="K71" s="318">
        <f t="shared" ref="K71" si="235">AVERAGE(K66,K69)</f>
        <v>2.5</v>
      </c>
      <c r="L71" s="318">
        <f t="shared" ref="L71" si="236">AVERAGE(L66,L69)</f>
        <v>3</v>
      </c>
      <c r="M71" s="318">
        <f t="shared" ref="M71" si="237">AVERAGE(M66,M69)</f>
        <v>3</v>
      </c>
      <c r="N71" s="318">
        <f t="shared" ref="N71" si="238">AVERAGE(N66,N69)</f>
        <v>3</v>
      </c>
      <c r="O71" s="318">
        <f t="shared" ref="O71" si="239">AVERAGE(O66,O69)</f>
        <v>3.5</v>
      </c>
      <c r="P71" s="318">
        <f t="shared" ref="P71" si="240">AVERAGE(P66,P69)</f>
        <v>4</v>
      </c>
      <c r="Q71" s="321">
        <f t="shared" ref="Q71" si="241">AVERAGE(Q66,Q69)</f>
        <v>4.5</v>
      </c>
      <c r="R71" s="318">
        <f t="shared" ref="R71" si="242">AVERAGE(R66,R69)</f>
        <v>4.5</v>
      </c>
      <c r="S71" s="318">
        <f t="shared" ref="S71" si="243">AVERAGE(S66,S69)</f>
        <v>4.5</v>
      </c>
      <c r="T71" s="318">
        <f t="shared" ref="T71" si="244">AVERAGE(T66,T69)</f>
        <v>5</v>
      </c>
      <c r="U71" s="318">
        <f t="shared" ref="U71" si="245">AVERAGE(U66,U69)</f>
        <v>5.5</v>
      </c>
      <c r="V71" s="318">
        <f t="shared" ref="V71" si="246">AVERAGE(V66,V69)</f>
        <v>6.5</v>
      </c>
      <c r="W71" s="318">
        <f t="shared" ref="W71" si="247">AVERAGE(W66,W69)</f>
        <v>6.5</v>
      </c>
      <c r="X71" s="318">
        <f t="shared" ref="X71" si="248">AVERAGE(X66,X69)</f>
        <v>6</v>
      </c>
      <c r="Y71" s="318">
        <f t="shared" ref="Y71" si="249">AVERAGE(Y66,Y69)</f>
        <v>6</v>
      </c>
      <c r="Z71" s="318">
        <f t="shared" ref="Z71" si="250">AVERAGE(Z66,Z69)</f>
        <v>5</v>
      </c>
      <c r="AA71" s="318">
        <f t="shared" ref="AA71" si="251">AVERAGE(AA66,AA69)</f>
        <v>4</v>
      </c>
      <c r="AB71" s="319">
        <f t="shared" ref="AB71" si="252">AVERAGE(AB66,AB69)</f>
        <v>4</v>
      </c>
    </row>
    <row r="72" spans="2:31" ht="12" customHeight="1">
      <c r="B72" s="237" t="s">
        <v>1819</v>
      </c>
      <c r="C72" s="313">
        <f>C64/C71</f>
        <v>54.166666666666664</v>
      </c>
      <c r="D72" s="314">
        <f>D64/D71</f>
        <v>39.888888888888886</v>
      </c>
      <c r="E72" s="182"/>
      <c r="F72" s="315">
        <f>F64/F71</f>
        <v>44.5</v>
      </c>
      <c r="G72" s="182"/>
      <c r="H72" s="316">
        <f t="shared" ref="H72" si="253">H64/H71</f>
        <v>97.333333333333329</v>
      </c>
      <c r="I72" s="313">
        <f t="shared" ref="I72" si="254">I64/I71</f>
        <v>73.75</v>
      </c>
      <c r="J72" s="313">
        <f t="shared" ref="J72" si="255">J64/J71</f>
        <v>75.5</v>
      </c>
      <c r="K72" s="313">
        <f t="shared" ref="K72" si="256">K64/K71</f>
        <v>62.6</v>
      </c>
      <c r="L72" s="313">
        <f t="shared" ref="L72" si="257">L64/L71</f>
        <v>54</v>
      </c>
      <c r="M72" s="313">
        <f t="shared" ref="M72" si="258">M64/M71</f>
        <v>55</v>
      </c>
      <c r="N72" s="313">
        <f t="shared" ref="N72" si="259">N64/N71</f>
        <v>55.666666666666664</v>
      </c>
      <c r="O72" s="313">
        <f t="shared" ref="O72" si="260">O64/O71</f>
        <v>49.142857142857146</v>
      </c>
      <c r="P72" s="313">
        <f t="shared" ref="P72" si="261">P64/P71</f>
        <v>44</v>
      </c>
      <c r="Q72" s="316">
        <f t="shared" ref="Q72" si="262">Q64/Q71</f>
        <v>39.888888888888886</v>
      </c>
      <c r="R72" s="313">
        <f t="shared" ref="R72" si="263">R64/R71</f>
        <v>40.333333333333336</v>
      </c>
      <c r="S72" s="313">
        <f t="shared" ref="S72" si="264">S64/S71</f>
        <v>40.111111111111114</v>
      </c>
      <c r="T72" s="313">
        <f t="shared" ref="T72" si="265">T64/T71</f>
        <v>36.6</v>
      </c>
      <c r="U72" s="313">
        <f t="shared" ref="U72" si="266">U64/U71</f>
        <v>34.454545454545453</v>
      </c>
      <c r="V72" s="313">
        <f t="shared" ref="V72" si="267">V64/V71</f>
        <v>29.615384615384617</v>
      </c>
      <c r="W72" s="313">
        <f t="shared" ref="W72" si="268">W64/W71</f>
        <v>30</v>
      </c>
      <c r="X72" s="313">
        <f t="shared" ref="X72" si="269">X64/X71</f>
        <v>32.25</v>
      </c>
      <c r="Y72" s="313">
        <f t="shared" ref="Y72" si="270">Y64/Y71</f>
        <v>31.5</v>
      </c>
      <c r="Z72" s="313">
        <f t="shared" ref="Z72" si="271">Z64/Z71</f>
        <v>36.299999999999997</v>
      </c>
      <c r="AA72" s="313">
        <f t="shared" ref="AA72" si="272">AA64/AA71</f>
        <v>43.625</v>
      </c>
      <c r="AB72" s="314">
        <f t="shared" ref="AB72" si="273">AB64/AB71</f>
        <v>44.25</v>
      </c>
    </row>
    <row r="73" spans="2:31" ht="3.95" customHeight="1">
      <c r="B73" s="180"/>
      <c r="C73" s="232"/>
      <c r="D73" s="232"/>
      <c r="F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3"/>
      <c r="AA73" s="233"/>
      <c r="AB73" s="233"/>
    </row>
    <row r="74" spans="2:31" ht="12" customHeight="1">
      <c r="B74" s="234" t="s">
        <v>1816</v>
      </c>
      <c r="C74" s="236">
        <f>(C67+C66)/C66-1</f>
        <v>5</v>
      </c>
      <c r="D74" s="247">
        <f>(D67+D66)/D66-1</f>
        <v>0.8</v>
      </c>
      <c r="E74" s="248"/>
      <c r="F74" s="249">
        <f>(F67+F66)/F66-1</f>
        <v>1.5</v>
      </c>
      <c r="H74" s="246">
        <f t="shared" ref="H74:AB74" si="274">(H67+H66)/H66-1</f>
        <v>1</v>
      </c>
      <c r="I74" s="236">
        <f t="shared" si="274"/>
        <v>0</v>
      </c>
      <c r="J74" s="236">
        <f t="shared" si="274"/>
        <v>0</v>
      </c>
      <c r="K74" s="236">
        <f t="shared" si="274"/>
        <v>0.5</v>
      </c>
      <c r="L74" s="236">
        <f t="shared" si="274"/>
        <v>0</v>
      </c>
      <c r="M74" s="236">
        <f t="shared" si="274"/>
        <v>0</v>
      </c>
      <c r="N74" s="236">
        <f t="shared" si="274"/>
        <v>0</v>
      </c>
      <c r="O74" s="236">
        <f t="shared" si="274"/>
        <v>0.33333333333333326</v>
      </c>
      <c r="P74" s="236">
        <f t="shared" si="274"/>
        <v>0</v>
      </c>
      <c r="Q74" s="246">
        <f t="shared" si="274"/>
        <v>0.25</v>
      </c>
      <c r="R74" s="236">
        <f t="shared" si="274"/>
        <v>0</v>
      </c>
      <c r="S74" s="236">
        <f t="shared" si="274"/>
        <v>0.25</v>
      </c>
      <c r="T74" s="236">
        <f t="shared" si="274"/>
        <v>0</v>
      </c>
      <c r="U74" s="236">
        <f t="shared" si="274"/>
        <v>0.19999999999999996</v>
      </c>
      <c r="V74" s="236">
        <f t="shared" si="274"/>
        <v>0.16666666666666674</v>
      </c>
      <c r="W74" s="236">
        <f t="shared" si="274"/>
        <v>0</v>
      </c>
      <c r="X74" s="236">
        <f t="shared" si="274"/>
        <v>0.33333333333333326</v>
      </c>
      <c r="Y74" s="236">
        <f t="shared" si="274"/>
        <v>0</v>
      </c>
      <c r="Z74" s="236">
        <f t="shared" si="274"/>
        <v>0</v>
      </c>
      <c r="AA74" s="236">
        <f t="shared" si="274"/>
        <v>0</v>
      </c>
      <c r="AB74" s="247">
        <f t="shared" si="274"/>
        <v>0</v>
      </c>
    </row>
    <row r="75" spans="2:31">
      <c r="B75" s="237" t="s">
        <v>1815</v>
      </c>
      <c r="C75" s="239">
        <f>(C68+C71)/C71-1</f>
        <v>-0.33333333333333337</v>
      </c>
      <c r="D75" s="240">
        <f>(D68+D71)/D71-1</f>
        <v>-1.1111111111111112</v>
      </c>
      <c r="E75" s="248"/>
      <c r="F75" s="242">
        <f>(F68+F71)/F71-1</f>
        <v>-1.5</v>
      </c>
      <c r="H75" s="241">
        <f t="shared" ref="H75:AB75" si="275">(H68+H71)/H71-1</f>
        <v>0</v>
      </c>
      <c r="I75" s="239">
        <f t="shared" si="275"/>
        <v>0</v>
      </c>
      <c r="J75" s="239">
        <f t="shared" si="275"/>
        <v>0</v>
      </c>
      <c r="K75" s="239">
        <f t="shared" si="275"/>
        <v>0</v>
      </c>
      <c r="L75" s="239">
        <f t="shared" si="275"/>
        <v>0</v>
      </c>
      <c r="M75" s="239">
        <f t="shared" si="275"/>
        <v>0</v>
      </c>
      <c r="N75" s="239">
        <f t="shared" si="275"/>
        <v>0</v>
      </c>
      <c r="O75" s="239">
        <f t="shared" si="275"/>
        <v>0</v>
      </c>
      <c r="P75" s="239">
        <f t="shared" si="275"/>
        <v>0</v>
      </c>
      <c r="Q75" s="241">
        <f t="shared" si="275"/>
        <v>0</v>
      </c>
      <c r="R75" s="239">
        <f t="shared" si="275"/>
        <v>-0.22222222222222221</v>
      </c>
      <c r="S75" s="239">
        <f t="shared" si="275"/>
        <v>0</v>
      </c>
      <c r="T75" s="239">
        <f t="shared" si="275"/>
        <v>0</v>
      </c>
      <c r="U75" s="239">
        <f t="shared" si="275"/>
        <v>0</v>
      </c>
      <c r="V75" s="239">
        <f t="shared" si="275"/>
        <v>0</v>
      </c>
      <c r="W75" s="239">
        <f t="shared" si="275"/>
        <v>-0.15384615384615385</v>
      </c>
      <c r="X75" s="239">
        <f t="shared" si="275"/>
        <v>-0.33333333333333337</v>
      </c>
      <c r="Y75" s="239">
        <f t="shared" si="275"/>
        <v>0</v>
      </c>
      <c r="Z75" s="239">
        <f t="shared" si="275"/>
        <v>-0.4</v>
      </c>
      <c r="AA75" s="239">
        <f t="shared" si="275"/>
        <v>0</v>
      </c>
      <c r="AB75" s="240">
        <f t="shared" si="275"/>
        <v>0</v>
      </c>
    </row>
    <row r="76" spans="2:31" ht="3.95" customHeight="1">
      <c r="B76" s="180"/>
    </row>
    <row r="77" spans="2:31" ht="24">
      <c r="B77" s="159" t="s">
        <v>1814</v>
      </c>
      <c r="C77" s="176" t="s">
        <v>4</v>
      </c>
      <c r="D77" s="176" t="s">
        <v>1320</v>
      </c>
      <c r="E77" s="193"/>
      <c r="F77" s="176" t="s">
        <v>1530</v>
      </c>
      <c r="H77" s="192">
        <v>45658</v>
      </c>
      <c r="I77" s="192">
        <f t="shared" ref="I77" si="276">EOMONTH(H77,0)+1</f>
        <v>45689</v>
      </c>
      <c r="J77" s="192">
        <f t="shared" ref="J77" si="277">EOMONTH(I77,0)+1</f>
        <v>45717</v>
      </c>
      <c r="K77" s="192">
        <f t="shared" ref="K77" si="278">EOMONTH(J77,0)+1</f>
        <v>45748</v>
      </c>
      <c r="L77" s="192">
        <f t="shared" ref="L77" si="279">EOMONTH(K77,0)+1</f>
        <v>45778</v>
      </c>
      <c r="M77" s="192">
        <f t="shared" ref="M77" si="280">EOMONTH(L77,0)+1</f>
        <v>45809</v>
      </c>
      <c r="N77" s="192">
        <f t="shared" ref="N77" si="281">EOMONTH(M77,0)+1</f>
        <v>45839</v>
      </c>
      <c r="O77" s="192">
        <v>45870</v>
      </c>
      <c r="P77" s="192">
        <f t="shared" ref="P77" si="282">EOMONTH(O77,0)+1</f>
        <v>45901</v>
      </c>
      <c r="Q77" s="192">
        <f t="shared" ref="Q77" si="283">EOMONTH(P77,0)+1</f>
        <v>45931</v>
      </c>
      <c r="R77" s="192">
        <f t="shared" ref="R77" si="284">EOMONTH(Q77,0)+1</f>
        <v>45962</v>
      </c>
      <c r="S77" s="192">
        <f t="shared" ref="S77" si="285">EOMONTH(R77,0)+1</f>
        <v>45992</v>
      </c>
      <c r="T77" s="192">
        <f t="shared" ref="T77" si="286">EOMONTH(S77,0)+1</f>
        <v>46023</v>
      </c>
      <c r="U77" s="192">
        <f t="shared" ref="U77" si="287">EOMONTH(T77,0)+1</f>
        <v>46054</v>
      </c>
      <c r="V77" s="192">
        <f t="shared" ref="V77" si="288">EOMONTH(U77,0)+1</f>
        <v>46082</v>
      </c>
      <c r="W77" s="192">
        <f t="shared" ref="W77" si="289">EOMONTH(V77,0)+1</f>
        <v>46113</v>
      </c>
      <c r="X77" s="192">
        <f t="shared" ref="X77" si="290">EOMONTH(W77,0)+1</f>
        <v>46143</v>
      </c>
      <c r="Y77" s="192">
        <f t="shared" ref="Y77" si="291">EOMONTH(X77,0)+1</f>
        <v>46174</v>
      </c>
      <c r="Z77" s="192">
        <f t="shared" ref="Z77" si="292">EOMONTH(Y77,0)+1</f>
        <v>46204</v>
      </c>
      <c r="AA77" s="192">
        <f t="shared" ref="AA77" si="293">EOMONTH(Z77,0)+1</f>
        <v>46235</v>
      </c>
      <c r="AB77" s="192">
        <f t="shared" ref="AB77" si="294">EOMONTH(AA77,0)+1</f>
        <v>46266</v>
      </c>
      <c r="AC77" s="187"/>
      <c r="AE77" s="187"/>
    </row>
    <row r="78" spans="2:31">
      <c r="B78" s="322" t="s">
        <v>1512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12" t="s">
        <v>1821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11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1316</v>
      </c>
      <c r="C81" s="182">
        <f>+C84-C82-C83</f>
        <v>4</v>
      </c>
      <c r="D81" s="182">
        <f>+D84-D82-D83</f>
        <v>4</v>
      </c>
      <c r="F81" s="182">
        <f>+F84-F82-F83</f>
        <v>3</v>
      </c>
      <c r="H81" s="182">
        <f t="shared" ref="H81" si="296">+H84-H82-H83</f>
        <v>4</v>
      </c>
      <c r="I81" s="182">
        <f t="shared" ref="I81" si="297">+I84-I82-I83</f>
        <v>3</v>
      </c>
      <c r="J81" s="182">
        <f t="shared" ref="J81" si="298">+J84-J82-J83</f>
        <v>3</v>
      </c>
      <c r="K81" s="182">
        <f t="shared" ref="K81" si="299">+K84-K82-K83</f>
        <v>3</v>
      </c>
      <c r="L81" s="182">
        <f t="shared" ref="L81" si="300">+L84-L82-L83</f>
        <v>3</v>
      </c>
      <c r="M81" s="182">
        <f t="shared" ref="M81" si="301">+M84-M82-M83</f>
        <v>3</v>
      </c>
      <c r="N81" s="182">
        <f t="shared" ref="N81" si="302">+N84-N82-N83</f>
        <v>3</v>
      </c>
      <c r="O81" s="182">
        <f t="shared" ref="O81" si="303">+O84-O82-O83</f>
        <v>3</v>
      </c>
      <c r="P81" s="182">
        <f t="shared" ref="P81" si="304">+P84-P82-P83</f>
        <v>3</v>
      </c>
      <c r="Q81" s="182">
        <f t="shared" ref="Q81" si="305">+Q84-Q82-Q83</f>
        <v>3</v>
      </c>
      <c r="R81" s="182">
        <f t="shared" ref="R81" si="306">+R84-R82-R83</f>
        <v>3</v>
      </c>
      <c r="S81" s="182">
        <f t="shared" ref="S81" si="307">+S84-S82-S83</f>
        <v>3</v>
      </c>
      <c r="T81" s="182">
        <f t="shared" ref="T81" si="308">+T84-T82-T83</f>
        <v>4</v>
      </c>
      <c r="U81" s="182">
        <f t="shared" ref="U81" si="309">+U84-U82-U83</f>
        <v>4</v>
      </c>
      <c r="V81" s="182">
        <f t="shared" ref="V81" si="310">+V84-V82-V83</f>
        <v>4</v>
      </c>
      <c r="W81" s="182">
        <f t="shared" ref="W81" si="311">+W84-W82-W83</f>
        <v>4</v>
      </c>
      <c r="X81" s="182">
        <f t="shared" ref="X81" si="312">+X84-X82-X83</f>
        <v>4</v>
      </c>
      <c r="Y81" s="182">
        <f t="shared" ref="Y81" si="313">+Y84-Y82-Y83</f>
        <v>3</v>
      </c>
      <c r="Z81" s="182">
        <f t="shared" ref="Z81" si="314">+Z84-Z82-Z83</f>
        <v>3</v>
      </c>
      <c r="AA81" s="182">
        <f t="shared" ref="AA81" si="315">+AA84-AA82-AA83</f>
        <v>4</v>
      </c>
      <c r="AB81" s="182">
        <f t="shared" ref="AB81" si="316">+AB84-AB82-AB83</f>
        <v>4</v>
      </c>
    </row>
    <row r="82" spans="2:31">
      <c r="B82" s="191" t="s">
        <v>1817</v>
      </c>
      <c r="C82" s="197">
        <f>SUM(H82:S82)</f>
        <v>2</v>
      </c>
      <c r="D82" s="197">
        <f>SUM(T82:AB82)</f>
        <v>2</v>
      </c>
      <c r="F82" s="197">
        <f>SUM(Q82:AB82)</f>
        <v>4</v>
      </c>
      <c r="H82" s="195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5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5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5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5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5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5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5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5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5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5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5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5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5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5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5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5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5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5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5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5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91" t="s">
        <v>1818</v>
      </c>
      <c r="C83" s="197">
        <f>SUM(H83:S83)</f>
        <v>-2</v>
      </c>
      <c r="D83" s="197">
        <f>SUM(T83:AB83)</f>
        <v>-2</v>
      </c>
      <c r="F83" s="197">
        <f>SUM(Q83:AB83)</f>
        <v>-3</v>
      </c>
      <c r="H83" s="195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5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5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5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5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5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5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5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5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5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5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5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5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5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5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5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5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5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5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5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5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9" t="s">
        <v>1318</v>
      </c>
      <c r="C84" s="260">
        <f>+D81</f>
        <v>4</v>
      </c>
      <c r="D84" s="261">
        <f>+$AB84</f>
        <v>4</v>
      </c>
      <c r="F84" s="264">
        <f>+$AB84</f>
        <v>4</v>
      </c>
      <c r="H84" s="262">
        <f t="shared" ref="H84:AA84" si="317">+I81</f>
        <v>3</v>
      </c>
      <c r="I84" s="260">
        <f t="shared" si="317"/>
        <v>3</v>
      </c>
      <c r="J84" s="260">
        <f t="shared" si="317"/>
        <v>3</v>
      </c>
      <c r="K84" s="260">
        <f t="shared" si="317"/>
        <v>3</v>
      </c>
      <c r="L84" s="260">
        <f t="shared" si="317"/>
        <v>3</v>
      </c>
      <c r="M84" s="260">
        <f t="shared" si="317"/>
        <v>3</v>
      </c>
      <c r="N84" s="260">
        <f t="shared" si="317"/>
        <v>3</v>
      </c>
      <c r="O84" s="260">
        <f t="shared" si="317"/>
        <v>3</v>
      </c>
      <c r="P84" s="260">
        <f t="shared" si="317"/>
        <v>3</v>
      </c>
      <c r="Q84" s="413">
        <f t="shared" si="317"/>
        <v>3</v>
      </c>
      <c r="R84" s="235">
        <f t="shared" si="317"/>
        <v>3</v>
      </c>
      <c r="S84" s="235">
        <f t="shared" si="317"/>
        <v>4</v>
      </c>
      <c r="T84" s="235">
        <f t="shared" si="317"/>
        <v>4</v>
      </c>
      <c r="U84" s="235">
        <f t="shared" si="317"/>
        <v>4</v>
      </c>
      <c r="V84" s="235">
        <f t="shared" si="317"/>
        <v>4</v>
      </c>
      <c r="W84" s="235">
        <f t="shared" si="317"/>
        <v>4</v>
      </c>
      <c r="X84" s="235">
        <f t="shared" si="317"/>
        <v>3</v>
      </c>
      <c r="Y84" s="235">
        <f t="shared" si="317"/>
        <v>3</v>
      </c>
      <c r="Z84" s="235">
        <f t="shared" si="317"/>
        <v>4</v>
      </c>
      <c r="AA84" s="235">
        <f t="shared" si="317"/>
        <v>4</v>
      </c>
      <c r="AB84" s="414">
        <f>COUNTIFS('Combined Employee Worksheet'!$H:$H,"Active",'Combined Employee Worksheet'!$D:$D,'Employee Retention'!B78)</f>
        <v>4</v>
      </c>
    </row>
    <row r="85" spans="2:31" ht="3.95" customHeight="1">
      <c r="B85" s="180"/>
      <c r="C85" s="232"/>
      <c r="D85" s="232"/>
      <c r="F85" s="232"/>
      <c r="H85" s="232"/>
      <c r="I85" s="232"/>
      <c r="J85" s="232"/>
      <c r="K85" s="232"/>
      <c r="L85" s="232"/>
      <c r="M85" s="232"/>
      <c r="N85" s="232"/>
      <c r="O85" s="232"/>
      <c r="P85" s="232"/>
      <c r="Q85" s="415"/>
      <c r="R85" s="416"/>
      <c r="S85" s="416"/>
      <c r="T85" s="416"/>
      <c r="U85" s="416"/>
      <c r="V85" s="416"/>
      <c r="W85" s="416"/>
      <c r="X85" s="416"/>
      <c r="Y85" s="416"/>
      <c r="Z85" s="416"/>
      <c r="AA85" s="416"/>
      <c r="AB85" s="417"/>
    </row>
    <row r="86" spans="2:31" ht="12" customHeight="1">
      <c r="B86" s="234" t="s">
        <v>1820</v>
      </c>
      <c r="C86" s="318">
        <f>AVERAGE(C81,C84)</f>
        <v>4</v>
      </c>
      <c r="D86" s="319">
        <f>AVERAGE(D81,D84)</f>
        <v>4</v>
      </c>
      <c r="F86" s="320">
        <f>AVERAGE(F81,F84)</f>
        <v>3.5</v>
      </c>
      <c r="H86" s="321">
        <f t="shared" ref="H86" si="318">AVERAGE(H81,H84)</f>
        <v>3.5</v>
      </c>
      <c r="I86" s="318">
        <f t="shared" ref="I86" si="319">AVERAGE(I81,I84)</f>
        <v>3</v>
      </c>
      <c r="J86" s="318">
        <f t="shared" ref="J86" si="320">AVERAGE(J81,J84)</f>
        <v>3</v>
      </c>
      <c r="K86" s="318">
        <f t="shared" ref="K86" si="321">AVERAGE(K81,K84)</f>
        <v>3</v>
      </c>
      <c r="L86" s="318">
        <f t="shared" ref="L86" si="322">AVERAGE(L81,L84)</f>
        <v>3</v>
      </c>
      <c r="M86" s="318">
        <f t="shared" ref="M86" si="323">AVERAGE(M81,M84)</f>
        <v>3</v>
      </c>
      <c r="N86" s="318">
        <f t="shared" ref="N86" si="324">AVERAGE(N81,N84)</f>
        <v>3</v>
      </c>
      <c r="O86" s="318">
        <f t="shared" ref="O86" si="325">AVERAGE(O81,O84)</f>
        <v>3</v>
      </c>
      <c r="P86" s="318">
        <f t="shared" ref="P86" si="326">AVERAGE(P81,P84)</f>
        <v>3</v>
      </c>
      <c r="Q86" s="321">
        <f t="shared" ref="Q86" si="327">AVERAGE(Q81,Q84)</f>
        <v>3</v>
      </c>
      <c r="R86" s="318">
        <f t="shared" ref="R86" si="328">AVERAGE(R81,R84)</f>
        <v>3</v>
      </c>
      <c r="S86" s="318">
        <f t="shared" ref="S86" si="329">AVERAGE(S81,S84)</f>
        <v>3.5</v>
      </c>
      <c r="T86" s="318">
        <f t="shared" ref="T86" si="330">AVERAGE(T81,T84)</f>
        <v>4</v>
      </c>
      <c r="U86" s="318">
        <f t="shared" ref="U86" si="331">AVERAGE(U81,U84)</f>
        <v>4</v>
      </c>
      <c r="V86" s="318">
        <f t="shared" ref="V86" si="332">AVERAGE(V81,V84)</f>
        <v>4</v>
      </c>
      <c r="W86" s="318">
        <f t="shared" ref="W86" si="333">AVERAGE(W81,W84)</f>
        <v>4</v>
      </c>
      <c r="X86" s="318">
        <f t="shared" ref="X86" si="334">AVERAGE(X81,X84)</f>
        <v>3.5</v>
      </c>
      <c r="Y86" s="318">
        <f t="shared" ref="Y86" si="335">AVERAGE(Y81,Y84)</f>
        <v>3</v>
      </c>
      <c r="Z86" s="318">
        <f t="shared" ref="Z86" si="336">AVERAGE(Z81,Z84)</f>
        <v>3.5</v>
      </c>
      <c r="AA86" s="318">
        <f t="shared" ref="AA86" si="337">AVERAGE(AA81,AA84)</f>
        <v>4</v>
      </c>
      <c r="AB86" s="319">
        <f t="shared" ref="AB86" si="338">AVERAGE(AB81,AB84)</f>
        <v>4</v>
      </c>
    </row>
    <row r="87" spans="2:31" ht="12" customHeight="1">
      <c r="B87" s="237" t="s">
        <v>1819</v>
      </c>
      <c r="C87" s="313">
        <f>C79/C86</f>
        <v>40.625</v>
      </c>
      <c r="D87" s="314">
        <f>D79/D86</f>
        <v>44.875</v>
      </c>
      <c r="E87" s="182"/>
      <c r="F87" s="315">
        <f>F79/F86</f>
        <v>50.857142857142854</v>
      </c>
      <c r="G87" s="182"/>
      <c r="H87" s="316">
        <f t="shared" ref="H87" si="339">H79/H86</f>
        <v>41.714285714285715</v>
      </c>
      <c r="I87" s="313">
        <f t="shared" ref="I87" si="340">I79/I86</f>
        <v>49.166666666666664</v>
      </c>
      <c r="J87" s="313">
        <f t="shared" ref="J87" si="341">J79/J86</f>
        <v>50.333333333333336</v>
      </c>
      <c r="K87" s="313">
        <f t="shared" ref="K87" si="342">K79/K86</f>
        <v>52.166666666666664</v>
      </c>
      <c r="L87" s="313">
        <f t="shared" ref="L87" si="343">L79/L86</f>
        <v>54</v>
      </c>
      <c r="M87" s="313">
        <f t="shared" ref="M87" si="344">M79/M86</f>
        <v>55</v>
      </c>
      <c r="N87" s="313">
        <f t="shared" ref="N87" si="345">N79/N86</f>
        <v>55.666666666666664</v>
      </c>
      <c r="O87" s="313">
        <f t="shared" ref="O87" si="346">O79/O86</f>
        <v>57.333333333333336</v>
      </c>
      <c r="P87" s="313">
        <f t="shared" ref="P87" si="347">P79/P86</f>
        <v>58.666666666666664</v>
      </c>
      <c r="Q87" s="316">
        <f t="shared" ref="Q87" si="348">Q79/Q86</f>
        <v>59.833333333333336</v>
      </c>
      <c r="R87" s="313">
        <f t="shared" ref="R87" si="349">R79/R86</f>
        <v>60.5</v>
      </c>
      <c r="S87" s="313">
        <f t="shared" ref="S87" si="350">S79/S86</f>
        <v>51.571428571428569</v>
      </c>
      <c r="T87" s="313">
        <f t="shared" ref="T87" si="351">T79/T86</f>
        <v>45.75</v>
      </c>
      <c r="U87" s="313">
        <f t="shared" ref="U87" si="352">U79/U86</f>
        <v>47.375</v>
      </c>
      <c r="V87" s="313">
        <f t="shared" ref="V87" si="353">V79/V86</f>
        <v>48.125</v>
      </c>
      <c r="W87" s="313">
        <f t="shared" ref="W87" si="354">W79/W86</f>
        <v>48.75</v>
      </c>
      <c r="X87" s="313">
        <f t="shared" ref="X87" si="355">X79/X86</f>
        <v>55.285714285714285</v>
      </c>
      <c r="Y87" s="313">
        <f t="shared" ref="Y87" si="356">Y79/Y86</f>
        <v>63</v>
      </c>
      <c r="Z87" s="313">
        <f t="shared" ref="Z87" si="357">Z79/Z86</f>
        <v>51.857142857142854</v>
      </c>
      <c r="AA87" s="313">
        <f t="shared" ref="AA87" si="358">AA79/AA86</f>
        <v>43.625</v>
      </c>
      <c r="AB87" s="314">
        <f t="shared" ref="AB87" si="359">AB79/AB86</f>
        <v>44.25</v>
      </c>
    </row>
    <row r="88" spans="2:31" ht="3.95" customHeight="1">
      <c r="B88" s="180"/>
      <c r="C88" s="232"/>
      <c r="D88" s="232"/>
      <c r="F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3"/>
      <c r="AA88" s="233"/>
      <c r="AB88" s="233"/>
    </row>
    <row r="89" spans="2:31" ht="12" customHeight="1">
      <c r="B89" s="234" t="s">
        <v>1816</v>
      </c>
      <c r="C89" s="236">
        <f>(C82+C81)/C81-1</f>
        <v>0.5</v>
      </c>
      <c r="D89" s="247">
        <f>(D82+D81)/D81-1</f>
        <v>0.5</v>
      </c>
      <c r="E89" s="248"/>
      <c r="F89" s="249">
        <f>(F82+F81)/F81-1</f>
        <v>1.3333333333333335</v>
      </c>
      <c r="H89" s="246">
        <f t="shared" ref="H89:AB89" si="360">(H82+H81)/H81-1</f>
        <v>0</v>
      </c>
      <c r="I89" s="236">
        <f t="shared" si="360"/>
        <v>0</v>
      </c>
      <c r="J89" s="236">
        <f t="shared" si="360"/>
        <v>0</v>
      </c>
      <c r="K89" s="236">
        <f t="shared" si="360"/>
        <v>0</v>
      </c>
      <c r="L89" s="236">
        <f t="shared" si="360"/>
        <v>0</v>
      </c>
      <c r="M89" s="236">
        <f t="shared" si="360"/>
        <v>0</v>
      </c>
      <c r="N89" s="236">
        <f t="shared" si="360"/>
        <v>0</v>
      </c>
      <c r="O89" s="236">
        <f t="shared" si="360"/>
        <v>0</v>
      </c>
      <c r="P89" s="236">
        <f t="shared" si="360"/>
        <v>0</v>
      </c>
      <c r="Q89" s="246">
        <f t="shared" si="360"/>
        <v>0</v>
      </c>
      <c r="R89" s="236">
        <f t="shared" si="360"/>
        <v>0</v>
      </c>
      <c r="S89" s="236">
        <f t="shared" si="360"/>
        <v>0.66666666666666674</v>
      </c>
      <c r="T89" s="236">
        <f t="shared" si="360"/>
        <v>0</v>
      </c>
      <c r="U89" s="236">
        <f t="shared" si="360"/>
        <v>0</v>
      </c>
      <c r="V89" s="236">
        <f t="shared" si="360"/>
        <v>0</v>
      </c>
      <c r="W89" s="236">
        <f t="shared" si="360"/>
        <v>0</v>
      </c>
      <c r="X89" s="236">
        <f t="shared" si="360"/>
        <v>0</v>
      </c>
      <c r="Y89" s="236">
        <f t="shared" si="360"/>
        <v>0</v>
      </c>
      <c r="Z89" s="236">
        <f t="shared" si="360"/>
        <v>0.66666666666666674</v>
      </c>
      <c r="AA89" s="236">
        <f t="shared" si="360"/>
        <v>0</v>
      </c>
      <c r="AB89" s="247">
        <f t="shared" si="360"/>
        <v>0</v>
      </c>
    </row>
    <row r="90" spans="2:31">
      <c r="B90" s="237" t="s">
        <v>1815</v>
      </c>
      <c r="C90" s="239">
        <f>(C83+C86)/C86-1</f>
        <v>-0.5</v>
      </c>
      <c r="D90" s="240">
        <f>(D83+D86)/D86-1</f>
        <v>-0.5</v>
      </c>
      <c r="E90" s="248"/>
      <c r="F90" s="242">
        <f>(F83+F86)/F86-1</f>
        <v>-0.85714285714285721</v>
      </c>
      <c r="H90" s="241">
        <f t="shared" ref="H90:AB90" si="361">(H83+H86)/H86-1</f>
        <v>-0.2857142857142857</v>
      </c>
      <c r="I90" s="239">
        <f t="shared" si="361"/>
        <v>0</v>
      </c>
      <c r="J90" s="239">
        <f t="shared" si="361"/>
        <v>0</v>
      </c>
      <c r="K90" s="239">
        <f t="shared" si="361"/>
        <v>0</v>
      </c>
      <c r="L90" s="239">
        <f t="shared" si="361"/>
        <v>0</v>
      </c>
      <c r="M90" s="239">
        <f t="shared" si="361"/>
        <v>0</v>
      </c>
      <c r="N90" s="239">
        <f t="shared" si="361"/>
        <v>0</v>
      </c>
      <c r="O90" s="239">
        <f t="shared" si="361"/>
        <v>0</v>
      </c>
      <c r="P90" s="239">
        <f t="shared" si="361"/>
        <v>0</v>
      </c>
      <c r="Q90" s="241">
        <f t="shared" si="361"/>
        <v>0</v>
      </c>
      <c r="R90" s="239">
        <f t="shared" si="361"/>
        <v>0</v>
      </c>
      <c r="S90" s="239">
        <f t="shared" si="361"/>
        <v>-0.2857142857142857</v>
      </c>
      <c r="T90" s="239">
        <f t="shared" si="361"/>
        <v>0</v>
      </c>
      <c r="U90" s="239">
        <f t="shared" si="361"/>
        <v>0</v>
      </c>
      <c r="V90" s="239">
        <f t="shared" si="361"/>
        <v>0</v>
      </c>
      <c r="W90" s="239">
        <f t="shared" si="361"/>
        <v>0</v>
      </c>
      <c r="X90" s="239">
        <f t="shared" si="361"/>
        <v>-0.2857142857142857</v>
      </c>
      <c r="Y90" s="239">
        <f t="shared" si="361"/>
        <v>0</v>
      </c>
      <c r="Z90" s="239">
        <f t="shared" si="361"/>
        <v>-0.2857142857142857</v>
      </c>
      <c r="AA90" s="239">
        <f t="shared" si="361"/>
        <v>0</v>
      </c>
      <c r="AB90" s="240">
        <f t="shared" si="361"/>
        <v>0</v>
      </c>
    </row>
    <row r="91" spans="2:31" ht="3.95" customHeight="1">
      <c r="B91" s="180"/>
    </row>
    <row r="92" spans="2:31" ht="24">
      <c r="B92" s="159" t="s">
        <v>1814</v>
      </c>
      <c r="C92" s="176" t="s">
        <v>4</v>
      </c>
      <c r="D92" s="176" t="s">
        <v>1320</v>
      </c>
      <c r="E92" s="193"/>
      <c r="F92" s="176" t="s">
        <v>1530</v>
      </c>
      <c r="H92" s="192">
        <v>45658</v>
      </c>
      <c r="I92" s="192">
        <f t="shared" ref="I92" si="362">EOMONTH(H92,0)+1</f>
        <v>45689</v>
      </c>
      <c r="J92" s="192">
        <f t="shared" ref="J92" si="363">EOMONTH(I92,0)+1</f>
        <v>45717</v>
      </c>
      <c r="K92" s="192">
        <f t="shared" ref="K92" si="364">EOMONTH(J92,0)+1</f>
        <v>45748</v>
      </c>
      <c r="L92" s="192">
        <f t="shared" ref="L92" si="365">EOMONTH(K92,0)+1</f>
        <v>45778</v>
      </c>
      <c r="M92" s="192">
        <f t="shared" ref="M92" si="366">EOMONTH(L92,0)+1</f>
        <v>45809</v>
      </c>
      <c r="N92" s="192">
        <f t="shared" ref="N92" si="367">EOMONTH(M92,0)+1</f>
        <v>45839</v>
      </c>
      <c r="O92" s="192">
        <v>45870</v>
      </c>
      <c r="P92" s="192">
        <f t="shared" ref="P92" si="368">EOMONTH(O92,0)+1</f>
        <v>45901</v>
      </c>
      <c r="Q92" s="192">
        <f t="shared" ref="Q92" si="369">EOMONTH(P92,0)+1</f>
        <v>45931</v>
      </c>
      <c r="R92" s="192">
        <f t="shared" ref="R92" si="370">EOMONTH(Q92,0)+1</f>
        <v>45962</v>
      </c>
      <c r="S92" s="192">
        <f t="shared" ref="S92" si="371">EOMONTH(R92,0)+1</f>
        <v>45992</v>
      </c>
      <c r="T92" s="192">
        <f t="shared" ref="T92" si="372">EOMONTH(S92,0)+1</f>
        <v>46023</v>
      </c>
      <c r="U92" s="192">
        <f t="shared" ref="U92" si="373">EOMONTH(T92,0)+1</f>
        <v>46054</v>
      </c>
      <c r="V92" s="192">
        <f t="shared" ref="V92" si="374">EOMONTH(U92,0)+1</f>
        <v>46082</v>
      </c>
      <c r="W92" s="192">
        <f t="shared" ref="W92" si="375">EOMONTH(V92,0)+1</f>
        <v>46113</v>
      </c>
      <c r="X92" s="192">
        <f t="shared" ref="X92" si="376">EOMONTH(W92,0)+1</f>
        <v>46143</v>
      </c>
      <c r="Y92" s="192">
        <f t="shared" ref="Y92" si="377">EOMONTH(X92,0)+1</f>
        <v>46174</v>
      </c>
      <c r="Z92" s="192">
        <f t="shared" ref="Z92" si="378">EOMONTH(Y92,0)+1</f>
        <v>46204</v>
      </c>
      <c r="AA92" s="192">
        <f t="shared" ref="AA92" si="379">EOMONTH(Z92,0)+1</f>
        <v>46235</v>
      </c>
      <c r="AB92" s="192">
        <f t="shared" ref="AB92" si="380">EOMONTH(AA92,0)+1</f>
        <v>46266</v>
      </c>
      <c r="AC92" s="187"/>
      <c r="AE92" s="187"/>
    </row>
    <row r="93" spans="2:31">
      <c r="B93" s="322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12" t="s">
        <v>1821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11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1316</v>
      </c>
      <c r="C96" s="182">
        <f>+C99-C97-C98</f>
        <v>5</v>
      </c>
      <c r="D96" s="182">
        <f>+D99-D97-D98</f>
        <v>7</v>
      </c>
      <c r="F96" s="182">
        <f>+F99-F97-F98</f>
        <v>6</v>
      </c>
      <c r="H96" s="182">
        <f t="shared" ref="H96" si="382">+H99-H97-H98</f>
        <v>5</v>
      </c>
      <c r="I96" s="182">
        <f t="shared" ref="I96" si="383">+I99-I97-I98</f>
        <v>5</v>
      </c>
      <c r="J96" s="182">
        <f t="shared" ref="J96" si="384">+J99-J97-J98</f>
        <v>5</v>
      </c>
      <c r="K96" s="182">
        <f t="shared" ref="K96" si="385">+K99-K97-K98</f>
        <v>5</v>
      </c>
      <c r="L96" s="182">
        <f t="shared" ref="L96" si="386">+L99-L97-L98</f>
        <v>5</v>
      </c>
      <c r="M96" s="182">
        <f t="shared" ref="M96" si="387">+M99-M97-M98</f>
        <v>6</v>
      </c>
      <c r="N96" s="182">
        <f t="shared" ref="N96" si="388">+N99-N97-N98</f>
        <v>6</v>
      </c>
      <c r="O96" s="182">
        <f t="shared" ref="O96" si="389">+O99-O97-O98</f>
        <v>6</v>
      </c>
      <c r="P96" s="182">
        <f t="shared" ref="P96" si="390">+P99-P97-P98</f>
        <v>6</v>
      </c>
      <c r="Q96" s="182">
        <f t="shared" ref="Q96" si="391">+Q99-Q97-Q98</f>
        <v>6</v>
      </c>
      <c r="R96" s="182">
        <f t="shared" ref="R96" si="392">+R99-R97-R98</f>
        <v>6</v>
      </c>
      <c r="S96" s="182">
        <f t="shared" ref="S96" si="393">+S99-S97-S98</f>
        <v>6</v>
      </c>
      <c r="T96" s="182">
        <f t="shared" ref="T96" si="394">+T99-T97-T98</f>
        <v>7</v>
      </c>
      <c r="U96" s="182">
        <f t="shared" ref="U96" si="395">+U99-U97-U98</f>
        <v>8</v>
      </c>
      <c r="V96" s="182">
        <f t="shared" ref="V96" si="396">+V99-V97-V98</f>
        <v>8</v>
      </c>
      <c r="W96" s="182">
        <f t="shared" ref="W96" si="397">+W99-W97-W98</f>
        <v>8</v>
      </c>
      <c r="X96" s="182">
        <f t="shared" ref="X96" si="398">+X99-X97-X98</f>
        <v>8</v>
      </c>
      <c r="Y96" s="182">
        <f t="shared" ref="Y96" si="399">+Y99-Y97-Y98</f>
        <v>7</v>
      </c>
      <c r="Z96" s="182">
        <f t="shared" ref="Z96" si="400">+Z99-Z97-Z98</f>
        <v>7</v>
      </c>
      <c r="AA96" s="182">
        <f t="shared" ref="AA96" si="401">+AA99-AA97-AA98</f>
        <v>7</v>
      </c>
      <c r="AB96" s="182">
        <f t="shared" ref="AB96" si="402">+AB99-AB97-AB98</f>
        <v>8</v>
      </c>
    </row>
    <row r="97" spans="2:31">
      <c r="B97" s="191" t="s">
        <v>1817</v>
      </c>
      <c r="C97" s="197">
        <f>SUM(H97:S97)</f>
        <v>2</v>
      </c>
      <c r="D97" s="197">
        <f>SUM(T97:AB97)</f>
        <v>2</v>
      </c>
      <c r="F97" s="197">
        <f>SUM(Q97:AB97)</f>
        <v>3</v>
      </c>
      <c r="H97" s="195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5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5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5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5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5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5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5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5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5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5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5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5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5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5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5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5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5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5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5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5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91" t="s">
        <v>1818</v>
      </c>
      <c r="C98" s="197">
        <f>SUM(H98:S98)</f>
        <v>0</v>
      </c>
      <c r="D98" s="197">
        <f>SUM(T98:AB98)</f>
        <v>-1</v>
      </c>
      <c r="F98" s="197">
        <f>SUM(Q98:AB98)</f>
        <v>-1</v>
      </c>
      <c r="H98" s="195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5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5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5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5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5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5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5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5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5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5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5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5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5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5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5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5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5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5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5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5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9" t="s">
        <v>1318</v>
      </c>
      <c r="C99" s="260">
        <f>+D96</f>
        <v>7</v>
      </c>
      <c r="D99" s="261">
        <f>+$AB99</f>
        <v>8</v>
      </c>
      <c r="F99" s="264">
        <f>+$AB99</f>
        <v>8</v>
      </c>
      <c r="H99" s="262">
        <f t="shared" ref="H99:AA99" si="403">+I96</f>
        <v>5</v>
      </c>
      <c r="I99" s="260">
        <f t="shared" si="403"/>
        <v>5</v>
      </c>
      <c r="J99" s="260">
        <f t="shared" si="403"/>
        <v>5</v>
      </c>
      <c r="K99" s="260">
        <f t="shared" si="403"/>
        <v>5</v>
      </c>
      <c r="L99" s="260">
        <f t="shared" si="403"/>
        <v>6</v>
      </c>
      <c r="M99" s="260">
        <f t="shared" si="403"/>
        <v>6</v>
      </c>
      <c r="N99" s="260">
        <f t="shared" si="403"/>
        <v>6</v>
      </c>
      <c r="O99" s="260">
        <f t="shared" si="403"/>
        <v>6</v>
      </c>
      <c r="P99" s="260">
        <f t="shared" si="403"/>
        <v>6</v>
      </c>
      <c r="Q99" s="262">
        <f t="shared" si="403"/>
        <v>6</v>
      </c>
      <c r="R99" s="260">
        <f t="shared" si="403"/>
        <v>6</v>
      </c>
      <c r="S99" s="260">
        <f t="shared" si="403"/>
        <v>7</v>
      </c>
      <c r="T99" s="260">
        <f t="shared" si="403"/>
        <v>8</v>
      </c>
      <c r="U99" s="260">
        <f t="shared" si="403"/>
        <v>8</v>
      </c>
      <c r="V99" s="260">
        <f t="shared" si="403"/>
        <v>8</v>
      </c>
      <c r="W99" s="260">
        <f t="shared" si="403"/>
        <v>8</v>
      </c>
      <c r="X99" s="260">
        <f t="shared" si="403"/>
        <v>7</v>
      </c>
      <c r="Y99" s="260">
        <f t="shared" si="403"/>
        <v>7</v>
      </c>
      <c r="Z99" s="260">
        <f t="shared" si="403"/>
        <v>7</v>
      </c>
      <c r="AA99" s="260">
        <f t="shared" si="403"/>
        <v>8</v>
      </c>
      <c r="AB99" s="310">
        <f>COUNTIFS('Combined Employee Worksheet'!$H:$H,"Active",'Combined Employee Worksheet'!$D:$D,'Employee Retention'!B93)</f>
        <v>8</v>
      </c>
    </row>
    <row r="100" spans="2:31" ht="3.95" customHeight="1">
      <c r="B100" s="180"/>
      <c r="C100" s="232"/>
      <c r="D100" s="232"/>
      <c r="F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317"/>
    </row>
    <row r="101" spans="2:31" ht="12" customHeight="1">
      <c r="B101" s="234" t="s">
        <v>1820</v>
      </c>
      <c r="C101" s="318">
        <f>AVERAGE(C96,C99)</f>
        <v>6</v>
      </c>
      <c r="D101" s="319">
        <f>AVERAGE(D96,D99)</f>
        <v>7.5</v>
      </c>
      <c r="F101" s="320">
        <f>AVERAGE(F96,F99)</f>
        <v>7</v>
      </c>
      <c r="H101" s="321">
        <f t="shared" ref="H101" si="404">AVERAGE(H96,H99)</f>
        <v>5</v>
      </c>
      <c r="I101" s="318">
        <f t="shared" ref="I101" si="405">AVERAGE(I96,I99)</f>
        <v>5</v>
      </c>
      <c r="J101" s="318">
        <f t="shared" ref="J101" si="406">AVERAGE(J96,J99)</f>
        <v>5</v>
      </c>
      <c r="K101" s="318">
        <f t="shared" ref="K101" si="407">AVERAGE(K96,K99)</f>
        <v>5</v>
      </c>
      <c r="L101" s="318">
        <f t="shared" ref="L101" si="408">AVERAGE(L96,L99)</f>
        <v>5.5</v>
      </c>
      <c r="M101" s="318">
        <f t="shared" ref="M101" si="409">AVERAGE(M96,M99)</f>
        <v>6</v>
      </c>
      <c r="N101" s="318">
        <f t="shared" ref="N101" si="410">AVERAGE(N96,N99)</f>
        <v>6</v>
      </c>
      <c r="O101" s="318">
        <f t="shared" ref="O101" si="411">AVERAGE(O96,O99)</f>
        <v>6</v>
      </c>
      <c r="P101" s="318">
        <f t="shared" ref="P101" si="412">AVERAGE(P96,P99)</f>
        <v>6</v>
      </c>
      <c r="Q101" s="321">
        <f t="shared" ref="Q101" si="413">AVERAGE(Q96,Q99)</f>
        <v>6</v>
      </c>
      <c r="R101" s="318">
        <f t="shared" ref="R101" si="414">AVERAGE(R96,R99)</f>
        <v>6</v>
      </c>
      <c r="S101" s="318">
        <f t="shared" ref="S101" si="415">AVERAGE(S96,S99)</f>
        <v>6.5</v>
      </c>
      <c r="T101" s="318">
        <f t="shared" ref="T101" si="416">AVERAGE(T96,T99)</f>
        <v>7.5</v>
      </c>
      <c r="U101" s="318">
        <f t="shared" ref="U101" si="417">AVERAGE(U96,U99)</f>
        <v>8</v>
      </c>
      <c r="V101" s="318">
        <f t="shared" ref="V101" si="418">AVERAGE(V96,V99)</f>
        <v>8</v>
      </c>
      <c r="W101" s="318">
        <f t="shared" ref="W101" si="419">AVERAGE(W96,W99)</f>
        <v>8</v>
      </c>
      <c r="X101" s="318">
        <f t="shared" ref="X101" si="420">AVERAGE(X96,X99)</f>
        <v>7.5</v>
      </c>
      <c r="Y101" s="318">
        <f t="shared" ref="Y101" si="421">AVERAGE(Y96,Y99)</f>
        <v>7</v>
      </c>
      <c r="Z101" s="318">
        <f t="shared" ref="Z101" si="422">AVERAGE(Z96,Z99)</f>
        <v>7</v>
      </c>
      <c r="AA101" s="318">
        <f t="shared" ref="AA101" si="423">AVERAGE(AA96,AA99)</f>
        <v>7.5</v>
      </c>
      <c r="AB101" s="319">
        <f t="shared" ref="AB101" si="424">AVERAGE(AB96,AB99)</f>
        <v>8</v>
      </c>
    </row>
    <row r="102" spans="2:31" ht="12" customHeight="1">
      <c r="B102" s="237" t="s">
        <v>1819</v>
      </c>
      <c r="C102" s="313">
        <f>C94/C101</f>
        <v>27.083333333333332</v>
      </c>
      <c r="D102" s="314">
        <f>D94/D101</f>
        <v>23.933333333333334</v>
      </c>
      <c r="E102" s="182"/>
      <c r="F102" s="315">
        <f>F94/F101</f>
        <v>25.428571428571427</v>
      </c>
      <c r="G102" s="182"/>
      <c r="H102" s="316">
        <f t="shared" ref="H102" si="425">H94/H101</f>
        <v>29.2</v>
      </c>
      <c r="I102" s="313">
        <f t="shared" ref="I102" si="426">I94/I101</f>
        <v>29.5</v>
      </c>
      <c r="J102" s="313">
        <f t="shared" ref="J102" si="427">J94/J101</f>
        <v>30.2</v>
      </c>
      <c r="K102" s="313">
        <f t="shared" ref="K102" si="428">K94/K101</f>
        <v>31.3</v>
      </c>
      <c r="L102" s="313">
        <f t="shared" ref="L102" si="429">L94/L101</f>
        <v>29.454545454545453</v>
      </c>
      <c r="M102" s="313">
        <f t="shared" ref="M102" si="430">M94/M101</f>
        <v>27.5</v>
      </c>
      <c r="N102" s="313">
        <f t="shared" ref="N102" si="431">N94/N101</f>
        <v>27.833333333333332</v>
      </c>
      <c r="O102" s="313">
        <f t="shared" ref="O102" si="432">O94/O101</f>
        <v>28.666666666666668</v>
      </c>
      <c r="P102" s="313">
        <f t="shared" ref="P102" si="433">P94/P101</f>
        <v>29.333333333333332</v>
      </c>
      <c r="Q102" s="316">
        <f t="shared" ref="Q102" si="434">Q94/Q101</f>
        <v>29.916666666666668</v>
      </c>
      <c r="R102" s="313">
        <f t="shared" ref="R102" si="435">R94/R101</f>
        <v>30.25</v>
      </c>
      <c r="S102" s="313">
        <f t="shared" ref="S102" si="436">S94/S101</f>
        <v>27.76923076923077</v>
      </c>
      <c r="T102" s="313">
        <f t="shared" ref="T102" si="437">T94/T101</f>
        <v>24.4</v>
      </c>
      <c r="U102" s="313">
        <f t="shared" ref="U102" si="438">U94/U101</f>
        <v>23.6875</v>
      </c>
      <c r="V102" s="313">
        <f t="shared" ref="V102" si="439">V94/V101</f>
        <v>24.0625</v>
      </c>
      <c r="W102" s="313">
        <f t="shared" ref="W102" si="440">W94/W101</f>
        <v>24.375</v>
      </c>
      <c r="X102" s="313">
        <f t="shared" ref="X102" si="441">X94/X101</f>
        <v>25.8</v>
      </c>
      <c r="Y102" s="313">
        <f t="shared" ref="Y102" si="442">Y94/Y101</f>
        <v>27</v>
      </c>
      <c r="Z102" s="313">
        <f t="shared" ref="Z102" si="443">Z94/Z101</f>
        <v>25.928571428571427</v>
      </c>
      <c r="AA102" s="313">
        <f t="shared" ref="AA102" si="444">AA94/AA101</f>
        <v>23.266666666666666</v>
      </c>
      <c r="AB102" s="314">
        <f t="shared" ref="AB102" si="445">AB94/AB101</f>
        <v>22.125</v>
      </c>
    </row>
    <row r="103" spans="2:31" ht="3.95" customHeight="1">
      <c r="B103" s="180"/>
      <c r="C103" s="232"/>
      <c r="D103" s="232"/>
      <c r="F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3"/>
      <c r="AA103" s="233"/>
      <c r="AB103" s="233"/>
    </row>
    <row r="104" spans="2:31" ht="12" customHeight="1">
      <c r="B104" s="234" t="s">
        <v>1816</v>
      </c>
      <c r="C104" s="236">
        <f>(C97+C96)/C96-1</f>
        <v>0.39999999999999991</v>
      </c>
      <c r="D104" s="247">
        <f>(D97+D96)/D96-1</f>
        <v>0.28571428571428581</v>
      </c>
      <c r="E104" s="248"/>
      <c r="F104" s="249">
        <f>(F97+F96)/F96-1</f>
        <v>0.5</v>
      </c>
      <c r="H104" s="246">
        <f t="shared" ref="H104:AB104" si="446">(H97+H96)/H96-1</f>
        <v>0</v>
      </c>
      <c r="I104" s="236">
        <f t="shared" si="446"/>
        <v>0</v>
      </c>
      <c r="J104" s="236">
        <f t="shared" si="446"/>
        <v>0</v>
      </c>
      <c r="K104" s="236">
        <f t="shared" si="446"/>
        <v>0</v>
      </c>
      <c r="L104" s="236">
        <f t="shared" si="446"/>
        <v>0.19999999999999996</v>
      </c>
      <c r="M104" s="236">
        <f t="shared" si="446"/>
        <v>0</v>
      </c>
      <c r="N104" s="236">
        <f t="shared" si="446"/>
        <v>0</v>
      </c>
      <c r="O104" s="236">
        <f t="shared" si="446"/>
        <v>0</v>
      </c>
      <c r="P104" s="236">
        <f t="shared" si="446"/>
        <v>0</v>
      </c>
      <c r="Q104" s="246">
        <f t="shared" si="446"/>
        <v>0</v>
      </c>
      <c r="R104" s="236">
        <f t="shared" si="446"/>
        <v>0</v>
      </c>
      <c r="S104" s="236">
        <f t="shared" si="446"/>
        <v>0.16666666666666674</v>
      </c>
      <c r="T104" s="236">
        <f t="shared" si="446"/>
        <v>0.14285714285714279</v>
      </c>
      <c r="U104" s="236">
        <f t="shared" si="446"/>
        <v>0</v>
      </c>
      <c r="V104" s="236">
        <f t="shared" si="446"/>
        <v>0</v>
      </c>
      <c r="W104" s="236">
        <f t="shared" si="446"/>
        <v>0</v>
      </c>
      <c r="X104" s="236">
        <f t="shared" si="446"/>
        <v>0</v>
      </c>
      <c r="Y104" s="236">
        <f t="shared" si="446"/>
        <v>0</v>
      </c>
      <c r="Z104" s="236">
        <f t="shared" si="446"/>
        <v>0</v>
      </c>
      <c r="AA104" s="236">
        <f t="shared" si="446"/>
        <v>0.14285714285714279</v>
      </c>
      <c r="AB104" s="247">
        <f t="shared" si="446"/>
        <v>0</v>
      </c>
    </row>
    <row r="105" spans="2:31">
      <c r="B105" s="237" t="s">
        <v>1815</v>
      </c>
      <c r="C105" s="239">
        <f>(C98+C101)/C101-1</f>
        <v>0</v>
      </c>
      <c r="D105" s="240">
        <f>(D98+D101)/D101-1</f>
        <v>-0.1333333333333333</v>
      </c>
      <c r="E105" s="248"/>
      <c r="F105" s="242">
        <f>(F98+F101)/F101-1</f>
        <v>-0.1428571428571429</v>
      </c>
      <c r="H105" s="241">
        <f t="shared" ref="H105:AB105" si="447">(H98+H101)/H101-1</f>
        <v>0</v>
      </c>
      <c r="I105" s="239">
        <f t="shared" si="447"/>
        <v>0</v>
      </c>
      <c r="J105" s="239">
        <f t="shared" si="447"/>
        <v>0</v>
      </c>
      <c r="K105" s="239">
        <f t="shared" si="447"/>
        <v>0</v>
      </c>
      <c r="L105" s="239">
        <f t="shared" si="447"/>
        <v>0</v>
      </c>
      <c r="M105" s="239">
        <f t="shared" si="447"/>
        <v>0</v>
      </c>
      <c r="N105" s="239">
        <f t="shared" si="447"/>
        <v>0</v>
      </c>
      <c r="O105" s="239">
        <f t="shared" si="447"/>
        <v>0</v>
      </c>
      <c r="P105" s="239">
        <f t="shared" si="447"/>
        <v>0</v>
      </c>
      <c r="Q105" s="241">
        <f t="shared" si="447"/>
        <v>0</v>
      </c>
      <c r="R105" s="239">
        <f t="shared" si="447"/>
        <v>0</v>
      </c>
      <c r="S105" s="239">
        <f t="shared" si="447"/>
        <v>0</v>
      </c>
      <c r="T105" s="239">
        <f t="shared" si="447"/>
        <v>0</v>
      </c>
      <c r="U105" s="239">
        <f t="shared" si="447"/>
        <v>0</v>
      </c>
      <c r="V105" s="239">
        <f t="shared" si="447"/>
        <v>0</v>
      </c>
      <c r="W105" s="239">
        <f t="shared" si="447"/>
        <v>0</v>
      </c>
      <c r="X105" s="239">
        <f t="shared" si="447"/>
        <v>-0.1333333333333333</v>
      </c>
      <c r="Y105" s="239">
        <f t="shared" si="447"/>
        <v>0</v>
      </c>
      <c r="Z105" s="239">
        <f t="shared" si="447"/>
        <v>0</v>
      </c>
      <c r="AA105" s="239">
        <f t="shared" si="447"/>
        <v>0</v>
      </c>
      <c r="AB105" s="240">
        <f t="shared" si="447"/>
        <v>0</v>
      </c>
    </row>
    <row r="106" spans="2:31" ht="3.95" customHeight="1">
      <c r="B106" s="180"/>
    </row>
    <row r="107" spans="2:31" ht="24">
      <c r="B107" s="159" t="s">
        <v>1814</v>
      </c>
      <c r="C107" s="176" t="s">
        <v>4</v>
      </c>
      <c r="D107" s="176" t="s">
        <v>1320</v>
      </c>
      <c r="E107" s="193"/>
      <c r="F107" s="176" t="s">
        <v>1530</v>
      </c>
      <c r="H107" s="192">
        <v>45658</v>
      </c>
      <c r="I107" s="192">
        <f t="shared" ref="I107" si="448">EOMONTH(H107,0)+1</f>
        <v>45689</v>
      </c>
      <c r="J107" s="192">
        <f t="shared" ref="J107" si="449">EOMONTH(I107,0)+1</f>
        <v>45717</v>
      </c>
      <c r="K107" s="192">
        <f t="shared" ref="K107" si="450">EOMONTH(J107,0)+1</f>
        <v>45748</v>
      </c>
      <c r="L107" s="192">
        <f t="shared" ref="L107" si="451">EOMONTH(K107,0)+1</f>
        <v>45778</v>
      </c>
      <c r="M107" s="192">
        <f t="shared" ref="M107" si="452">EOMONTH(L107,0)+1</f>
        <v>45809</v>
      </c>
      <c r="N107" s="192">
        <f t="shared" ref="N107" si="453">EOMONTH(M107,0)+1</f>
        <v>45839</v>
      </c>
      <c r="O107" s="192">
        <v>45870</v>
      </c>
      <c r="P107" s="192">
        <f t="shared" ref="P107" si="454">EOMONTH(O107,0)+1</f>
        <v>45901</v>
      </c>
      <c r="Q107" s="192">
        <f t="shared" ref="Q107" si="455">EOMONTH(P107,0)+1</f>
        <v>45931</v>
      </c>
      <c r="R107" s="192">
        <f t="shared" ref="R107" si="456">EOMONTH(Q107,0)+1</f>
        <v>45962</v>
      </c>
      <c r="S107" s="192">
        <f t="shared" ref="S107" si="457">EOMONTH(R107,0)+1</f>
        <v>45992</v>
      </c>
      <c r="T107" s="192">
        <f t="shared" ref="T107" si="458">EOMONTH(S107,0)+1</f>
        <v>46023</v>
      </c>
      <c r="U107" s="192">
        <f t="shared" ref="U107" si="459">EOMONTH(T107,0)+1</f>
        <v>46054</v>
      </c>
      <c r="V107" s="192">
        <f t="shared" ref="V107" si="460">EOMONTH(U107,0)+1</f>
        <v>46082</v>
      </c>
      <c r="W107" s="192">
        <f t="shared" ref="W107" si="461">EOMONTH(V107,0)+1</f>
        <v>46113</v>
      </c>
      <c r="X107" s="192">
        <f t="shared" ref="X107" si="462">EOMONTH(W107,0)+1</f>
        <v>46143</v>
      </c>
      <c r="Y107" s="192">
        <f t="shared" ref="Y107" si="463">EOMONTH(X107,0)+1</f>
        <v>46174</v>
      </c>
      <c r="Z107" s="192">
        <f t="shared" ref="Z107" si="464">EOMONTH(Y107,0)+1</f>
        <v>46204</v>
      </c>
      <c r="AA107" s="192">
        <f t="shared" ref="AA107" si="465">EOMONTH(Z107,0)+1</f>
        <v>46235</v>
      </c>
      <c r="AB107" s="192">
        <f t="shared" ref="AB107" si="466">EOMONTH(AA107,0)+1</f>
        <v>46266</v>
      </c>
      <c r="AC107" s="187"/>
      <c r="AE107" s="187"/>
    </row>
    <row r="108" spans="2:31">
      <c r="B108" s="322" t="s">
        <v>1510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12" t="s">
        <v>1821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11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1316</v>
      </c>
      <c r="C111" s="182">
        <f>+C114-C112-C113</f>
        <v>4</v>
      </c>
      <c r="D111" s="182">
        <f>+D114-D112-D113</f>
        <v>3</v>
      </c>
      <c r="F111" s="182">
        <f>+F114-F112-F113</f>
        <v>3</v>
      </c>
      <c r="H111" s="182">
        <f t="shared" ref="H111" si="468">+H114-H112-H113</f>
        <v>4</v>
      </c>
      <c r="I111" s="182">
        <f t="shared" ref="I111" si="469">+I114-I112-I113</f>
        <v>4</v>
      </c>
      <c r="J111" s="182">
        <f t="shared" ref="J111" si="470">+J114-J112-J113</f>
        <v>3</v>
      </c>
      <c r="K111" s="182">
        <f t="shared" ref="K111" si="471">+K114-K112-K113</f>
        <v>3</v>
      </c>
      <c r="L111" s="182">
        <f t="shared" ref="L111" si="472">+L114-L112-L113</f>
        <v>3</v>
      </c>
      <c r="M111" s="182">
        <f t="shared" ref="M111" si="473">+M114-M112-M113</f>
        <v>3</v>
      </c>
      <c r="N111" s="182">
        <f t="shared" ref="N111" si="474">+N114-N112-N113</f>
        <v>3</v>
      </c>
      <c r="O111" s="182">
        <f t="shared" ref="O111" si="475">+O114-O112-O113</f>
        <v>3</v>
      </c>
      <c r="P111" s="182">
        <f t="shared" ref="P111" si="476">+P114-P112-P113</f>
        <v>3</v>
      </c>
      <c r="Q111" s="182">
        <f t="shared" ref="Q111" si="477">+Q114-Q112-Q113</f>
        <v>3</v>
      </c>
      <c r="R111" s="182">
        <f t="shared" ref="R111" si="478">+R114-R112-R113</f>
        <v>3</v>
      </c>
      <c r="S111" s="182">
        <f t="shared" ref="S111" si="479">+S114-S112-S113</f>
        <v>3</v>
      </c>
      <c r="T111" s="182">
        <f t="shared" ref="T111" si="480">+T114-T112-T113</f>
        <v>3</v>
      </c>
      <c r="U111" s="182">
        <f t="shared" ref="U111" si="481">+U114-U112-U113</f>
        <v>3</v>
      </c>
      <c r="V111" s="182">
        <f t="shared" ref="V111" si="482">+V114-V112-V113</f>
        <v>3</v>
      </c>
      <c r="W111" s="182">
        <f t="shared" ref="W111" si="483">+W114-W112-W113</f>
        <v>3</v>
      </c>
      <c r="X111" s="182">
        <f t="shared" ref="X111" si="484">+X114-X112-X113</f>
        <v>3</v>
      </c>
      <c r="Y111" s="182">
        <f t="shared" ref="Y111" si="485">+Y114-Y112-Y113</f>
        <v>3</v>
      </c>
      <c r="Z111" s="182">
        <f t="shared" ref="Z111" si="486">+Z114-Z112-Z113</f>
        <v>3</v>
      </c>
      <c r="AA111" s="182">
        <f t="shared" ref="AA111" si="487">+AA114-AA112-AA113</f>
        <v>3</v>
      </c>
      <c r="AB111" s="182">
        <f t="shared" ref="AB111" si="488">+AB114-AB112-AB113</f>
        <v>3</v>
      </c>
    </row>
    <row r="112" spans="2:31">
      <c r="B112" s="191" t="s">
        <v>1817</v>
      </c>
      <c r="C112" s="197">
        <f>SUM(H112:S112)</f>
        <v>0</v>
      </c>
      <c r="D112" s="197">
        <f>SUM(T112:AB112)</f>
        <v>0</v>
      </c>
      <c r="F112" s="197">
        <f>SUM(Q112:AB112)</f>
        <v>0</v>
      </c>
      <c r="H112" s="195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5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5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5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5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5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5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5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5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5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5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5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5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5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5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5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5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5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5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5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5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91" t="s">
        <v>1818</v>
      </c>
      <c r="C113" s="197">
        <f>SUM(H113:S113)</f>
        <v>-1</v>
      </c>
      <c r="D113" s="197">
        <f>SUM(T113:AB113)</f>
        <v>0</v>
      </c>
      <c r="F113" s="197">
        <f>SUM(Q113:AB113)</f>
        <v>0</v>
      </c>
      <c r="H113" s="195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5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5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5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5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5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5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5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5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5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5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5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5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5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5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5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5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5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5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5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5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9" t="s">
        <v>1318</v>
      </c>
      <c r="C114" s="260">
        <f>+D111</f>
        <v>3</v>
      </c>
      <c r="D114" s="261">
        <f>+$AB114</f>
        <v>3</v>
      </c>
      <c r="F114" s="264">
        <f>+$AB114</f>
        <v>3</v>
      </c>
      <c r="H114" s="262">
        <f t="shared" ref="H114:AA114" si="489">+I111</f>
        <v>4</v>
      </c>
      <c r="I114" s="260">
        <f t="shared" si="489"/>
        <v>3</v>
      </c>
      <c r="J114" s="260">
        <f t="shared" si="489"/>
        <v>3</v>
      </c>
      <c r="K114" s="260">
        <f t="shared" si="489"/>
        <v>3</v>
      </c>
      <c r="L114" s="260">
        <f t="shared" si="489"/>
        <v>3</v>
      </c>
      <c r="M114" s="260">
        <f t="shared" si="489"/>
        <v>3</v>
      </c>
      <c r="N114" s="260">
        <f t="shared" si="489"/>
        <v>3</v>
      </c>
      <c r="O114" s="260">
        <f t="shared" si="489"/>
        <v>3</v>
      </c>
      <c r="P114" s="260">
        <f t="shared" si="489"/>
        <v>3</v>
      </c>
      <c r="Q114" s="260">
        <f t="shared" si="489"/>
        <v>3</v>
      </c>
      <c r="R114" s="260">
        <f t="shared" si="489"/>
        <v>3</v>
      </c>
      <c r="S114" s="260">
        <f t="shared" si="489"/>
        <v>3</v>
      </c>
      <c r="T114" s="260">
        <f t="shared" si="489"/>
        <v>3</v>
      </c>
      <c r="U114" s="260">
        <f t="shared" si="489"/>
        <v>3</v>
      </c>
      <c r="V114" s="260">
        <f t="shared" si="489"/>
        <v>3</v>
      </c>
      <c r="W114" s="260">
        <f t="shared" si="489"/>
        <v>3</v>
      </c>
      <c r="X114" s="260">
        <f t="shared" si="489"/>
        <v>3</v>
      </c>
      <c r="Y114" s="260">
        <f t="shared" si="489"/>
        <v>3</v>
      </c>
      <c r="Z114" s="260">
        <f t="shared" si="489"/>
        <v>3</v>
      </c>
      <c r="AA114" s="260">
        <f t="shared" si="489"/>
        <v>3</v>
      </c>
      <c r="AB114" s="310">
        <f>COUNTIFS('Combined Employee Worksheet'!$H:$H,"Active",'Combined Employee Worksheet'!$D:$D,'Employee Retention'!B108)</f>
        <v>3</v>
      </c>
    </row>
    <row r="115" spans="2:31" ht="3.95" customHeight="1">
      <c r="B115" s="180"/>
      <c r="C115" s="232"/>
      <c r="D115" s="232"/>
      <c r="F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317"/>
    </row>
    <row r="116" spans="2:31" ht="12" customHeight="1">
      <c r="B116" s="234" t="s">
        <v>1820</v>
      </c>
      <c r="C116" s="318">
        <f>AVERAGE(C111,C114)</f>
        <v>3.5</v>
      </c>
      <c r="D116" s="319">
        <f>AVERAGE(D111,D114)</f>
        <v>3</v>
      </c>
      <c r="F116" s="320">
        <f>AVERAGE(F111,F114)</f>
        <v>3</v>
      </c>
      <c r="H116" s="321">
        <f t="shared" ref="H116" si="490">AVERAGE(H111,H114)</f>
        <v>4</v>
      </c>
      <c r="I116" s="318">
        <f t="shared" ref="I116" si="491">AVERAGE(I111,I114)</f>
        <v>3.5</v>
      </c>
      <c r="J116" s="318">
        <f t="shared" ref="J116" si="492">AVERAGE(J111,J114)</f>
        <v>3</v>
      </c>
      <c r="K116" s="318">
        <f t="shared" ref="K116" si="493">AVERAGE(K111,K114)</f>
        <v>3</v>
      </c>
      <c r="L116" s="318">
        <f t="shared" ref="L116" si="494">AVERAGE(L111,L114)</f>
        <v>3</v>
      </c>
      <c r="M116" s="318">
        <f t="shared" ref="M116" si="495">AVERAGE(M111,M114)</f>
        <v>3</v>
      </c>
      <c r="N116" s="318">
        <f t="shared" ref="N116" si="496">AVERAGE(N111,N114)</f>
        <v>3</v>
      </c>
      <c r="O116" s="318">
        <f t="shared" ref="O116" si="497">AVERAGE(O111,O114)</f>
        <v>3</v>
      </c>
      <c r="P116" s="318">
        <f t="shared" ref="P116" si="498">AVERAGE(P111,P114)</f>
        <v>3</v>
      </c>
      <c r="Q116" s="318">
        <f t="shared" ref="Q116" si="499">AVERAGE(Q111,Q114)</f>
        <v>3</v>
      </c>
      <c r="R116" s="318">
        <f t="shared" ref="R116" si="500">AVERAGE(R111,R114)</f>
        <v>3</v>
      </c>
      <c r="S116" s="318">
        <f t="shared" ref="S116" si="501">AVERAGE(S111,S114)</f>
        <v>3</v>
      </c>
      <c r="T116" s="318">
        <f t="shared" ref="T116" si="502">AVERAGE(T111,T114)</f>
        <v>3</v>
      </c>
      <c r="U116" s="318">
        <f t="shared" ref="U116" si="503">AVERAGE(U111,U114)</f>
        <v>3</v>
      </c>
      <c r="V116" s="318">
        <f t="shared" ref="V116" si="504">AVERAGE(V111,V114)</f>
        <v>3</v>
      </c>
      <c r="W116" s="318">
        <f t="shared" ref="W116" si="505">AVERAGE(W111,W114)</f>
        <v>3</v>
      </c>
      <c r="X116" s="318">
        <f t="shared" ref="X116" si="506">AVERAGE(X111,X114)</f>
        <v>3</v>
      </c>
      <c r="Y116" s="318">
        <f t="shared" ref="Y116" si="507">AVERAGE(Y111,Y114)</f>
        <v>3</v>
      </c>
      <c r="Z116" s="318">
        <f t="shared" ref="Z116" si="508">AVERAGE(Z111,Z114)</f>
        <v>3</v>
      </c>
      <c r="AA116" s="318">
        <f t="shared" ref="AA116" si="509">AVERAGE(AA111,AA114)</f>
        <v>3</v>
      </c>
      <c r="AB116" s="319">
        <f t="shared" ref="AB116" si="510">AVERAGE(AB111,AB114)</f>
        <v>3</v>
      </c>
    </row>
    <row r="117" spans="2:31" ht="12" customHeight="1">
      <c r="B117" s="237" t="s">
        <v>1819</v>
      </c>
      <c r="C117" s="313">
        <f>C109/C116</f>
        <v>46.428571428571431</v>
      </c>
      <c r="D117" s="314">
        <f>D109/D116</f>
        <v>59.833333333333336</v>
      </c>
      <c r="E117" s="182"/>
      <c r="F117" s="315">
        <f>F109/F116</f>
        <v>59.333333333333336</v>
      </c>
      <c r="G117" s="182"/>
      <c r="H117" s="316">
        <f t="shared" ref="H117" si="511">H109/H116</f>
        <v>36.5</v>
      </c>
      <c r="I117" s="313">
        <f t="shared" ref="I117" si="512">I109/I116</f>
        <v>42.142857142857146</v>
      </c>
      <c r="J117" s="313">
        <f t="shared" ref="J117" si="513">J109/J116</f>
        <v>50.333333333333336</v>
      </c>
      <c r="K117" s="313">
        <f t="shared" ref="K117" si="514">K109/K116</f>
        <v>52.166666666666664</v>
      </c>
      <c r="L117" s="313">
        <f t="shared" ref="L117" si="515">L109/L116</f>
        <v>54</v>
      </c>
      <c r="M117" s="313">
        <f t="shared" ref="M117" si="516">M109/M116</f>
        <v>55</v>
      </c>
      <c r="N117" s="313">
        <f t="shared" ref="N117" si="517">N109/N116</f>
        <v>55.666666666666664</v>
      </c>
      <c r="O117" s="313">
        <f t="shared" ref="O117" si="518">O109/O116</f>
        <v>57.333333333333336</v>
      </c>
      <c r="P117" s="313">
        <f t="shared" ref="P117" si="519">P109/P116</f>
        <v>58.666666666666664</v>
      </c>
      <c r="Q117" s="313">
        <f t="shared" ref="Q117" si="520">Q109/Q116</f>
        <v>59.833333333333336</v>
      </c>
      <c r="R117" s="313">
        <f t="shared" ref="R117" si="521">R109/R116</f>
        <v>60.5</v>
      </c>
      <c r="S117" s="313">
        <f t="shared" ref="S117" si="522">S109/S116</f>
        <v>60.166666666666664</v>
      </c>
      <c r="T117" s="313">
        <f t="shared" ref="T117" si="523">T109/T116</f>
        <v>61</v>
      </c>
      <c r="U117" s="313">
        <f t="shared" ref="U117" si="524">U109/U116</f>
        <v>63.166666666666664</v>
      </c>
      <c r="V117" s="313">
        <f t="shared" ref="V117" si="525">V109/V116</f>
        <v>64.166666666666671</v>
      </c>
      <c r="W117" s="313">
        <f t="shared" ref="W117" si="526">W109/W116</f>
        <v>65</v>
      </c>
      <c r="X117" s="313">
        <f t="shared" ref="X117" si="527">X109/X116</f>
        <v>64.5</v>
      </c>
      <c r="Y117" s="313">
        <f t="shared" ref="Y117" si="528">Y109/Y116</f>
        <v>63</v>
      </c>
      <c r="Z117" s="313">
        <f t="shared" ref="Z117" si="529">Z109/Z116</f>
        <v>60.5</v>
      </c>
      <c r="AA117" s="313">
        <f t="shared" ref="AA117" si="530">AA109/AA116</f>
        <v>58.166666666666664</v>
      </c>
      <c r="AB117" s="314">
        <f t="shared" ref="AB117" si="531">AB109/AB116</f>
        <v>59</v>
      </c>
    </row>
    <row r="118" spans="2:31" ht="3.95" customHeight="1">
      <c r="B118" s="180"/>
      <c r="C118" s="232"/>
      <c r="D118" s="232"/>
      <c r="F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3"/>
      <c r="AA118" s="233"/>
      <c r="AB118" s="233"/>
    </row>
    <row r="119" spans="2:31" ht="12" customHeight="1">
      <c r="B119" s="234" t="s">
        <v>1816</v>
      </c>
      <c r="C119" s="236">
        <f>(C112+C111)/C111-1</f>
        <v>0</v>
      </c>
      <c r="D119" s="247">
        <f>(D112+D111)/D111-1</f>
        <v>0</v>
      </c>
      <c r="E119" s="248"/>
      <c r="F119" s="249">
        <f>(F112+F111)/F111-1</f>
        <v>0</v>
      </c>
      <c r="H119" s="246">
        <f t="shared" ref="H119:AB119" si="532">(H112+H111)/H111-1</f>
        <v>0</v>
      </c>
      <c r="I119" s="236">
        <f t="shared" si="532"/>
        <v>0</v>
      </c>
      <c r="J119" s="236">
        <f t="shared" si="532"/>
        <v>0</v>
      </c>
      <c r="K119" s="236">
        <f t="shared" si="532"/>
        <v>0</v>
      </c>
      <c r="L119" s="236">
        <f t="shared" si="532"/>
        <v>0</v>
      </c>
      <c r="M119" s="236">
        <f t="shared" si="532"/>
        <v>0</v>
      </c>
      <c r="N119" s="236">
        <f t="shared" si="532"/>
        <v>0</v>
      </c>
      <c r="O119" s="236">
        <f t="shared" si="532"/>
        <v>0</v>
      </c>
      <c r="P119" s="236">
        <f t="shared" si="532"/>
        <v>0</v>
      </c>
      <c r="Q119" s="246">
        <f t="shared" si="532"/>
        <v>0</v>
      </c>
      <c r="R119" s="236">
        <f t="shared" si="532"/>
        <v>0</v>
      </c>
      <c r="S119" s="236">
        <f t="shared" si="532"/>
        <v>0</v>
      </c>
      <c r="T119" s="236">
        <f t="shared" si="532"/>
        <v>0</v>
      </c>
      <c r="U119" s="236">
        <f t="shared" si="532"/>
        <v>0</v>
      </c>
      <c r="V119" s="236">
        <f t="shared" si="532"/>
        <v>0</v>
      </c>
      <c r="W119" s="236">
        <f t="shared" si="532"/>
        <v>0</v>
      </c>
      <c r="X119" s="236">
        <f t="shared" si="532"/>
        <v>0</v>
      </c>
      <c r="Y119" s="236">
        <f t="shared" si="532"/>
        <v>0</v>
      </c>
      <c r="Z119" s="236">
        <f t="shared" si="532"/>
        <v>0</v>
      </c>
      <c r="AA119" s="236">
        <f t="shared" si="532"/>
        <v>0</v>
      </c>
      <c r="AB119" s="247">
        <f t="shared" si="532"/>
        <v>0</v>
      </c>
    </row>
    <row r="120" spans="2:31">
      <c r="B120" s="237" t="s">
        <v>1815</v>
      </c>
      <c r="C120" s="239">
        <f>(C113+C116)/C116-1</f>
        <v>-0.2857142857142857</v>
      </c>
      <c r="D120" s="240">
        <f>(D113+D116)/D116-1</f>
        <v>0</v>
      </c>
      <c r="E120" s="248"/>
      <c r="F120" s="242">
        <f>(F113+F116)/F116-1</f>
        <v>0</v>
      </c>
      <c r="H120" s="241">
        <f t="shared" ref="H120:AB120" si="533">(H113+H116)/H116-1</f>
        <v>0</v>
      </c>
      <c r="I120" s="239">
        <f t="shared" si="533"/>
        <v>-0.2857142857142857</v>
      </c>
      <c r="J120" s="239">
        <f t="shared" si="533"/>
        <v>0</v>
      </c>
      <c r="K120" s="239">
        <f t="shared" si="533"/>
        <v>0</v>
      </c>
      <c r="L120" s="239">
        <f t="shared" si="533"/>
        <v>0</v>
      </c>
      <c r="M120" s="239">
        <f t="shared" si="533"/>
        <v>0</v>
      </c>
      <c r="N120" s="239">
        <f t="shared" si="533"/>
        <v>0</v>
      </c>
      <c r="O120" s="239">
        <f t="shared" si="533"/>
        <v>0</v>
      </c>
      <c r="P120" s="239">
        <f t="shared" si="533"/>
        <v>0</v>
      </c>
      <c r="Q120" s="241">
        <f t="shared" si="533"/>
        <v>0</v>
      </c>
      <c r="R120" s="239">
        <f t="shared" si="533"/>
        <v>0</v>
      </c>
      <c r="S120" s="239">
        <f t="shared" si="533"/>
        <v>0</v>
      </c>
      <c r="T120" s="239">
        <f t="shared" si="533"/>
        <v>0</v>
      </c>
      <c r="U120" s="239">
        <f t="shared" si="533"/>
        <v>0</v>
      </c>
      <c r="V120" s="239">
        <f t="shared" si="533"/>
        <v>0</v>
      </c>
      <c r="W120" s="239">
        <f t="shared" si="533"/>
        <v>0</v>
      </c>
      <c r="X120" s="239">
        <f t="shared" si="533"/>
        <v>0</v>
      </c>
      <c r="Y120" s="239">
        <f t="shared" si="533"/>
        <v>0</v>
      </c>
      <c r="Z120" s="239">
        <f t="shared" si="533"/>
        <v>0</v>
      </c>
      <c r="AA120" s="239">
        <f t="shared" si="533"/>
        <v>0</v>
      </c>
      <c r="AB120" s="240">
        <f t="shared" si="533"/>
        <v>0</v>
      </c>
    </row>
    <row r="121" spans="2:31" ht="3.95" customHeight="1">
      <c r="B121" s="180"/>
    </row>
    <row r="122" spans="2:31" ht="24">
      <c r="B122" s="159" t="s">
        <v>1814</v>
      </c>
      <c r="C122" s="176" t="s">
        <v>4</v>
      </c>
      <c r="D122" s="176" t="s">
        <v>1320</v>
      </c>
      <c r="E122" s="193"/>
      <c r="F122" s="176" t="s">
        <v>1530</v>
      </c>
      <c r="H122" s="192">
        <v>45658</v>
      </c>
      <c r="I122" s="192">
        <f t="shared" ref="I122" si="534">EOMONTH(H122,0)+1</f>
        <v>45689</v>
      </c>
      <c r="J122" s="192">
        <f t="shared" ref="J122" si="535">EOMONTH(I122,0)+1</f>
        <v>45717</v>
      </c>
      <c r="K122" s="192">
        <f t="shared" ref="K122" si="536">EOMONTH(J122,0)+1</f>
        <v>45748</v>
      </c>
      <c r="L122" s="192">
        <f t="shared" ref="L122" si="537">EOMONTH(K122,0)+1</f>
        <v>45778</v>
      </c>
      <c r="M122" s="192">
        <f t="shared" ref="M122" si="538">EOMONTH(L122,0)+1</f>
        <v>45809</v>
      </c>
      <c r="N122" s="192">
        <f t="shared" ref="N122" si="539">EOMONTH(M122,0)+1</f>
        <v>45839</v>
      </c>
      <c r="O122" s="192">
        <v>45870</v>
      </c>
      <c r="P122" s="192">
        <f t="shared" ref="P122" si="540">EOMONTH(O122,0)+1</f>
        <v>45901</v>
      </c>
      <c r="Q122" s="192">
        <f t="shared" ref="Q122" si="541">EOMONTH(P122,0)+1</f>
        <v>45931</v>
      </c>
      <c r="R122" s="192">
        <f t="shared" ref="R122" si="542">EOMONTH(Q122,0)+1</f>
        <v>45962</v>
      </c>
      <c r="S122" s="192">
        <f t="shared" ref="S122" si="543">EOMONTH(R122,0)+1</f>
        <v>45992</v>
      </c>
      <c r="T122" s="192">
        <f t="shared" ref="T122" si="544">EOMONTH(S122,0)+1</f>
        <v>46023</v>
      </c>
      <c r="U122" s="192">
        <f t="shared" ref="U122" si="545">EOMONTH(T122,0)+1</f>
        <v>46054</v>
      </c>
      <c r="V122" s="192">
        <f t="shared" ref="V122" si="546">EOMONTH(U122,0)+1</f>
        <v>46082</v>
      </c>
      <c r="W122" s="192">
        <f t="shared" ref="W122" si="547">EOMONTH(V122,0)+1</f>
        <v>46113</v>
      </c>
      <c r="X122" s="192">
        <f t="shared" ref="X122" si="548">EOMONTH(W122,0)+1</f>
        <v>46143</v>
      </c>
      <c r="Y122" s="192">
        <f t="shared" ref="Y122" si="549">EOMONTH(X122,0)+1</f>
        <v>46174</v>
      </c>
      <c r="Z122" s="192">
        <f t="shared" ref="Z122" si="550">EOMONTH(Y122,0)+1</f>
        <v>46204</v>
      </c>
      <c r="AA122" s="192">
        <f t="shared" ref="AA122" si="551">EOMONTH(Z122,0)+1</f>
        <v>46235</v>
      </c>
      <c r="AB122" s="192">
        <f t="shared" ref="AB122" si="552">EOMONTH(AA122,0)+1</f>
        <v>46266</v>
      </c>
      <c r="AC122" s="187"/>
      <c r="AE122" s="187"/>
    </row>
    <row r="123" spans="2:31">
      <c r="B123" s="322" t="s">
        <v>1511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1316</v>
      </c>
      <c r="C124" s="182">
        <f>+C127-C125-C126</f>
        <v>1</v>
      </c>
      <c r="D124" s="182">
        <f>+D127-D125-D126</f>
        <v>1</v>
      </c>
      <c r="F124" s="182">
        <f>+F127-F125-F126</f>
        <v>2</v>
      </c>
      <c r="H124" s="182">
        <f t="shared" ref="H124" si="553">+H127-H125-H126</f>
        <v>1</v>
      </c>
      <c r="I124" s="182">
        <f t="shared" ref="I124" si="554">+I127-I125-I126</f>
        <v>1</v>
      </c>
      <c r="J124" s="182">
        <f t="shared" ref="J124" si="555">+J127-J125-J126</f>
        <v>1</v>
      </c>
      <c r="K124" s="182">
        <f t="shared" ref="K124" si="556">+K127-K125-K126</f>
        <v>1</v>
      </c>
      <c r="L124" s="182">
        <f t="shared" ref="L124" si="557">+L127-L125-L126</f>
        <v>1</v>
      </c>
      <c r="M124" s="182">
        <f t="shared" ref="M124" si="558">+M127-M125-M126</f>
        <v>1</v>
      </c>
      <c r="N124" s="182">
        <f t="shared" ref="N124" si="559">+N127-N125-N126</f>
        <v>1</v>
      </c>
      <c r="O124" s="182">
        <f t="shared" ref="O124" si="560">+O127-O125-O126</f>
        <v>1</v>
      </c>
      <c r="P124" s="182">
        <f t="shared" ref="P124" si="561">+P127-P125-P126</f>
        <v>2</v>
      </c>
      <c r="Q124" s="182">
        <f t="shared" ref="Q124" si="562">+Q127-Q125-Q126</f>
        <v>2</v>
      </c>
      <c r="R124" s="182">
        <f t="shared" ref="R124" si="563">+R127-R125-R126</f>
        <v>2</v>
      </c>
      <c r="S124" s="182">
        <f t="shared" ref="S124" si="564">+S127-S125-S126</f>
        <v>2</v>
      </c>
      <c r="T124" s="182">
        <f t="shared" ref="T124" si="565">+T127-T125-T126</f>
        <v>1</v>
      </c>
      <c r="U124" s="182">
        <f t="shared" ref="U124" si="566">+U127-U125-U126</f>
        <v>1</v>
      </c>
      <c r="V124" s="182">
        <f t="shared" ref="V124" si="567">+V127-V125-V126</f>
        <v>2</v>
      </c>
      <c r="W124" s="182">
        <f t="shared" ref="W124" si="568">+W127-W125-W126</f>
        <v>3</v>
      </c>
      <c r="X124" s="182">
        <f t="shared" ref="X124" si="569">+X127-X125-X126</f>
        <v>4</v>
      </c>
      <c r="Y124" s="182">
        <f t="shared" ref="Y124" si="570">+Y127-Y125-Y126</f>
        <v>4</v>
      </c>
      <c r="Z124" s="182">
        <f t="shared" ref="Z124" si="571">+Z127-Z125-Z126</f>
        <v>4</v>
      </c>
      <c r="AA124" s="182">
        <f t="shared" ref="AA124" si="572">+AA127-AA125-AA126</f>
        <v>3</v>
      </c>
      <c r="AB124" s="182">
        <f t="shared" ref="AB124" si="573">+AB127-AB125-AB126</f>
        <v>3</v>
      </c>
    </row>
    <row r="125" spans="2:31">
      <c r="B125" s="191" t="s">
        <v>1817</v>
      </c>
      <c r="C125" s="197">
        <f>SUM(H125:S125)</f>
        <v>2</v>
      </c>
      <c r="D125" s="197">
        <f>SUM(T125:AB125)</f>
        <v>5</v>
      </c>
      <c r="F125" s="197">
        <f>SUM(Q125:AB125)</f>
        <v>6</v>
      </c>
      <c r="H125" s="195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5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5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5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5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5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5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5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5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5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5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5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5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5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5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5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5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5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5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5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5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91" t="s">
        <v>1818</v>
      </c>
      <c r="C126" s="197">
        <f>SUM(H126:S126)</f>
        <v>-2</v>
      </c>
      <c r="D126" s="197">
        <f>SUM(T126:AB126)</f>
        <v>-2</v>
      </c>
      <c r="F126" s="197">
        <f>SUM(Q126:AB126)</f>
        <v>-4</v>
      </c>
      <c r="H126" s="195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5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5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5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5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5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5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5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5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5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5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5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5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5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5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5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5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5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5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5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5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9" t="s">
        <v>1318</v>
      </c>
      <c r="C127" s="260">
        <f>+D124</f>
        <v>1</v>
      </c>
      <c r="D127" s="261">
        <f>+$AB127</f>
        <v>4</v>
      </c>
      <c r="F127" s="264">
        <f>+$AB127</f>
        <v>4</v>
      </c>
      <c r="H127" s="262">
        <f t="shared" ref="H127:AA127" si="574">+I124</f>
        <v>1</v>
      </c>
      <c r="I127" s="260">
        <f t="shared" si="574"/>
        <v>1</v>
      </c>
      <c r="J127" s="260">
        <f t="shared" si="574"/>
        <v>1</v>
      </c>
      <c r="K127" s="260">
        <f t="shared" si="574"/>
        <v>1</v>
      </c>
      <c r="L127" s="260">
        <f t="shared" si="574"/>
        <v>1</v>
      </c>
      <c r="M127" s="260">
        <f t="shared" si="574"/>
        <v>1</v>
      </c>
      <c r="N127" s="260">
        <f t="shared" si="574"/>
        <v>1</v>
      </c>
      <c r="O127" s="260">
        <f t="shared" si="574"/>
        <v>2</v>
      </c>
      <c r="P127" s="260">
        <f t="shared" si="574"/>
        <v>2</v>
      </c>
      <c r="Q127" s="260">
        <f t="shared" si="574"/>
        <v>2</v>
      </c>
      <c r="R127" s="260">
        <f t="shared" si="574"/>
        <v>2</v>
      </c>
      <c r="S127" s="260">
        <f t="shared" si="574"/>
        <v>1</v>
      </c>
      <c r="T127" s="260">
        <f t="shared" si="574"/>
        <v>1</v>
      </c>
      <c r="U127" s="260">
        <f t="shared" si="574"/>
        <v>2</v>
      </c>
      <c r="V127" s="260">
        <f t="shared" si="574"/>
        <v>3</v>
      </c>
      <c r="W127" s="260">
        <f t="shared" si="574"/>
        <v>4</v>
      </c>
      <c r="X127" s="260">
        <f t="shared" si="574"/>
        <v>4</v>
      </c>
      <c r="Y127" s="260">
        <f t="shared" si="574"/>
        <v>4</v>
      </c>
      <c r="Z127" s="260">
        <f t="shared" si="574"/>
        <v>3</v>
      </c>
      <c r="AA127" s="260">
        <f t="shared" si="574"/>
        <v>3</v>
      </c>
      <c r="AB127" s="310">
        <f>COUNTIFS('Combined Employee Worksheet'!$H:$H,"Active",'Combined Employee Worksheet'!$D:$D,'Employee Retention'!B123)</f>
        <v>4</v>
      </c>
    </row>
    <row r="128" spans="2:31" ht="3.95" customHeight="1">
      <c r="B128" s="180"/>
      <c r="C128" s="232"/>
      <c r="D128" s="232"/>
      <c r="F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317"/>
    </row>
    <row r="129" spans="1:35" ht="12" customHeight="1">
      <c r="B129" s="259" t="s">
        <v>1820</v>
      </c>
      <c r="C129" s="323">
        <f>AVERAGE(C124,C127)</f>
        <v>1</v>
      </c>
      <c r="D129" s="324">
        <f>AVERAGE(D124,D127)</f>
        <v>2.5</v>
      </c>
      <c r="F129" s="325">
        <f>AVERAGE(F124,F127)</f>
        <v>3</v>
      </c>
      <c r="H129" s="326">
        <f t="shared" ref="H129" si="575">AVERAGE(H124,H127)</f>
        <v>1</v>
      </c>
      <c r="I129" s="323">
        <f t="shared" ref="I129" si="576">AVERAGE(I124,I127)</f>
        <v>1</v>
      </c>
      <c r="J129" s="323">
        <f t="shared" ref="J129" si="577">AVERAGE(J124,J127)</f>
        <v>1</v>
      </c>
      <c r="K129" s="323">
        <f t="shared" ref="K129" si="578">AVERAGE(K124,K127)</f>
        <v>1</v>
      </c>
      <c r="L129" s="323">
        <f t="shared" ref="L129" si="579">AVERAGE(L124,L127)</f>
        <v>1</v>
      </c>
      <c r="M129" s="323">
        <f t="shared" ref="M129" si="580">AVERAGE(M124,M127)</f>
        <v>1</v>
      </c>
      <c r="N129" s="323">
        <f t="shared" ref="N129" si="581">AVERAGE(N124,N127)</f>
        <v>1</v>
      </c>
      <c r="O129" s="323">
        <f t="shared" ref="O129" si="582">AVERAGE(O124,O127)</f>
        <v>1.5</v>
      </c>
      <c r="P129" s="323">
        <f t="shared" ref="P129" si="583">AVERAGE(P124,P127)</f>
        <v>2</v>
      </c>
      <c r="Q129" s="323">
        <f t="shared" ref="Q129" si="584">AVERAGE(Q124,Q127)</f>
        <v>2</v>
      </c>
      <c r="R129" s="323">
        <f t="shared" ref="R129" si="585">AVERAGE(R124,R127)</f>
        <v>2</v>
      </c>
      <c r="S129" s="323">
        <f t="shared" ref="S129" si="586">AVERAGE(S124,S127)</f>
        <v>1.5</v>
      </c>
      <c r="T129" s="323">
        <f t="shared" ref="T129" si="587">AVERAGE(T124,T127)</f>
        <v>1</v>
      </c>
      <c r="U129" s="323">
        <f t="shared" ref="U129" si="588">AVERAGE(U124,U127)</f>
        <v>1.5</v>
      </c>
      <c r="V129" s="323">
        <f t="shared" ref="V129" si="589">AVERAGE(V124,V127)</f>
        <v>2.5</v>
      </c>
      <c r="W129" s="323">
        <f t="shared" ref="W129" si="590">AVERAGE(W124,W127)</f>
        <v>3.5</v>
      </c>
      <c r="X129" s="323">
        <f t="shared" ref="X129" si="591">AVERAGE(X124,X127)</f>
        <v>4</v>
      </c>
      <c r="Y129" s="323">
        <f t="shared" ref="Y129" si="592">AVERAGE(Y124,Y127)</f>
        <v>4</v>
      </c>
      <c r="Z129" s="323">
        <f t="shared" ref="Z129" si="593">AVERAGE(Z124,Z127)</f>
        <v>3.5</v>
      </c>
      <c r="AA129" s="323">
        <f t="shared" ref="AA129" si="594">AVERAGE(AA124,AA127)</f>
        <v>3</v>
      </c>
      <c r="AB129" s="324">
        <f t="shared" ref="AB129" si="595">AVERAGE(AB124,AB127)</f>
        <v>3.5</v>
      </c>
    </row>
    <row r="130" spans="1:35" ht="3.95" customHeight="1">
      <c r="B130" s="180"/>
      <c r="C130" s="232"/>
      <c r="D130" s="232"/>
      <c r="F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3"/>
      <c r="AA130" s="233"/>
      <c r="AB130" s="233"/>
    </row>
    <row r="131" spans="1:35" ht="12" customHeight="1">
      <c r="B131" s="234" t="s">
        <v>1816</v>
      </c>
      <c r="C131" s="236">
        <f>(C125+C124)/C124-1</f>
        <v>2</v>
      </c>
      <c r="D131" s="247">
        <f>(D125+D124)/D124-1</f>
        <v>5</v>
      </c>
      <c r="E131" s="248"/>
      <c r="F131" s="249">
        <f>(F125+F124)/F124-1</f>
        <v>3</v>
      </c>
      <c r="H131" s="246">
        <f t="shared" ref="H131:AB131" si="596">(H125+H124)/H124-1</f>
        <v>0</v>
      </c>
      <c r="I131" s="236">
        <f t="shared" si="596"/>
        <v>0</v>
      </c>
      <c r="J131" s="236">
        <f t="shared" si="596"/>
        <v>0</v>
      </c>
      <c r="K131" s="236">
        <f t="shared" si="596"/>
        <v>0</v>
      </c>
      <c r="L131" s="236">
        <f t="shared" si="596"/>
        <v>0</v>
      </c>
      <c r="M131" s="236">
        <f t="shared" si="596"/>
        <v>0</v>
      </c>
      <c r="N131" s="236">
        <f t="shared" si="596"/>
        <v>0</v>
      </c>
      <c r="O131" s="236">
        <f t="shared" si="596"/>
        <v>1</v>
      </c>
      <c r="P131" s="236">
        <f t="shared" si="596"/>
        <v>0</v>
      </c>
      <c r="Q131" s="246">
        <f t="shared" si="596"/>
        <v>0</v>
      </c>
      <c r="R131" s="236">
        <f t="shared" si="596"/>
        <v>0.5</v>
      </c>
      <c r="S131" s="236">
        <f t="shared" si="596"/>
        <v>0</v>
      </c>
      <c r="T131" s="236">
        <f t="shared" si="596"/>
        <v>1</v>
      </c>
      <c r="U131" s="236">
        <f t="shared" si="596"/>
        <v>1</v>
      </c>
      <c r="V131" s="236">
        <f t="shared" si="596"/>
        <v>0.5</v>
      </c>
      <c r="W131" s="236">
        <f t="shared" si="596"/>
        <v>0.33333333333333326</v>
      </c>
      <c r="X131" s="236">
        <f t="shared" si="596"/>
        <v>0</v>
      </c>
      <c r="Y131" s="236">
        <f t="shared" si="596"/>
        <v>0</v>
      </c>
      <c r="Z131" s="236">
        <f t="shared" si="596"/>
        <v>0</v>
      </c>
      <c r="AA131" s="236">
        <f t="shared" si="596"/>
        <v>0</v>
      </c>
      <c r="AB131" s="247">
        <f t="shared" si="596"/>
        <v>0.33333333333333326</v>
      </c>
    </row>
    <row r="132" spans="1:35">
      <c r="B132" s="237" t="s">
        <v>1815</v>
      </c>
      <c r="C132" s="239">
        <f>(C126+C129)/C129-1</f>
        <v>-2</v>
      </c>
      <c r="D132" s="240">
        <f>(D126+D129)/D129-1</f>
        <v>-0.8</v>
      </c>
      <c r="E132" s="248"/>
      <c r="F132" s="242">
        <f>(F126+F129)/F129-1</f>
        <v>-1.3333333333333333</v>
      </c>
      <c r="H132" s="241">
        <f t="shared" ref="H132:AB132" si="597">(H126+H129)/H129-1</f>
        <v>0</v>
      </c>
      <c r="I132" s="239">
        <f t="shared" si="597"/>
        <v>0</v>
      </c>
      <c r="J132" s="239">
        <f t="shared" si="597"/>
        <v>0</v>
      </c>
      <c r="K132" s="239">
        <f t="shared" si="597"/>
        <v>0</v>
      </c>
      <c r="L132" s="239">
        <f t="shared" si="597"/>
        <v>0</v>
      </c>
      <c r="M132" s="239">
        <f t="shared" si="597"/>
        <v>0</v>
      </c>
      <c r="N132" s="239">
        <f t="shared" si="597"/>
        <v>0</v>
      </c>
      <c r="O132" s="239">
        <f t="shared" si="597"/>
        <v>0</v>
      </c>
      <c r="P132" s="239">
        <f t="shared" si="597"/>
        <v>0</v>
      </c>
      <c r="Q132" s="241">
        <f t="shared" si="597"/>
        <v>0</v>
      </c>
      <c r="R132" s="239">
        <f t="shared" si="597"/>
        <v>-0.5</v>
      </c>
      <c r="S132" s="239">
        <f t="shared" si="597"/>
        <v>-0.66666666666666674</v>
      </c>
      <c r="T132" s="239">
        <f t="shared" si="597"/>
        <v>-1</v>
      </c>
      <c r="U132" s="239">
        <f t="shared" si="597"/>
        <v>0</v>
      </c>
      <c r="V132" s="239">
        <f t="shared" si="597"/>
        <v>0</v>
      </c>
      <c r="W132" s="239">
        <f t="shared" si="597"/>
        <v>0</v>
      </c>
      <c r="X132" s="239">
        <f t="shared" si="597"/>
        <v>0</v>
      </c>
      <c r="Y132" s="239">
        <f t="shared" si="597"/>
        <v>0</v>
      </c>
      <c r="Z132" s="239">
        <f t="shared" si="597"/>
        <v>-0.2857142857142857</v>
      </c>
      <c r="AA132" s="239">
        <f t="shared" si="597"/>
        <v>0</v>
      </c>
      <c r="AB132" s="240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0" priority="184">
      <formula>$AE$3=1</formula>
    </cfRule>
  </conditionalFormatting>
  <conditionalFormatting sqref="A33:XFD45">
    <cfRule type="expression" dxfId="29" priority="6">
      <formula>$AE$3=1</formula>
    </cfRule>
  </conditionalFormatting>
  <conditionalFormatting sqref="A48:XFD60">
    <cfRule type="expression" dxfId="28" priority="5">
      <formula>$AE$3=1</formula>
    </cfRule>
  </conditionalFormatting>
  <conditionalFormatting sqref="A63:XFD75">
    <cfRule type="expression" dxfId="27" priority="4">
      <formula>$AE$3=1</formula>
    </cfRule>
  </conditionalFormatting>
  <conditionalFormatting sqref="A78:XFD90">
    <cfRule type="expression" dxfId="26" priority="3">
      <formula>$AE$3=1</formula>
    </cfRule>
  </conditionalFormatting>
  <conditionalFormatting sqref="A93:XFD105">
    <cfRule type="expression" dxfId="25" priority="2">
      <formula>$AE$3=1</formula>
    </cfRule>
  </conditionalFormatting>
  <conditionalFormatting sqref="A108:XFD120">
    <cfRule type="expression" dxfId="24" priority="1">
      <formula>$AE$3=1</formula>
    </cfRule>
  </conditionalFormatting>
  <conditionalFormatting sqref="A123:XFD132">
    <cfRule type="expression" dxfId="23" priority="12">
      <formula>$AE$3=1</formula>
    </cfRule>
  </conditionalFormatting>
  <conditionalFormatting sqref="B6:F6 H6:AF6 B18:F20">
    <cfRule type="expression" dxfId="22" priority="136">
      <formula>$W$3=1</formula>
    </cfRule>
  </conditionalFormatting>
  <conditionalFormatting sqref="B33:F35">
    <cfRule type="expression" dxfId="21" priority="61">
      <formula>$W$3=1</formula>
    </cfRule>
  </conditionalFormatting>
  <conditionalFormatting sqref="B48:F50">
    <cfRule type="expression" dxfId="20" priority="59">
      <formula>$W$3=1</formula>
    </cfRule>
  </conditionalFormatting>
  <conditionalFormatting sqref="B63:F65">
    <cfRule type="expression" dxfId="19" priority="57">
      <formula>$W$3=1</formula>
    </cfRule>
  </conditionalFormatting>
  <conditionalFormatting sqref="B78:F80">
    <cfRule type="expression" dxfId="18" priority="55">
      <formula>$W$3=1</formula>
    </cfRule>
  </conditionalFormatting>
  <conditionalFormatting sqref="B93:F95">
    <cfRule type="expression" dxfId="17" priority="40">
      <formula>$W$3=1</formula>
    </cfRule>
  </conditionalFormatting>
  <conditionalFormatting sqref="B108:F110">
    <cfRule type="expression" dxfId="16" priority="25">
      <formula>$W$3=1</formula>
    </cfRule>
  </conditionalFormatting>
  <conditionalFormatting sqref="B123:F123">
    <cfRule type="expression" dxfId="15" priority="23">
      <formula>$W$3=1</formula>
    </cfRule>
  </conditionalFormatting>
  <conditionalFormatting sqref="C19:D19">
    <cfRule type="expression" dxfId="14" priority="7">
      <formula>$W$3=1</formula>
    </cfRule>
  </conditionalFormatting>
  <conditionalFormatting sqref="F19">
    <cfRule type="expression" dxfId="13" priority="9">
      <formula>$W$3=1</formula>
    </cfRule>
  </conditionalFormatting>
  <conditionalFormatting sqref="H18:AF20">
    <cfRule type="expression" dxfId="12" priority="135">
      <formula>$W$3=1</formula>
    </cfRule>
  </conditionalFormatting>
  <conditionalFormatting sqref="H33:AF35">
    <cfRule type="expression" dxfId="11" priority="112">
      <formula>$W$3=1</formula>
    </cfRule>
  </conditionalFormatting>
  <conditionalFormatting sqref="H48:AF50">
    <cfRule type="expression" dxfId="10" priority="100">
      <formula>$W$3=1</formula>
    </cfRule>
  </conditionalFormatting>
  <conditionalFormatting sqref="H63:AF65">
    <cfRule type="expression" dxfId="9" priority="88">
      <formula>$W$3=1</formula>
    </cfRule>
  </conditionalFormatting>
  <conditionalFormatting sqref="H78:AF80">
    <cfRule type="expression" dxfId="8" priority="76">
      <formula>$W$3=1</formula>
    </cfRule>
  </conditionalFormatting>
  <conditionalFormatting sqref="H93:AF95">
    <cfRule type="expression" dxfId="7" priority="52">
      <formula>$W$3=1</formula>
    </cfRule>
  </conditionalFormatting>
  <conditionalFormatting sqref="H108:AF110">
    <cfRule type="expression" dxfId="6" priority="37">
      <formula>$W$3=1</formula>
    </cfRule>
  </conditionalFormatting>
  <conditionalFormatting sqref="H123:AF123">
    <cfRule type="expression" dxfId="5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/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52" customFormat="1" ht="12">
      <c r="B3" s="38" t="s">
        <v>1878</v>
      </c>
      <c r="C3" s="354"/>
      <c r="D3" s="354"/>
      <c r="E3" s="354"/>
      <c r="F3" s="354"/>
      <c r="G3" s="354"/>
      <c r="H3" s="354"/>
      <c r="I3" s="354"/>
      <c r="J3" s="354"/>
      <c r="K3" s="354"/>
      <c r="L3" s="354"/>
      <c r="AD3" s="352" t="s">
        <v>276</v>
      </c>
      <c r="AE3" s="78">
        <v>1</v>
      </c>
    </row>
    <row r="4" spans="2:31" s="352" customFormat="1" ht="12">
      <c r="M4" s="353"/>
      <c r="N4" s="353"/>
      <c r="O4" s="353"/>
      <c r="P4" s="353"/>
      <c r="Q4" s="353"/>
      <c r="R4" s="353"/>
      <c r="S4" s="353"/>
      <c r="T4" s="353"/>
      <c r="U4" s="353"/>
      <c r="V4" s="353"/>
      <c r="W4" s="353"/>
      <c r="X4" s="353"/>
      <c r="Y4" s="353"/>
      <c r="Z4" s="353"/>
      <c r="AA4" s="353"/>
      <c r="AB4" s="353"/>
    </row>
    <row r="5" spans="2:31" s="352" customFormat="1" ht="12">
      <c r="B5" s="375" t="s">
        <v>1879</v>
      </c>
      <c r="C5" s="374" t="str">
        <f>'Employee Retention'!C5</f>
        <v>FY2025</v>
      </c>
      <c r="D5" s="374" t="str">
        <f>'Employee Retention'!D5</f>
        <v>YTD2026</v>
      </c>
      <c r="E5" s="385"/>
      <c r="F5" s="374" t="str">
        <f>'Employee Retention'!F5</f>
        <v>LTM Sep'26</v>
      </c>
      <c r="G5" s="385"/>
      <c r="H5" s="376">
        <f>'Employee Retention'!H5</f>
        <v>45658</v>
      </c>
      <c r="I5" s="376">
        <f>'Employee Retention'!I5</f>
        <v>45689</v>
      </c>
      <c r="J5" s="376">
        <f>'Employee Retention'!J5</f>
        <v>45717</v>
      </c>
      <c r="K5" s="376">
        <f>'Employee Retention'!K5</f>
        <v>45748</v>
      </c>
      <c r="L5" s="376">
        <f>'Employee Retention'!L5</f>
        <v>45778</v>
      </c>
      <c r="M5" s="376">
        <f>'Employee Retention'!M5</f>
        <v>45809</v>
      </c>
      <c r="N5" s="376">
        <f>'Employee Retention'!N5</f>
        <v>45839</v>
      </c>
      <c r="O5" s="376">
        <f>'Employee Retention'!O5</f>
        <v>45870</v>
      </c>
      <c r="P5" s="376">
        <f>'Employee Retention'!P5</f>
        <v>45901</v>
      </c>
      <c r="Q5" s="376">
        <f>'Employee Retention'!Q5</f>
        <v>45931</v>
      </c>
      <c r="R5" s="376">
        <f>'Employee Retention'!R5</f>
        <v>45962</v>
      </c>
      <c r="S5" s="376">
        <f>'Employee Retention'!S5</f>
        <v>45992</v>
      </c>
      <c r="T5" s="376">
        <f>'Employee Retention'!T5</f>
        <v>46023</v>
      </c>
      <c r="U5" s="376">
        <f>'Employee Retention'!U5</f>
        <v>46054</v>
      </c>
      <c r="V5" s="376">
        <f>'Employee Retention'!V5</f>
        <v>46082</v>
      </c>
      <c r="W5" s="376">
        <f>'Employee Retention'!W5</f>
        <v>46113</v>
      </c>
      <c r="X5" s="376">
        <f>'Employee Retention'!X5</f>
        <v>46143</v>
      </c>
      <c r="Y5" s="376">
        <f>'Employee Retention'!Y5</f>
        <v>46174</v>
      </c>
      <c r="Z5" s="376">
        <f>'Employee Retention'!Z5</f>
        <v>46204</v>
      </c>
      <c r="AA5" s="376">
        <f>'Employee Retention'!AA5</f>
        <v>46235</v>
      </c>
      <c r="AB5" s="376">
        <f>'Employee Retention'!AB5</f>
        <v>46266</v>
      </c>
    </row>
    <row r="6" spans="2:31" s="352" customFormat="1" ht="12">
      <c r="B6" s="377" t="s">
        <v>1880</v>
      </c>
      <c r="C6" s="351"/>
      <c r="D6" s="351"/>
      <c r="F6" s="351"/>
      <c r="H6" s="351"/>
      <c r="I6" s="351"/>
      <c r="J6" s="351"/>
      <c r="K6" s="351"/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  <c r="AA6" s="351"/>
      <c r="AB6" s="351"/>
    </row>
    <row r="7" spans="2:31" s="352" customFormat="1" ht="12">
      <c r="B7" s="352" t="s">
        <v>1821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7"/>
    </row>
    <row r="8" spans="2:31" s="352" customFormat="1" ht="12">
      <c r="B8" s="352" t="s">
        <v>1881</v>
      </c>
      <c r="C8" s="389">
        <f>('Client Retention $'!E15-'Client Retention $'!E111*12)/C7</f>
        <v>13.008739138461532</v>
      </c>
      <c r="D8" s="389">
        <f>('Client Retention $'!F15-'Client Retention $'!F111*12)/D7</f>
        <v>15.346704289693591</v>
      </c>
      <c r="E8" s="389"/>
      <c r="F8" s="389">
        <f>('Client Retention $'!H15-'Client Retention $'!H111*12)/F7</f>
        <v>14.849686516853929</v>
      </c>
      <c r="G8" s="389"/>
      <c r="H8" s="389">
        <f>('Client Retention $'!J15-'Client Retention $'!J111)*12/H7</f>
        <v>11.977632397260265</v>
      </c>
      <c r="I8" s="389">
        <f>('Client Retention $'!K15-'Client Retention $'!K111)*12/I7</f>
        <v>12.335000406779653</v>
      </c>
      <c r="J8" s="389">
        <f>('Client Retention $'!L15-'Client Retention $'!L111)*12/J7</f>
        <v>12.722761986754959</v>
      </c>
      <c r="K8" s="389">
        <f>('Client Retention $'!M15-'Client Retention $'!M111)*12/K7</f>
        <v>12.910201661341844</v>
      </c>
      <c r="L8" s="389">
        <f>('Client Retention $'!N15-'Client Retention $'!N111)*12/L7</f>
        <v>12.906083703703693</v>
      </c>
      <c r="M8" s="389">
        <f>('Client Retention $'!O15-'Client Retention $'!O111)*12/M7</f>
        <v>13.035614303030293</v>
      </c>
      <c r="N8" s="389">
        <f>('Client Retention $'!P15-'Client Retention $'!P111)*12/N7</f>
        <v>12.976448862275438</v>
      </c>
      <c r="O8" s="389">
        <f>('Client Retention $'!Q15-'Client Retention $'!Q111)*12/O7</f>
        <v>12.868619069767432</v>
      </c>
      <c r="P8" s="389">
        <f>('Client Retention $'!R15-'Client Retention $'!R111)*12/P7</f>
        <v>12.947982613636354</v>
      </c>
      <c r="Q8" s="389">
        <f>('Client Retention $'!S15-'Client Retention $'!S111)*12/Q7</f>
        <v>13.194310194986064</v>
      </c>
      <c r="R8" s="389">
        <f>('Client Retention $'!T15-'Client Retention $'!T111)*12/R7</f>
        <v>13.469281983471065</v>
      </c>
      <c r="S8" s="389">
        <f>('Client Retention $'!U15-'Client Retention $'!U111)*12/S7</f>
        <v>13.823450969529079</v>
      </c>
      <c r="T8" s="389">
        <f>('Client Retention $'!V15-'Client Retention $'!V111)*12/T7</f>
        <v>14.034732896174853</v>
      </c>
      <c r="U8" s="389">
        <f>('Client Retention $'!W15-'Client Retention $'!W111)*12/U7</f>
        <v>13.958834406332445</v>
      </c>
      <c r="V8" s="389">
        <f>('Client Retention $'!X15-'Client Retention $'!X111)*12/V7</f>
        <v>14.04654503896103</v>
      </c>
      <c r="W8" s="389">
        <f>('Client Retention $'!Y15-'Client Retention $'!Y111)*12/W7</f>
        <v>14.143772923076915</v>
      </c>
      <c r="X8" s="389">
        <f>('Client Retention $'!Z15-'Client Retention $'!Z111)*12/X7</f>
        <v>14.616572196382425</v>
      </c>
      <c r="Y8" s="389">
        <f>('Client Retention $'!AA15-'Client Retention $'!AA111)*12/Y7</f>
        <v>15.253466772486766</v>
      </c>
      <c r="Z8" s="389">
        <f>('Client Retention $'!AB15-'Client Retention $'!AB111)*12/Z7</f>
        <v>15.934229862258947</v>
      </c>
      <c r="AA8" s="389">
        <f>('Client Retention $'!AC15-'Client Retention $'!AC111)*12/AA7</f>
        <v>16.593597249283661</v>
      </c>
      <c r="AB8" s="389">
        <f>('Client Retention $'!AD15-'Client Retention $'!AD111)*12/AB7</f>
        <v>16.631472994350275</v>
      </c>
    </row>
    <row r="9" spans="2:31" s="352" customFormat="1" ht="3.95" customHeight="1"/>
    <row r="10" spans="2:31" s="352" customFormat="1" ht="12">
      <c r="B10" s="377" t="s">
        <v>1882</v>
      </c>
      <c r="C10" s="351"/>
      <c r="D10" s="351"/>
      <c r="F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</row>
    <row r="11" spans="2:31" s="352" customFormat="1" ht="12">
      <c r="B11" s="352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8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7"/>
    </row>
    <row r="12" spans="2:31" s="352" customFormat="1" ht="12">
      <c r="B12" s="352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8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52" customFormat="1" ht="12">
      <c r="B13" s="352" t="s">
        <v>1364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8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52" customFormat="1" ht="3.95" customHeight="1"/>
    <row r="15" spans="2:31" s="352" customFormat="1" ht="12">
      <c r="B15" s="377" t="s">
        <v>1883</v>
      </c>
      <c r="C15" s="351"/>
      <c r="D15" s="351"/>
      <c r="F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</row>
    <row r="16" spans="2:31" s="352" customFormat="1" ht="12">
      <c r="B16" s="352" t="s">
        <v>490</v>
      </c>
      <c r="C16" s="355">
        <f>AVERAGEIFS('Combined Employee Worksheet'!$G:$G,'Combined Employee Worksheet'!$D:$D,$B16,'Combined Employee Worksheet'!$H:$H,"Active")/1000</f>
        <v>12.315</v>
      </c>
      <c r="D16" s="355">
        <f>AVERAGEIFS('Combined Employee Worksheet'!$G:$G,'Combined Employee Worksheet'!$D:$D,$B16,'Combined Employee Worksheet'!$H:$H,"Active")/1000</f>
        <v>12.315</v>
      </c>
      <c r="E16" s="355"/>
      <c r="F16" s="355">
        <f>AVERAGEIFS('Combined Employee Worksheet'!$G:$G,'Combined Employee Worksheet'!$D:$D,$B16,'Combined Employee Worksheet'!$H:$H,"Active")/1000</f>
        <v>12.315</v>
      </c>
      <c r="G16" s="355"/>
      <c r="H16" s="355">
        <f>AVERAGEIFS('Combined Employee Worksheet'!$G:$G,'Combined Employee Worksheet'!$D:$D,$B16,'Combined Employee Worksheet'!$H:$H,"Active")/1000</f>
        <v>12.315</v>
      </c>
      <c r="I16" s="355">
        <f>AVERAGEIFS('Combined Employee Worksheet'!$G:$G,'Combined Employee Worksheet'!$D:$D,$B16,'Combined Employee Worksheet'!$H:$H,"Active")/1000</f>
        <v>12.315</v>
      </c>
      <c r="J16" s="355">
        <f>AVERAGEIFS('Combined Employee Worksheet'!$G:$G,'Combined Employee Worksheet'!$D:$D,$B16,'Combined Employee Worksheet'!$H:$H,"Active")/1000</f>
        <v>12.315</v>
      </c>
      <c r="K16" s="355">
        <f>AVERAGEIFS('Combined Employee Worksheet'!$G:$G,'Combined Employee Worksheet'!$D:$D,$B16,'Combined Employee Worksheet'!$H:$H,"Active")/1000</f>
        <v>12.315</v>
      </c>
      <c r="L16" s="355">
        <f>AVERAGEIFS('Combined Employee Worksheet'!$G:$G,'Combined Employee Worksheet'!$D:$D,$B16,'Combined Employee Worksheet'!$H:$H,"Active")/1000</f>
        <v>12.315</v>
      </c>
      <c r="M16" s="355">
        <f>AVERAGEIFS('Combined Employee Worksheet'!$G:$G,'Combined Employee Worksheet'!$D:$D,$B16,'Combined Employee Worksheet'!$H:$H,"Active")/1000</f>
        <v>12.315</v>
      </c>
      <c r="N16" s="355">
        <f>AVERAGEIFS('Combined Employee Worksheet'!$G:$G,'Combined Employee Worksheet'!$D:$D,$B16,'Combined Employee Worksheet'!$H:$H,"Active")/1000</f>
        <v>12.315</v>
      </c>
      <c r="O16" s="355">
        <f>AVERAGEIFS('Combined Employee Worksheet'!$G:$G,'Combined Employee Worksheet'!$D:$D,$B16,'Combined Employee Worksheet'!$H:$H,"Active")/1000</f>
        <v>12.315</v>
      </c>
      <c r="P16" s="355">
        <f>AVERAGEIFS('Combined Employee Worksheet'!$G:$G,'Combined Employee Worksheet'!$D:$D,$B16,'Combined Employee Worksheet'!$H:$H,"Active")/1000</f>
        <v>12.315</v>
      </c>
      <c r="Q16" s="355">
        <f>AVERAGEIFS('Combined Employee Worksheet'!$G:$G,'Combined Employee Worksheet'!$D:$D,$B16,'Combined Employee Worksheet'!$H:$H,"Active")/1000</f>
        <v>12.315</v>
      </c>
      <c r="R16" s="355">
        <f>AVERAGEIFS('Combined Employee Worksheet'!$G:$G,'Combined Employee Worksheet'!$D:$D,$B16,'Combined Employee Worksheet'!$H:$H,"Active")/1000</f>
        <v>12.315</v>
      </c>
      <c r="S16" s="355">
        <f>AVERAGEIFS('Combined Employee Worksheet'!$G:$G,'Combined Employee Worksheet'!$D:$D,$B16,'Combined Employee Worksheet'!$H:$H,"Active")/1000</f>
        <v>12.315</v>
      </c>
      <c r="T16" s="355">
        <f>AVERAGEIFS('Combined Employee Worksheet'!$G:$G,'Combined Employee Worksheet'!$D:$D,$B16,'Combined Employee Worksheet'!$H:$H,"Active")/1000</f>
        <v>12.315</v>
      </c>
      <c r="U16" s="355">
        <f>AVERAGEIFS('Combined Employee Worksheet'!$G:$G,'Combined Employee Worksheet'!$D:$D,$B16,'Combined Employee Worksheet'!$H:$H,"Active")/1000</f>
        <v>12.315</v>
      </c>
      <c r="V16" s="355">
        <f>AVERAGEIFS('Combined Employee Worksheet'!$G:$G,'Combined Employee Worksheet'!$D:$D,$B16,'Combined Employee Worksheet'!$H:$H,"Active")/1000</f>
        <v>12.315</v>
      </c>
      <c r="W16" s="355">
        <f>AVERAGEIFS('Combined Employee Worksheet'!$G:$G,'Combined Employee Worksheet'!$D:$D,$B16,'Combined Employee Worksheet'!$H:$H,"Active")/1000</f>
        <v>12.315</v>
      </c>
      <c r="X16" s="355">
        <f>AVERAGEIFS('Combined Employee Worksheet'!$G:$G,'Combined Employee Worksheet'!$D:$D,$B16,'Combined Employee Worksheet'!$H:$H,"Active")/1000</f>
        <v>12.315</v>
      </c>
      <c r="Y16" s="355">
        <f>AVERAGEIFS('Combined Employee Worksheet'!$G:$G,'Combined Employee Worksheet'!$D:$D,$B16,'Combined Employee Worksheet'!$H:$H,"Active")/1000</f>
        <v>12.315</v>
      </c>
      <c r="Z16" s="355">
        <f>AVERAGEIFS('Combined Employee Worksheet'!$G:$G,'Combined Employee Worksheet'!$D:$D,$B16,'Combined Employee Worksheet'!$H:$H,"Active")/1000</f>
        <v>12.315</v>
      </c>
      <c r="AA16" s="355">
        <f>AVERAGEIFS('Combined Employee Worksheet'!$G:$G,'Combined Employee Worksheet'!$D:$D,$B16,'Combined Employee Worksheet'!$H:$H,"Active")/1000</f>
        <v>12.315</v>
      </c>
      <c r="AB16" s="355">
        <f>AVERAGEIFS('Combined Employee Worksheet'!$G:$G,'Combined Employee Worksheet'!$D:$D,$B16,'Combined Employee Worksheet'!$H:$H,"Active")/1000</f>
        <v>12.315</v>
      </c>
    </row>
    <row r="17" spans="2:28" s="352" customFormat="1" ht="12">
      <c r="B17" s="352" t="s">
        <v>491</v>
      </c>
      <c r="C17" s="367">
        <f>AVERAGEIFS('Combined Employee Worksheet'!$G:$G,'Combined Employee Worksheet'!$D:$D,$B17,'Combined Employee Worksheet'!$H:$H,"Active")/1000</f>
        <v>23.774999999999999</v>
      </c>
      <c r="D17" s="367">
        <f>AVERAGEIFS('Combined Employee Worksheet'!$G:$G,'Combined Employee Worksheet'!$D:$D,$B17,'Combined Employee Worksheet'!$H:$H,"Active")/1000</f>
        <v>23.774999999999999</v>
      </c>
      <c r="E17" s="367"/>
      <c r="F17" s="367">
        <f>AVERAGEIFS('Combined Employee Worksheet'!$G:$G,'Combined Employee Worksheet'!$D:$D,$B17,'Combined Employee Worksheet'!$H:$H,"Active")/1000</f>
        <v>23.774999999999999</v>
      </c>
      <c r="G17" s="367"/>
      <c r="H17" s="367">
        <f>AVERAGEIFS('Combined Employee Worksheet'!$G:$G,'Combined Employee Worksheet'!$D:$D,$B17,'Combined Employee Worksheet'!$H:$H,"Active")/1000</f>
        <v>23.774999999999999</v>
      </c>
      <c r="I17" s="367">
        <f>AVERAGEIFS('Combined Employee Worksheet'!$G:$G,'Combined Employee Worksheet'!$D:$D,$B17,'Combined Employee Worksheet'!$H:$H,"Active")/1000</f>
        <v>23.774999999999999</v>
      </c>
      <c r="J17" s="367">
        <f>AVERAGEIFS('Combined Employee Worksheet'!$G:$G,'Combined Employee Worksheet'!$D:$D,$B17,'Combined Employee Worksheet'!$H:$H,"Active")/1000</f>
        <v>23.774999999999999</v>
      </c>
      <c r="K17" s="367">
        <f>AVERAGEIFS('Combined Employee Worksheet'!$G:$G,'Combined Employee Worksheet'!$D:$D,$B17,'Combined Employee Worksheet'!$H:$H,"Active")/1000</f>
        <v>23.774999999999999</v>
      </c>
      <c r="L17" s="367">
        <f>AVERAGEIFS('Combined Employee Worksheet'!$G:$G,'Combined Employee Worksheet'!$D:$D,$B17,'Combined Employee Worksheet'!$H:$H,"Active")/1000</f>
        <v>23.774999999999999</v>
      </c>
      <c r="M17" s="367">
        <f>AVERAGEIFS('Combined Employee Worksheet'!$G:$G,'Combined Employee Worksheet'!$D:$D,$B17,'Combined Employee Worksheet'!$H:$H,"Active")/1000</f>
        <v>23.774999999999999</v>
      </c>
      <c r="N17" s="367">
        <f>AVERAGEIFS('Combined Employee Worksheet'!$G:$G,'Combined Employee Worksheet'!$D:$D,$B17,'Combined Employee Worksheet'!$H:$H,"Active")/1000</f>
        <v>23.774999999999999</v>
      </c>
      <c r="O17" s="367">
        <f>AVERAGEIFS('Combined Employee Worksheet'!$G:$G,'Combined Employee Worksheet'!$D:$D,$B17,'Combined Employee Worksheet'!$H:$H,"Active")/1000</f>
        <v>23.774999999999999</v>
      </c>
      <c r="P17" s="367">
        <f>AVERAGEIFS('Combined Employee Worksheet'!$G:$G,'Combined Employee Worksheet'!$D:$D,$B17,'Combined Employee Worksheet'!$H:$H,"Active")/1000</f>
        <v>23.774999999999999</v>
      </c>
      <c r="Q17" s="367">
        <f>AVERAGEIFS('Combined Employee Worksheet'!$G:$G,'Combined Employee Worksheet'!$D:$D,$B17,'Combined Employee Worksheet'!$H:$H,"Active")/1000</f>
        <v>23.774999999999999</v>
      </c>
      <c r="R17" s="367">
        <f>AVERAGEIFS('Combined Employee Worksheet'!$G:$G,'Combined Employee Worksheet'!$D:$D,$B17,'Combined Employee Worksheet'!$H:$H,"Active")/1000</f>
        <v>23.774999999999999</v>
      </c>
      <c r="S17" s="367">
        <f>AVERAGEIFS('Combined Employee Worksheet'!$G:$G,'Combined Employee Worksheet'!$D:$D,$B17,'Combined Employee Worksheet'!$H:$H,"Active")/1000</f>
        <v>23.774999999999999</v>
      </c>
      <c r="T17" s="367">
        <f>AVERAGEIFS('Combined Employee Worksheet'!$G:$G,'Combined Employee Worksheet'!$D:$D,$B17,'Combined Employee Worksheet'!$H:$H,"Active")/1000</f>
        <v>23.774999999999999</v>
      </c>
      <c r="U17" s="367">
        <f>AVERAGEIFS('Combined Employee Worksheet'!$G:$G,'Combined Employee Worksheet'!$D:$D,$B17,'Combined Employee Worksheet'!$H:$H,"Active")/1000</f>
        <v>23.774999999999999</v>
      </c>
      <c r="V17" s="367">
        <f>AVERAGEIFS('Combined Employee Worksheet'!$G:$G,'Combined Employee Worksheet'!$D:$D,$B17,'Combined Employee Worksheet'!$H:$H,"Active")/1000</f>
        <v>23.774999999999999</v>
      </c>
      <c r="W17" s="367">
        <f>AVERAGEIFS('Combined Employee Worksheet'!$G:$G,'Combined Employee Worksheet'!$D:$D,$B17,'Combined Employee Worksheet'!$H:$H,"Active")/1000</f>
        <v>23.774999999999999</v>
      </c>
      <c r="X17" s="367">
        <f>AVERAGEIFS('Combined Employee Worksheet'!$G:$G,'Combined Employee Worksheet'!$D:$D,$B17,'Combined Employee Worksheet'!$H:$H,"Active")/1000</f>
        <v>23.774999999999999</v>
      </c>
      <c r="Y17" s="367">
        <f>AVERAGEIFS('Combined Employee Worksheet'!$G:$G,'Combined Employee Worksheet'!$D:$D,$B17,'Combined Employee Worksheet'!$H:$H,"Active")/1000</f>
        <v>23.774999999999999</v>
      </c>
      <c r="Z17" s="367">
        <f>AVERAGEIFS('Combined Employee Worksheet'!$G:$G,'Combined Employee Worksheet'!$D:$D,$B17,'Combined Employee Worksheet'!$H:$H,"Active")/1000</f>
        <v>23.774999999999999</v>
      </c>
      <c r="AA17" s="367">
        <f>AVERAGEIFS('Combined Employee Worksheet'!$G:$G,'Combined Employee Worksheet'!$D:$D,$B17,'Combined Employee Worksheet'!$H:$H,"Active")/1000</f>
        <v>23.774999999999999</v>
      </c>
      <c r="AB17" s="367">
        <f>AVERAGEIFS('Combined Employee Worksheet'!$G:$G,'Combined Employee Worksheet'!$D:$D,$B17,'Combined Employee Worksheet'!$H:$H,"Active")/1000</f>
        <v>23.774999999999999</v>
      </c>
    </row>
    <row r="18" spans="2:28" s="352" customFormat="1" ht="12">
      <c r="B18" s="352" t="s">
        <v>1364</v>
      </c>
      <c r="C18" s="367">
        <f>AVERAGEIFS('Combined Employee Worksheet'!$G:$G,'Combined Employee Worksheet'!$D:$D,$B18,'Combined Employee Worksheet'!$H:$H,"Active")/1000</f>
        <v>116.25</v>
      </c>
      <c r="D18" s="367">
        <f>AVERAGEIFS('Combined Employee Worksheet'!$G:$G,'Combined Employee Worksheet'!$D:$D,$B18,'Combined Employee Worksheet'!$H:$H,"Active")/1000</f>
        <v>116.25</v>
      </c>
      <c r="E18" s="367"/>
      <c r="F18" s="367">
        <f>AVERAGEIFS('Combined Employee Worksheet'!$G:$G,'Combined Employee Worksheet'!$D:$D,$B18,'Combined Employee Worksheet'!$H:$H,"Active")/1000</f>
        <v>116.25</v>
      </c>
      <c r="G18" s="367"/>
      <c r="H18" s="367">
        <f>AVERAGEIFS('Combined Employee Worksheet'!$G:$G,'Combined Employee Worksheet'!$D:$D,$B18,'Combined Employee Worksheet'!$H:$H,"Active")/1000</f>
        <v>116.25</v>
      </c>
      <c r="I18" s="367">
        <f>AVERAGEIFS('Combined Employee Worksheet'!$G:$G,'Combined Employee Worksheet'!$D:$D,$B18,'Combined Employee Worksheet'!$H:$H,"Active")/1000</f>
        <v>116.25</v>
      </c>
      <c r="J18" s="367">
        <f>AVERAGEIFS('Combined Employee Worksheet'!$G:$G,'Combined Employee Worksheet'!$D:$D,$B18,'Combined Employee Worksheet'!$H:$H,"Active")/1000</f>
        <v>116.25</v>
      </c>
      <c r="K18" s="367">
        <f>AVERAGEIFS('Combined Employee Worksheet'!$G:$G,'Combined Employee Worksheet'!$D:$D,$B18,'Combined Employee Worksheet'!$H:$H,"Active")/1000</f>
        <v>116.25</v>
      </c>
      <c r="L18" s="367">
        <f>AVERAGEIFS('Combined Employee Worksheet'!$G:$G,'Combined Employee Worksheet'!$D:$D,$B18,'Combined Employee Worksheet'!$H:$H,"Active")/1000</f>
        <v>116.25</v>
      </c>
      <c r="M18" s="367">
        <f>AVERAGEIFS('Combined Employee Worksheet'!$G:$G,'Combined Employee Worksheet'!$D:$D,$B18,'Combined Employee Worksheet'!$H:$H,"Active")/1000</f>
        <v>116.25</v>
      </c>
      <c r="N18" s="367">
        <f>AVERAGEIFS('Combined Employee Worksheet'!$G:$G,'Combined Employee Worksheet'!$D:$D,$B18,'Combined Employee Worksheet'!$H:$H,"Active")/1000</f>
        <v>116.25</v>
      </c>
      <c r="O18" s="367">
        <f>AVERAGEIFS('Combined Employee Worksheet'!$G:$G,'Combined Employee Worksheet'!$D:$D,$B18,'Combined Employee Worksheet'!$H:$H,"Active")/1000</f>
        <v>116.25</v>
      </c>
      <c r="P18" s="367">
        <f>AVERAGEIFS('Combined Employee Worksheet'!$G:$G,'Combined Employee Worksheet'!$D:$D,$B18,'Combined Employee Worksheet'!$H:$H,"Active")/1000</f>
        <v>116.25</v>
      </c>
      <c r="Q18" s="367">
        <f>AVERAGEIFS('Combined Employee Worksheet'!$G:$G,'Combined Employee Worksheet'!$D:$D,$B18,'Combined Employee Worksheet'!$H:$H,"Active")/1000</f>
        <v>116.25</v>
      </c>
      <c r="R18" s="367">
        <f>AVERAGEIFS('Combined Employee Worksheet'!$G:$G,'Combined Employee Worksheet'!$D:$D,$B18,'Combined Employee Worksheet'!$H:$H,"Active")/1000</f>
        <v>116.25</v>
      </c>
      <c r="S18" s="367">
        <f>AVERAGEIFS('Combined Employee Worksheet'!$G:$G,'Combined Employee Worksheet'!$D:$D,$B18,'Combined Employee Worksheet'!$H:$H,"Active")/1000</f>
        <v>116.25</v>
      </c>
      <c r="T18" s="367">
        <f>AVERAGEIFS('Combined Employee Worksheet'!$G:$G,'Combined Employee Worksheet'!$D:$D,$B18,'Combined Employee Worksheet'!$H:$H,"Active")/1000</f>
        <v>116.25</v>
      </c>
      <c r="U18" s="367">
        <f>AVERAGEIFS('Combined Employee Worksheet'!$G:$G,'Combined Employee Worksheet'!$D:$D,$B18,'Combined Employee Worksheet'!$H:$H,"Active")/1000</f>
        <v>116.25</v>
      </c>
      <c r="V18" s="367">
        <f>AVERAGEIFS('Combined Employee Worksheet'!$G:$G,'Combined Employee Worksheet'!$D:$D,$B18,'Combined Employee Worksheet'!$H:$H,"Active")/1000</f>
        <v>116.25</v>
      </c>
      <c r="W18" s="367">
        <f>AVERAGEIFS('Combined Employee Worksheet'!$G:$G,'Combined Employee Worksheet'!$D:$D,$B18,'Combined Employee Worksheet'!$H:$H,"Active")/1000</f>
        <v>116.25</v>
      </c>
      <c r="X18" s="367">
        <f>AVERAGEIFS('Combined Employee Worksheet'!$G:$G,'Combined Employee Worksheet'!$D:$D,$B18,'Combined Employee Worksheet'!$H:$H,"Active")/1000</f>
        <v>116.25</v>
      </c>
      <c r="Y18" s="367">
        <f>AVERAGEIFS('Combined Employee Worksheet'!$G:$G,'Combined Employee Worksheet'!$D:$D,$B18,'Combined Employee Worksheet'!$H:$H,"Active")/1000</f>
        <v>116.25</v>
      </c>
      <c r="Z18" s="367">
        <f>AVERAGEIFS('Combined Employee Worksheet'!$G:$G,'Combined Employee Worksheet'!$D:$D,$B18,'Combined Employee Worksheet'!$H:$H,"Active")/1000</f>
        <v>116.25</v>
      </c>
      <c r="AA18" s="367">
        <f>AVERAGEIFS('Combined Employee Worksheet'!$G:$G,'Combined Employee Worksheet'!$D:$D,$B18,'Combined Employee Worksheet'!$H:$H,"Active")/1000</f>
        <v>116.25</v>
      </c>
      <c r="AB18" s="367">
        <f>AVERAGEIFS('Combined Employee Worksheet'!$G:$G,'Combined Employee Worksheet'!$D:$D,$B18,'Combined Employee Worksheet'!$H:$H,"Active")/1000</f>
        <v>116.25</v>
      </c>
    </row>
    <row r="19" spans="2:28" s="352" customFormat="1" ht="3.95" customHeight="1"/>
    <row r="20" spans="2:28" s="352" customFormat="1" ht="12">
      <c r="B20" s="377" t="s">
        <v>1884</v>
      </c>
      <c r="C20" s="351"/>
      <c r="D20" s="351"/>
      <c r="F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51"/>
      <c r="AB20" s="351"/>
    </row>
    <row r="21" spans="2:28" s="352" customFormat="1" ht="12">
      <c r="B21" s="352" t="s">
        <v>490</v>
      </c>
      <c r="C21" s="379">
        <f>'Employee Retention'!C27</f>
        <v>7.3863636363636367</v>
      </c>
      <c r="D21" s="379">
        <f>'Employee Retention'!D27</f>
        <v>5.056338028169014</v>
      </c>
      <c r="E21" s="379"/>
      <c r="F21" s="379">
        <f>'Employee Retention'!F27</f>
        <v>5.3134328358208958</v>
      </c>
      <c r="G21" s="379"/>
      <c r="H21" s="379">
        <f>'Employee Retention'!H27</f>
        <v>11.23076923076923</v>
      </c>
      <c r="I21" s="379">
        <f>'Employee Retention'!I27</f>
        <v>10.925925925925926</v>
      </c>
      <c r="J21" s="379">
        <f>'Employee Retention'!J27</f>
        <v>10.413793103448276</v>
      </c>
      <c r="K21" s="379">
        <f>'Employee Retention'!K27</f>
        <v>9.78125</v>
      </c>
      <c r="L21" s="379">
        <f>'Employee Retention'!L27</f>
        <v>9.8181818181818183</v>
      </c>
      <c r="M21" s="379">
        <f>'Employee Retention'!M27</f>
        <v>9.1666666666666661</v>
      </c>
      <c r="N21" s="379">
        <f>'Employee Retention'!N27</f>
        <v>7.5909090909090908</v>
      </c>
      <c r="O21" s="379">
        <f>'Employee Retention'!O27</f>
        <v>6.88</v>
      </c>
      <c r="P21" s="379">
        <f>'Employee Retention'!P27</f>
        <v>6.6415094339622645</v>
      </c>
      <c r="Q21" s="379">
        <f>'Employee Retention'!Q27</f>
        <v>6.4107142857142856</v>
      </c>
      <c r="R21" s="379">
        <f>'Employee Retention'!R27</f>
        <v>6.1525423728813555</v>
      </c>
      <c r="S21" s="379">
        <f>'Employee Retention'!S27</f>
        <v>5.918032786885246</v>
      </c>
      <c r="T21" s="379">
        <f>'Employee Retention'!T27</f>
        <v>5.8095238095238093</v>
      </c>
      <c r="U21" s="379">
        <f>'Employee Retention'!U27</f>
        <v>5.921875</v>
      </c>
      <c r="V21" s="379">
        <f>'Employee Retention'!V27</f>
        <v>6.015625</v>
      </c>
      <c r="W21" s="379">
        <f>'Employee Retention'!W27</f>
        <v>5.9090909090909092</v>
      </c>
      <c r="X21" s="379">
        <f>'Employee Retention'!X27</f>
        <v>5.6911764705882355</v>
      </c>
      <c r="Y21" s="379">
        <f>'Employee Retention'!Y27</f>
        <v>5.25</v>
      </c>
      <c r="Z21" s="379">
        <f>'Employee Retention'!Z27</f>
        <v>4.7142857142857144</v>
      </c>
      <c r="AA21" s="379">
        <f>'Employee Retention'!AA27</f>
        <v>4.4743589743589745</v>
      </c>
      <c r="AB21" s="379">
        <f>'Employee Retention'!AB27</f>
        <v>4.481012658227848</v>
      </c>
    </row>
    <row r="22" spans="2:28" s="352" customFormat="1" ht="12">
      <c r="B22" s="352" t="s">
        <v>491</v>
      </c>
      <c r="C22" s="379">
        <f>'Employee Retention'!C42</f>
        <v>12.5</v>
      </c>
      <c r="D22" s="379">
        <f>'Employee Retention'!D42</f>
        <v>12.379310344827585</v>
      </c>
      <c r="E22" s="379"/>
      <c r="F22" s="379">
        <f>'Employee Retention'!F42</f>
        <v>12.714285714285714</v>
      </c>
      <c r="G22" s="379"/>
      <c r="H22" s="379">
        <f>'Employee Retention'!H42</f>
        <v>10.814814814814815</v>
      </c>
      <c r="I22" s="379">
        <f>'Employee Retention'!I42</f>
        <v>11.346153846153847</v>
      </c>
      <c r="J22" s="379">
        <f>'Employee Retention'!J42</f>
        <v>12.08</v>
      </c>
      <c r="K22" s="379">
        <f>'Employee Retention'!K42</f>
        <v>12.038461538461538</v>
      </c>
      <c r="L22" s="379">
        <f>'Employee Retention'!L42</f>
        <v>12.461538461538462</v>
      </c>
      <c r="M22" s="379">
        <f>'Employee Retention'!M42</f>
        <v>13.2</v>
      </c>
      <c r="N22" s="379">
        <f>'Employee Retention'!N42</f>
        <v>13.916666666666666</v>
      </c>
      <c r="O22" s="379">
        <f>'Employee Retention'!O42</f>
        <v>14.333333333333334</v>
      </c>
      <c r="P22" s="379">
        <f>'Employee Retention'!P42</f>
        <v>14.666666666666666</v>
      </c>
      <c r="Q22" s="379">
        <f>'Employee Retention'!Q42</f>
        <v>14.36</v>
      </c>
      <c r="R22" s="379">
        <f>'Employee Retention'!R42</f>
        <v>13.961538461538462</v>
      </c>
      <c r="S22" s="379">
        <f>'Employee Retention'!S42</f>
        <v>13.884615384615385</v>
      </c>
      <c r="T22" s="379">
        <f>'Employee Retention'!T42</f>
        <v>14.076923076923077</v>
      </c>
      <c r="U22" s="379">
        <f>'Employee Retention'!U42</f>
        <v>14.037037037037036</v>
      </c>
      <c r="V22" s="379">
        <f>'Employee Retention'!V42</f>
        <v>12.833333333333334</v>
      </c>
      <c r="W22" s="379">
        <f>'Employee Retention'!W42</f>
        <v>11.818181818181818</v>
      </c>
      <c r="X22" s="379">
        <f>'Employee Retention'!X42</f>
        <v>11.382352941176471</v>
      </c>
      <c r="Y22" s="379">
        <f>'Employee Retention'!Y42</f>
        <v>11.454545454545455</v>
      </c>
      <c r="Z22" s="379">
        <f>'Employee Retention'!Z42</f>
        <v>11</v>
      </c>
      <c r="AA22" s="379">
        <f>'Employee Retention'!AA42</f>
        <v>9.9714285714285715</v>
      </c>
      <c r="AB22" s="379">
        <f>'Employee Retention'!AB42</f>
        <v>10.411764705882353</v>
      </c>
    </row>
    <row r="23" spans="2:28" s="352" customFormat="1" ht="12">
      <c r="B23" s="352" t="s">
        <v>1364</v>
      </c>
      <c r="C23" s="379">
        <f>'Employee Retention'!C57</f>
        <v>108.33333333333333</v>
      </c>
      <c r="D23" s="379">
        <f>'Employee Retention'!D57</f>
        <v>59.833333333333336</v>
      </c>
      <c r="E23" s="379"/>
      <c r="F23" s="379">
        <f>'Employee Retention'!F57</f>
        <v>50.857142857142854</v>
      </c>
      <c r="G23" s="379"/>
      <c r="H23" s="379">
        <f>'Employee Retention'!H57</f>
        <v>146</v>
      </c>
      <c r="I23" s="379">
        <f>'Employee Retention'!I57</f>
        <v>98.333333333333329</v>
      </c>
      <c r="J23" s="379">
        <f>'Employee Retention'!J57</f>
        <v>75.5</v>
      </c>
      <c r="K23" s="379">
        <f>'Employee Retention'!K57</f>
        <v>78.25</v>
      </c>
      <c r="L23" s="379">
        <f>'Employee Retention'!L57</f>
        <v>81</v>
      </c>
      <c r="M23" s="379">
        <f>'Employee Retention'!M57</f>
        <v>82.5</v>
      </c>
      <c r="N23" s="379">
        <f>'Employee Retention'!N57</f>
        <v>83.5</v>
      </c>
      <c r="O23" s="379">
        <f>'Employee Retention'!O57</f>
        <v>86</v>
      </c>
      <c r="P23" s="379">
        <f>'Employee Retention'!P57</f>
        <v>70.400000000000006</v>
      </c>
      <c r="Q23" s="379">
        <f>'Employee Retention'!Q57</f>
        <v>59.833333333333336</v>
      </c>
      <c r="R23" s="379">
        <f>'Employee Retention'!R57</f>
        <v>60.5</v>
      </c>
      <c r="S23" s="379">
        <f>'Employee Retention'!S57</f>
        <v>72.2</v>
      </c>
      <c r="T23" s="379">
        <f>'Employee Retention'!T57</f>
        <v>91.5</v>
      </c>
      <c r="U23" s="379">
        <f>'Employee Retention'!U57</f>
        <v>63.166666666666664</v>
      </c>
      <c r="V23" s="379">
        <f>'Employee Retention'!V57</f>
        <v>48.125</v>
      </c>
      <c r="W23" s="379">
        <f>'Employee Retention'!W57</f>
        <v>48.75</v>
      </c>
      <c r="X23" s="379">
        <f>'Employee Retention'!X57</f>
        <v>48.375</v>
      </c>
      <c r="Y23" s="379">
        <f>'Employee Retention'!Y57</f>
        <v>47.25</v>
      </c>
      <c r="Z23" s="379">
        <f>'Employee Retention'!Z57</f>
        <v>45.375</v>
      </c>
      <c r="AA23" s="379">
        <f>'Employee Retention'!AA57</f>
        <v>43.625</v>
      </c>
      <c r="AB23" s="379">
        <f>'Employee Retention'!AB57</f>
        <v>44.25</v>
      </c>
    </row>
    <row r="24" spans="2:28" s="352" customFormat="1" ht="3.95" customHeight="1"/>
    <row r="25" spans="2:28" s="352" customFormat="1" ht="12">
      <c r="B25" s="377" t="s">
        <v>1885</v>
      </c>
      <c r="C25" s="351"/>
      <c r="D25" s="351"/>
      <c r="F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  <c r="AA25" s="351"/>
      <c r="AB25" s="351"/>
    </row>
    <row r="26" spans="2:28" s="352" customFormat="1" ht="12">
      <c r="B26" s="352" t="s">
        <v>490</v>
      </c>
      <c r="C26" s="378">
        <f t="shared" ref="C26:D28" si="0">C16/C21</f>
        <v>1.6672615384615384</v>
      </c>
      <c r="D26" s="378">
        <f t="shared" si="0"/>
        <v>2.4355571030640668</v>
      </c>
      <c r="E26" s="378"/>
      <c r="F26" s="378">
        <f>F16/F21</f>
        <v>2.3177106741573033</v>
      </c>
      <c r="G26" s="378"/>
      <c r="H26" s="378">
        <f>H16/H21</f>
        <v>1.0965410958904109</v>
      </c>
      <c r="I26" s="378">
        <f t="shared" ref="I26:AB26" si="1">I16/I21</f>
        <v>1.1271355932203391</v>
      </c>
      <c r="J26" s="378">
        <f t="shared" si="1"/>
        <v>1.1825662251655629</v>
      </c>
      <c r="K26" s="378">
        <f t="shared" si="1"/>
        <v>1.2590415335463259</v>
      </c>
      <c r="L26" s="378">
        <f t="shared" si="1"/>
        <v>1.2543055555555556</v>
      </c>
      <c r="M26" s="378">
        <f t="shared" si="1"/>
        <v>1.3434545454545455</v>
      </c>
      <c r="N26" s="378">
        <f t="shared" si="1"/>
        <v>1.6223353293413174</v>
      </c>
      <c r="O26" s="378">
        <f t="shared" si="1"/>
        <v>1.7899709302325582</v>
      </c>
      <c r="P26" s="378">
        <f t="shared" si="1"/>
        <v>1.8542471590909089</v>
      </c>
      <c r="Q26" s="378">
        <f t="shared" si="1"/>
        <v>1.9210027855153202</v>
      </c>
      <c r="R26" s="378">
        <f t="shared" si="1"/>
        <v>2.0016115702479338</v>
      </c>
      <c r="S26" s="378">
        <f t="shared" si="1"/>
        <v>2.0809279778393353</v>
      </c>
      <c r="T26" s="378">
        <f t="shared" si="1"/>
        <v>2.1197950819672129</v>
      </c>
      <c r="U26" s="378">
        <f t="shared" si="1"/>
        <v>2.0795778364116093</v>
      </c>
      <c r="V26" s="378">
        <f t="shared" si="1"/>
        <v>2.0471688311688312</v>
      </c>
      <c r="W26" s="378">
        <f t="shared" si="1"/>
        <v>2.0840769230769229</v>
      </c>
      <c r="X26" s="378">
        <f t="shared" si="1"/>
        <v>2.1638759689922478</v>
      </c>
      <c r="Y26" s="378">
        <f t="shared" si="1"/>
        <v>2.3457142857142856</v>
      </c>
      <c r="Z26" s="378">
        <f t="shared" si="1"/>
        <v>2.6122727272727273</v>
      </c>
      <c r="AA26" s="378">
        <f t="shared" si="1"/>
        <v>2.7523495702005727</v>
      </c>
      <c r="AB26" s="378">
        <f t="shared" si="1"/>
        <v>2.7482627118644065</v>
      </c>
    </row>
    <row r="27" spans="2:28" s="352" customFormat="1" ht="12">
      <c r="B27" s="352" t="s">
        <v>491</v>
      </c>
      <c r="C27" s="378">
        <f t="shared" si="0"/>
        <v>1.9019999999999999</v>
      </c>
      <c r="D27" s="378">
        <f t="shared" si="0"/>
        <v>1.9205431754874651</v>
      </c>
      <c r="E27" s="378"/>
      <c r="F27" s="378">
        <f>F17/F22</f>
        <v>1.8699438202247192</v>
      </c>
      <c r="G27" s="378"/>
      <c r="H27" s="378">
        <f>H17/H22</f>
        <v>2.1983732876712327</v>
      </c>
      <c r="I27" s="378">
        <f t="shared" ref="I27:AB27" si="2">I17/I22</f>
        <v>2.0954237288135591</v>
      </c>
      <c r="J27" s="378">
        <f t="shared" si="2"/>
        <v>1.9681291390728475</v>
      </c>
      <c r="K27" s="378">
        <f t="shared" si="2"/>
        <v>1.9749201277955271</v>
      </c>
      <c r="L27" s="378">
        <f t="shared" si="2"/>
        <v>1.9078703703703703</v>
      </c>
      <c r="M27" s="378">
        <f t="shared" si="2"/>
        <v>1.8011363636363635</v>
      </c>
      <c r="N27" s="378">
        <f t="shared" si="2"/>
        <v>1.7083832335329341</v>
      </c>
      <c r="O27" s="378">
        <f t="shared" si="2"/>
        <v>1.6587209302325581</v>
      </c>
      <c r="P27" s="378">
        <f t="shared" si="2"/>
        <v>1.6210227272727273</v>
      </c>
      <c r="Q27" s="378">
        <f t="shared" si="2"/>
        <v>1.6556406685236769</v>
      </c>
      <c r="R27" s="378">
        <f t="shared" si="2"/>
        <v>1.7028925619834709</v>
      </c>
      <c r="S27" s="378">
        <f t="shared" si="2"/>
        <v>1.7123268698060941</v>
      </c>
      <c r="T27" s="378">
        <f t="shared" si="2"/>
        <v>1.6889344262295081</v>
      </c>
      <c r="U27" s="378">
        <f t="shared" si="2"/>
        <v>1.6937335092348285</v>
      </c>
      <c r="V27" s="378">
        <f t="shared" si="2"/>
        <v>1.8525974025974024</v>
      </c>
      <c r="W27" s="378">
        <f t="shared" si="2"/>
        <v>2.0117307692307689</v>
      </c>
      <c r="X27" s="378">
        <f t="shared" si="2"/>
        <v>2.0887596899224805</v>
      </c>
      <c r="Y27" s="378">
        <f t="shared" si="2"/>
        <v>2.075595238095238</v>
      </c>
      <c r="Z27" s="378">
        <f t="shared" si="2"/>
        <v>2.1613636363636362</v>
      </c>
      <c r="AA27" s="378">
        <f t="shared" si="2"/>
        <v>2.3843123209169055</v>
      </c>
      <c r="AB27" s="378">
        <f t="shared" si="2"/>
        <v>2.2834745762711863</v>
      </c>
    </row>
    <row r="28" spans="2:28" s="352" customFormat="1" ht="12">
      <c r="B28" s="352" t="s">
        <v>1364</v>
      </c>
      <c r="C28" s="378">
        <f t="shared" si="0"/>
        <v>1.073076923076923</v>
      </c>
      <c r="D28" s="378">
        <f t="shared" si="0"/>
        <v>1.9428969359331476</v>
      </c>
      <c r="E28" s="378"/>
      <c r="F28" s="378">
        <f>F18/F23</f>
        <v>2.2858146067415732</v>
      </c>
      <c r="G28" s="378"/>
      <c r="H28" s="378">
        <f>H18/H23</f>
        <v>0.79623287671232879</v>
      </c>
      <c r="I28" s="378">
        <f t="shared" ref="I28:AB28" si="3">I18/I23</f>
        <v>1.1822033898305084</v>
      </c>
      <c r="J28" s="378">
        <f t="shared" si="3"/>
        <v>1.5397350993377483</v>
      </c>
      <c r="K28" s="378">
        <f t="shared" si="3"/>
        <v>1.4856230031948883</v>
      </c>
      <c r="L28" s="378">
        <f t="shared" si="3"/>
        <v>1.4351851851851851</v>
      </c>
      <c r="M28" s="378">
        <f t="shared" si="3"/>
        <v>1.4090909090909092</v>
      </c>
      <c r="N28" s="378">
        <f t="shared" si="3"/>
        <v>1.3922155688622755</v>
      </c>
      <c r="O28" s="378">
        <f t="shared" si="3"/>
        <v>1.3517441860465116</v>
      </c>
      <c r="P28" s="378">
        <f t="shared" si="3"/>
        <v>1.6512784090909089</v>
      </c>
      <c r="Q28" s="378">
        <f t="shared" si="3"/>
        <v>1.9428969359331476</v>
      </c>
      <c r="R28" s="378">
        <f t="shared" si="3"/>
        <v>1.9214876033057851</v>
      </c>
      <c r="S28" s="378">
        <f t="shared" si="3"/>
        <v>1.6101108033240996</v>
      </c>
      <c r="T28" s="378">
        <f t="shared" si="3"/>
        <v>1.2704918032786885</v>
      </c>
      <c r="U28" s="378">
        <f t="shared" si="3"/>
        <v>1.8403693931398417</v>
      </c>
      <c r="V28" s="378">
        <f t="shared" si="3"/>
        <v>2.4155844155844157</v>
      </c>
      <c r="W28" s="378">
        <f t="shared" si="3"/>
        <v>2.3846153846153846</v>
      </c>
      <c r="X28" s="378">
        <f t="shared" si="3"/>
        <v>2.4031007751937983</v>
      </c>
      <c r="Y28" s="378">
        <f t="shared" si="3"/>
        <v>2.4603174603174605</v>
      </c>
      <c r="Z28" s="378">
        <f t="shared" si="3"/>
        <v>2.5619834710743801</v>
      </c>
      <c r="AA28" s="378">
        <f t="shared" si="3"/>
        <v>2.664756446991404</v>
      </c>
      <c r="AB28" s="378">
        <f t="shared" si="3"/>
        <v>2.6271186440677967</v>
      </c>
    </row>
    <row r="29" spans="2:28" s="352" customFormat="1" ht="12">
      <c r="B29" s="60" t="s">
        <v>1886</v>
      </c>
      <c r="C29" s="381">
        <f>SUM(C26:C28)</f>
        <v>4.6423384615384613</v>
      </c>
      <c r="D29" s="381">
        <f>SUM(D26:D28)</f>
        <v>6.2989972144846789</v>
      </c>
      <c r="E29" s="383"/>
      <c r="F29" s="381">
        <f>SUM(F26:F28)</f>
        <v>6.4734691011235963</v>
      </c>
      <c r="G29" s="383"/>
      <c r="H29" s="381">
        <f>SUM(H26:H28)</f>
        <v>4.0911472602739725</v>
      </c>
      <c r="I29" s="381">
        <f t="shared" ref="I29:AB29" si="4">SUM(I26:I28)</f>
        <v>4.4047627118644064</v>
      </c>
      <c r="J29" s="381">
        <f t="shared" si="4"/>
        <v>4.6904304635761589</v>
      </c>
      <c r="K29" s="381">
        <f t="shared" si="4"/>
        <v>4.7195846645367414</v>
      </c>
      <c r="L29" s="381">
        <f t="shared" si="4"/>
        <v>4.5973611111111108</v>
      </c>
      <c r="M29" s="381">
        <f t="shared" si="4"/>
        <v>4.5536818181818184</v>
      </c>
      <c r="N29" s="381">
        <f t="shared" si="4"/>
        <v>4.722934131736527</v>
      </c>
      <c r="O29" s="381">
        <f t="shared" si="4"/>
        <v>4.8004360465116278</v>
      </c>
      <c r="P29" s="381">
        <f t="shared" si="4"/>
        <v>5.1265482954545449</v>
      </c>
      <c r="Q29" s="381">
        <f t="shared" si="4"/>
        <v>5.5195403899721445</v>
      </c>
      <c r="R29" s="381">
        <f t="shared" si="4"/>
        <v>5.6259917355371893</v>
      </c>
      <c r="S29" s="381">
        <f t="shared" si="4"/>
        <v>5.4033656509695289</v>
      </c>
      <c r="T29" s="381">
        <f t="shared" si="4"/>
        <v>5.0792213114754095</v>
      </c>
      <c r="U29" s="381">
        <f t="shared" si="4"/>
        <v>5.6136807387862797</v>
      </c>
      <c r="V29" s="381">
        <f t="shared" si="4"/>
        <v>6.3153506493506493</v>
      </c>
      <c r="W29" s="381">
        <f t="shared" si="4"/>
        <v>6.480423076923076</v>
      </c>
      <c r="X29" s="381">
        <f t="shared" si="4"/>
        <v>6.655736434108527</v>
      </c>
      <c r="Y29" s="381">
        <f t="shared" si="4"/>
        <v>6.8816269841269841</v>
      </c>
      <c r="Z29" s="381">
        <f t="shared" si="4"/>
        <v>7.3356198347107435</v>
      </c>
      <c r="AA29" s="381">
        <f t="shared" si="4"/>
        <v>7.8014183381088831</v>
      </c>
      <c r="AB29" s="386">
        <f t="shared" si="4"/>
        <v>7.65885593220339</v>
      </c>
    </row>
    <row r="30" spans="2:28" s="352" customFormat="1" ht="3.95" customHeight="1"/>
    <row r="31" spans="2:28" s="352" customFormat="1" ht="12">
      <c r="B31" s="377" t="s">
        <v>1887</v>
      </c>
      <c r="C31" s="351"/>
      <c r="D31" s="351"/>
      <c r="F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351"/>
      <c r="AB31" s="351"/>
    </row>
    <row r="32" spans="2:28" s="352" customFormat="1" ht="12">
      <c r="B32" s="352" t="s">
        <v>490</v>
      </c>
      <c r="C32" s="380">
        <f t="shared" ref="C32:D35" si="5">C26/C$8</f>
        <v>0.12816472993390471</v>
      </c>
      <c r="D32" s="380">
        <f t="shared" si="5"/>
        <v>0.15870228924002383</v>
      </c>
      <c r="E32" s="380"/>
      <c r="F32" s="380">
        <f>F26/F$8</f>
        <v>0.15607808767725664</v>
      </c>
      <c r="G32" s="380"/>
      <c r="H32" s="380">
        <f>H26/H$8</f>
        <v>9.1549069091586999E-2</v>
      </c>
      <c r="I32" s="380">
        <f t="shared" ref="I32:AB32" si="6">I26/I$8</f>
        <v>9.1377021163358427E-2</v>
      </c>
      <c r="J32" s="380">
        <f t="shared" si="6"/>
        <v>9.2948860192203109E-2</v>
      </c>
      <c r="K32" s="380">
        <f t="shared" si="6"/>
        <v>9.7522995114505837E-2</v>
      </c>
      <c r="L32" s="380">
        <f t="shared" si="6"/>
        <v>9.7187154860587502E-2</v>
      </c>
      <c r="M32" s="380">
        <f t="shared" si="6"/>
        <v>0.10306031723738884</v>
      </c>
      <c r="N32" s="380">
        <f t="shared" si="6"/>
        <v>0.12502151756307531</v>
      </c>
      <c r="O32" s="380">
        <f t="shared" si="6"/>
        <v>0.13909580511538969</v>
      </c>
      <c r="P32" s="380">
        <f t="shared" si="6"/>
        <v>0.14320741805276149</v>
      </c>
      <c r="Q32" s="380">
        <f t="shared" si="6"/>
        <v>0.14559327142735476</v>
      </c>
      <c r="R32" s="380">
        <f t="shared" si="6"/>
        <v>0.1486056623288626</v>
      </c>
      <c r="S32" s="380">
        <f t="shared" si="6"/>
        <v>0.15053606964182156</v>
      </c>
      <c r="T32" s="380">
        <f t="shared" si="6"/>
        <v>0.15103921803491965</v>
      </c>
      <c r="U32" s="380">
        <f t="shared" si="6"/>
        <v>0.14897933279215678</v>
      </c>
      <c r="V32" s="380">
        <f t="shared" si="6"/>
        <v>0.14574180522616631</v>
      </c>
      <c r="W32" s="380">
        <f t="shared" si="6"/>
        <v>0.14734943316832758</v>
      </c>
      <c r="X32" s="380">
        <f t="shared" si="6"/>
        <v>0.14804264227749672</v>
      </c>
      <c r="Y32" s="380">
        <f t="shared" si="6"/>
        <v>0.15378237096535563</v>
      </c>
      <c r="Z32" s="380">
        <f t="shared" si="6"/>
        <v>0.16394094661958097</v>
      </c>
      <c r="AA32" s="380">
        <f t="shared" si="6"/>
        <v>0.16586816763431994</v>
      </c>
      <c r="AB32" s="380">
        <f t="shared" si="6"/>
        <v>0.16524469677448256</v>
      </c>
    </row>
    <row r="33" spans="2:28" s="352" customFormat="1" ht="12">
      <c r="B33" s="352" t="s">
        <v>491</v>
      </c>
      <c r="C33" s="380">
        <f t="shared" si="5"/>
        <v>0.14620940429011772</v>
      </c>
      <c r="D33" s="380">
        <f t="shared" si="5"/>
        <v>0.1251436881322622</v>
      </c>
      <c r="E33" s="380"/>
      <c r="F33" s="380">
        <f>F27/F$8</f>
        <v>0.1259248010456242</v>
      </c>
      <c r="G33" s="380"/>
      <c r="H33" s="380">
        <f>H27/H$8</f>
        <v>0.18353988624447043</v>
      </c>
      <c r="I33" s="380">
        <f t="shared" ref="I33:AB33" si="7">I27/I$8</f>
        <v>0.16987625940100148</v>
      </c>
      <c r="J33" s="380">
        <f t="shared" si="7"/>
        <v>0.15469354383283831</v>
      </c>
      <c r="K33" s="380">
        <f t="shared" si="7"/>
        <v>0.15297360797308107</v>
      </c>
      <c r="L33" s="380">
        <f t="shared" si="7"/>
        <v>0.1478272118925483</v>
      </c>
      <c r="M33" s="380">
        <f t="shared" si="7"/>
        <v>0.13817042463565885</v>
      </c>
      <c r="N33" s="380">
        <f t="shared" si="7"/>
        <v>0.1316526001577728</v>
      </c>
      <c r="O33" s="380">
        <f t="shared" si="7"/>
        <v>0.12889657555638059</v>
      </c>
      <c r="P33" s="380">
        <f t="shared" si="7"/>
        <v>0.1251950033950095</v>
      </c>
      <c r="Q33" s="380">
        <f t="shared" si="7"/>
        <v>0.12548141161277476</v>
      </c>
      <c r="R33" s="380">
        <f t="shared" si="7"/>
        <v>0.1264278648314876</v>
      </c>
      <c r="S33" s="380">
        <f t="shared" si="7"/>
        <v>0.12387115732392456</v>
      </c>
      <c r="T33" s="380">
        <f t="shared" si="7"/>
        <v>0.12033962019254565</v>
      </c>
      <c r="U33" s="380">
        <f t="shared" si="7"/>
        <v>0.1213377463999762</v>
      </c>
      <c r="V33" s="380">
        <f t="shared" si="7"/>
        <v>0.13188989872305509</v>
      </c>
      <c r="W33" s="380">
        <f t="shared" si="7"/>
        <v>0.1422343797635805</v>
      </c>
      <c r="X33" s="380">
        <f t="shared" si="7"/>
        <v>0.14290352497553735</v>
      </c>
      <c r="Y33" s="380">
        <f t="shared" si="7"/>
        <v>0.13607367223817374</v>
      </c>
      <c r="Z33" s="380">
        <f t="shared" si="7"/>
        <v>0.13564280514635593</v>
      </c>
      <c r="AA33" s="380">
        <f t="shared" si="7"/>
        <v>0.14368869420522035</v>
      </c>
      <c r="AB33" s="380">
        <f t="shared" si="7"/>
        <v>0.13729839666317495</v>
      </c>
    </row>
    <row r="34" spans="2:28" s="352" customFormat="1" ht="12">
      <c r="B34" s="352" t="s">
        <v>1364</v>
      </c>
      <c r="C34" s="380">
        <f t="shared" si="5"/>
        <v>8.2488926225315146E-2</v>
      </c>
      <c r="D34" s="380">
        <f t="shared" si="5"/>
        <v>0.12660027190580206</v>
      </c>
      <c r="E34" s="380"/>
      <c r="F34" s="380">
        <f>F28/F$8</f>
        <v>0.15393015900687501</v>
      </c>
      <c r="G34" s="380"/>
      <c r="H34" s="380">
        <f>H28/H$8</f>
        <v>6.6476650000918139E-2</v>
      </c>
      <c r="I34" s="380">
        <f t="shared" ref="I34:AB34" si="8">I28/I$8</f>
        <v>9.58413742070683E-2</v>
      </c>
      <c r="J34" s="380">
        <f t="shared" si="8"/>
        <v>0.12102207845597447</v>
      </c>
      <c r="K34" s="380">
        <f t="shared" si="8"/>
        <v>0.1150735706664769</v>
      </c>
      <c r="L34" s="380">
        <f t="shared" si="8"/>
        <v>0.11120222200118896</v>
      </c>
      <c r="M34" s="380">
        <f t="shared" si="8"/>
        <v>0.10809547416291292</v>
      </c>
      <c r="N34" s="380">
        <f t="shared" si="8"/>
        <v>0.10728787079103462</v>
      </c>
      <c r="O34" s="380">
        <f t="shared" si="8"/>
        <v>0.10504189911271816</v>
      </c>
      <c r="P34" s="380">
        <f t="shared" si="8"/>
        <v>0.12753171350043685</v>
      </c>
      <c r="Q34" s="380">
        <f t="shared" si="8"/>
        <v>0.14725263444779879</v>
      </c>
      <c r="R34" s="380">
        <f t="shared" si="8"/>
        <v>0.14265701806998723</v>
      </c>
      <c r="S34" s="380">
        <f t="shared" si="8"/>
        <v>0.11647676161858959</v>
      </c>
      <c r="T34" s="380">
        <f t="shared" si="8"/>
        <v>9.0524829555178724E-2</v>
      </c>
      <c r="U34" s="380">
        <f t="shared" si="8"/>
        <v>0.13184262665262048</v>
      </c>
      <c r="V34" s="380">
        <f t="shared" si="8"/>
        <v>0.1719700046441518</v>
      </c>
      <c r="W34" s="380">
        <f t="shared" si="8"/>
        <v>0.16859825151213062</v>
      </c>
      <c r="X34" s="380">
        <f t="shared" si="8"/>
        <v>0.16440932544968112</v>
      </c>
      <c r="Y34" s="380">
        <f t="shared" si="8"/>
        <v>0.16129562525125271</v>
      </c>
      <c r="Z34" s="380">
        <f t="shared" si="8"/>
        <v>0.16078489473423321</v>
      </c>
      <c r="AA34" s="380">
        <f t="shared" si="8"/>
        <v>0.16058943741728096</v>
      </c>
      <c r="AB34" s="380">
        <f t="shared" si="8"/>
        <v>0.15796067161100108</v>
      </c>
    </row>
    <row r="35" spans="2:28" s="352" customFormat="1" ht="12">
      <c r="B35" s="60" t="s">
        <v>1888</v>
      </c>
      <c r="C35" s="382">
        <f t="shared" si="5"/>
        <v>0.35686306044933758</v>
      </c>
      <c r="D35" s="382">
        <f t="shared" si="5"/>
        <v>0.41044624927808804</v>
      </c>
      <c r="E35" s="384"/>
      <c r="F35" s="382">
        <f>F29/F$8</f>
        <v>0.43593304772975588</v>
      </c>
      <c r="G35" s="384"/>
      <c r="H35" s="382">
        <f>H29/H$8</f>
        <v>0.34156560533697555</v>
      </c>
      <c r="I35" s="382">
        <f t="shared" ref="I35:AB35" si="9">I29/I$8</f>
        <v>0.35709465477142821</v>
      </c>
      <c r="J35" s="382">
        <f t="shared" si="9"/>
        <v>0.36866448248101591</v>
      </c>
      <c r="K35" s="382">
        <f t="shared" si="9"/>
        <v>0.36557017375406381</v>
      </c>
      <c r="L35" s="382">
        <f t="shared" si="9"/>
        <v>0.35621658875432471</v>
      </c>
      <c r="M35" s="382">
        <f t="shared" si="9"/>
        <v>0.34932621603596065</v>
      </c>
      <c r="N35" s="382">
        <f t="shared" si="9"/>
        <v>0.36396198851188277</v>
      </c>
      <c r="O35" s="382">
        <f t="shared" si="9"/>
        <v>0.37303427978448844</v>
      </c>
      <c r="P35" s="382">
        <f t="shared" si="9"/>
        <v>0.39593413494820784</v>
      </c>
      <c r="Q35" s="382">
        <f t="shared" si="9"/>
        <v>0.41832731748792829</v>
      </c>
      <c r="R35" s="382">
        <f t="shared" si="9"/>
        <v>0.41769054523033738</v>
      </c>
      <c r="S35" s="382">
        <f t="shared" si="9"/>
        <v>0.39088398858433571</v>
      </c>
      <c r="T35" s="382">
        <f t="shared" si="9"/>
        <v>0.36190366778264399</v>
      </c>
      <c r="U35" s="382">
        <f t="shared" si="9"/>
        <v>0.40215970584475347</v>
      </c>
      <c r="V35" s="382">
        <f t="shared" si="9"/>
        <v>0.44960170859337323</v>
      </c>
      <c r="W35" s="382">
        <f t="shared" si="9"/>
        <v>0.45818206444403864</v>
      </c>
      <c r="X35" s="382">
        <f t="shared" si="9"/>
        <v>0.45535549270271519</v>
      </c>
      <c r="Y35" s="382">
        <f t="shared" si="9"/>
        <v>0.45115166845478205</v>
      </c>
      <c r="Z35" s="382">
        <f t="shared" si="9"/>
        <v>0.46036864650017012</v>
      </c>
      <c r="AA35" s="382">
        <f t="shared" si="9"/>
        <v>0.47014629925682133</v>
      </c>
      <c r="AB35" s="387">
        <f t="shared" si="9"/>
        <v>0.46050376504865859</v>
      </c>
    </row>
    <row r="36" spans="2:28" s="352" customFormat="1" ht="12"/>
    <row r="37" spans="2:28" s="352" customFormat="1" ht="12">
      <c r="B37" s="97" t="s">
        <v>1889</v>
      </c>
    </row>
    <row r="38" spans="2:28" s="352" customFormat="1" ht="12">
      <c r="B38" s="97" t="s">
        <v>1890</v>
      </c>
    </row>
  </sheetData>
  <conditionalFormatting sqref="A7:XFD35">
    <cfRule type="expression" dxfId="4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8" customWidth="1"/>
    <col min="2" max="2" width="27.85546875" style="328" bestFit="1" customWidth="1"/>
    <col min="3" max="5" width="9.140625" style="328"/>
    <col min="6" max="7" width="9.5703125" style="328" customWidth="1"/>
    <col min="8" max="16384" width="9.140625" style="328"/>
  </cols>
  <sheetData>
    <row r="2" spans="2:7" ht="16.5">
      <c r="B2" s="37" t="str">
        <f>+'Employee Retention'!B2</f>
        <v>Keystone Bookkeepers</v>
      </c>
    </row>
    <row r="3" spans="2:7">
      <c r="B3" s="38" t="s">
        <v>1823</v>
      </c>
      <c r="C3" s="329"/>
      <c r="D3" s="329"/>
      <c r="E3" s="329"/>
      <c r="F3" s="329"/>
      <c r="G3" s="329"/>
    </row>
    <row r="5" spans="2:7">
      <c r="B5" s="148" t="s">
        <v>1858</v>
      </c>
    </row>
    <row r="25" spans="2:2">
      <c r="B25" s="148" t="s">
        <v>1859</v>
      </c>
    </row>
    <row r="27" spans="2:2" ht="12" customHeight="1"/>
    <row r="50" spans="2:6">
      <c r="C50" s="76" t="s">
        <v>1832</v>
      </c>
      <c r="E50" s="76" t="s">
        <v>1830</v>
      </c>
      <c r="F50" s="76" t="s">
        <v>1831</v>
      </c>
    </row>
    <row r="51" spans="2:6">
      <c r="B51" s="328" t="s">
        <v>1824</v>
      </c>
      <c r="C51" s="328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8" t="s">
        <v>1825</v>
      </c>
      <c r="C52" s="328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8" t="s">
        <v>1826</v>
      </c>
      <c r="C53" s="328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20">
        <v>365</v>
      </c>
    </row>
    <row r="54" spans="2:6">
      <c r="B54" s="328" t="s">
        <v>1827</v>
      </c>
      <c r="C54" s="328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20">
        <f>F53*2</f>
        <v>730</v>
      </c>
    </row>
    <row r="55" spans="2:6">
      <c r="B55" s="328" t="s">
        <v>1828</v>
      </c>
      <c r="C55" s="328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30" t="s">
        <v>1829</v>
      </c>
      <c r="C56" s="330">
        <f>COUNTIFS('Combined Employee Worksheet'!$H:$H,"Inactive")</f>
        <v>51</v>
      </c>
    </row>
    <row r="58" spans="2:6">
      <c r="C58" s="76" t="s">
        <v>996</v>
      </c>
    </row>
    <row r="59" spans="2:6">
      <c r="B59" s="328" t="s">
        <v>1824</v>
      </c>
      <c r="C59" s="331">
        <f t="shared" ref="C59:C64" ca="1" si="0">C51/$C$56</f>
        <v>0.43137254901960786</v>
      </c>
    </row>
    <row r="60" spans="2:6">
      <c r="B60" s="328" t="s">
        <v>1825</v>
      </c>
      <c r="C60" s="331">
        <f t="shared" ca="1" si="0"/>
        <v>0.19607843137254902</v>
      </c>
    </row>
    <row r="61" spans="2:6">
      <c r="B61" s="328" t="s">
        <v>1826</v>
      </c>
      <c r="C61" s="331">
        <f t="shared" ca="1" si="0"/>
        <v>0.17647058823529413</v>
      </c>
    </row>
    <row r="62" spans="2:6">
      <c r="B62" s="328" t="s">
        <v>1827</v>
      </c>
      <c r="C62" s="331">
        <f t="shared" ca="1" si="0"/>
        <v>0.13725490196078433</v>
      </c>
    </row>
    <row r="63" spans="2:6">
      <c r="B63" s="328" t="s">
        <v>1828</v>
      </c>
      <c r="C63" s="331">
        <f t="shared" ca="1" si="0"/>
        <v>5.8823529411764705E-2</v>
      </c>
    </row>
    <row r="64" spans="2:6">
      <c r="B64" s="330" t="s">
        <v>1829</v>
      </c>
      <c r="C64" s="332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1536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148" t="s">
        <v>1546</v>
      </c>
    </row>
    <row r="32" spans="2:2">
      <c r="B32" s="148" t="s">
        <v>1839</v>
      </c>
    </row>
    <row r="58" spans="2:2">
      <c r="B58" s="148" t="s">
        <v>1838</v>
      </c>
    </row>
    <row r="85" spans="2:2">
      <c r="B85" s="148" t="s">
        <v>1840</v>
      </c>
    </row>
    <row r="112" spans="2:23">
      <c r="B112" s="267" t="s">
        <v>1833</v>
      </c>
      <c r="C112" s="192">
        <v>45658</v>
      </c>
      <c r="D112" s="192">
        <f t="shared" ref="D112:I112" si="0">EOMONTH(C112,0)+1</f>
        <v>45689</v>
      </c>
      <c r="E112" s="192">
        <f t="shared" si="0"/>
        <v>45717</v>
      </c>
      <c r="F112" s="192">
        <f t="shared" si="0"/>
        <v>45748</v>
      </c>
      <c r="G112" s="192">
        <f t="shared" si="0"/>
        <v>45778</v>
      </c>
      <c r="H112" s="192">
        <f t="shared" si="0"/>
        <v>45809</v>
      </c>
      <c r="I112" s="192">
        <f t="shared" si="0"/>
        <v>45839</v>
      </c>
      <c r="J112" s="192">
        <v>45870</v>
      </c>
      <c r="K112" s="192">
        <f t="shared" ref="K112:W112" si="1">EOMONTH(J112,0)+1</f>
        <v>45901</v>
      </c>
      <c r="L112" s="192">
        <f t="shared" si="1"/>
        <v>45931</v>
      </c>
      <c r="M112" s="192">
        <f t="shared" si="1"/>
        <v>45962</v>
      </c>
      <c r="N112" s="192">
        <f t="shared" si="1"/>
        <v>45992</v>
      </c>
      <c r="O112" s="192">
        <f t="shared" si="1"/>
        <v>46023</v>
      </c>
      <c r="P112" s="192">
        <f t="shared" si="1"/>
        <v>46054</v>
      </c>
      <c r="Q112" s="192">
        <f t="shared" si="1"/>
        <v>46082</v>
      </c>
      <c r="R112" s="192">
        <f t="shared" si="1"/>
        <v>46113</v>
      </c>
      <c r="S112" s="192">
        <f t="shared" si="1"/>
        <v>46143</v>
      </c>
      <c r="T112" s="192">
        <f t="shared" si="1"/>
        <v>46174</v>
      </c>
      <c r="U112" s="192">
        <f t="shared" si="1"/>
        <v>46204</v>
      </c>
      <c r="V112" s="192">
        <f t="shared" si="1"/>
        <v>46235</v>
      </c>
      <c r="W112" s="192">
        <f t="shared" si="1"/>
        <v>46266</v>
      </c>
    </row>
    <row r="113" spans="2:23">
      <c r="B113" s="328" t="s">
        <v>1834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6" t="s">
        <v>1538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6" t="s">
        <v>1539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6" t="s">
        <v>1540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7" t="str">
        <f>+B112</f>
        <v>Total Employee Staffing</v>
      </c>
      <c r="C118" s="192">
        <v>45658</v>
      </c>
      <c r="D118" s="192">
        <f t="shared" ref="D118:I118" si="2">EOMONTH(C118,0)+1</f>
        <v>45689</v>
      </c>
      <c r="E118" s="192">
        <f t="shared" si="2"/>
        <v>45717</v>
      </c>
      <c r="F118" s="192">
        <f t="shared" si="2"/>
        <v>45748</v>
      </c>
      <c r="G118" s="192">
        <f t="shared" si="2"/>
        <v>45778</v>
      </c>
      <c r="H118" s="192">
        <f t="shared" si="2"/>
        <v>45809</v>
      </c>
      <c r="I118" s="192">
        <f t="shared" si="2"/>
        <v>45839</v>
      </c>
      <c r="J118" s="192">
        <v>45870</v>
      </c>
      <c r="K118" s="192">
        <f t="shared" ref="K118:W118" si="3">EOMONTH(J118,0)+1</f>
        <v>45901</v>
      </c>
      <c r="L118" s="192">
        <f t="shared" si="3"/>
        <v>45931</v>
      </c>
      <c r="M118" s="192">
        <f t="shared" si="3"/>
        <v>45962</v>
      </c>
      <c r="N118" s="192">
        <f t="shared" si="3"/>
        <v>45992</v>
      </c>
      <c r="O118" s="192">
        <f t="shared" si="3"/>
        <v>46023</v>
      </c>
      <c r="P118" s="192">
        <f t="shared" si="3"/>
        <v>46054</v>
      </c>
      <c r="Q118" s="192">
        <f t="shared" si="3"/>
        <v>46082</v>
      </c>
      <c r="R118" s="192">
        <f t="shared" si="3"/>
        <v>46113</v>
      </c>
      <c r="S118" s="192">
        <f t="shared" si="3"/>
        <v>46143</v>
      </c>
      <c r="T118" s="192">
        <f t="shared" si="3"/>
        <v>46174</v>
      </c>
      <c r="U118" s="192">
        <f t="shared" si="3"/>
        <v>46204</v>
      </c>
      <c r="V118" s="192">
        <f t="shared" si="3"/>
        <v>46235</v>
      </c>
      <c r="W118" s="192">
        <f t="shared" si="3"/>
        <v>46266</v>
      </c>
    </row>
    <row r="119" spans="2:23">
      <c r="B119" s="328" t="s">
        <v>1835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8" t="s">
        <v>1837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7" t="s">
        <v>1836</v>
      </c>
      <c r="C122" s="192">
        <v>45658</v>
      </c>
      <c r="D122" s="192">
        <f t="shared" ref="D122:I122" si="4">EOMONTH(C122,0)+1</f>
        <v>45689</v>
      </c>
      <c r="E122" s="192">
        <f t="shared" si="4"/>
        <v>45717</v>
      </c>
      <c r="F122" s="192">
        <f t="shared" si="4"/>
        <v>45748</v>
      </c>
      <c r="G122" s="192">
        <f t="shared" si="4"/>
        <v>45778</v>
      </c>
      <c r="H122" s="192">
        <f t="shared" si="4"/>
        <v>45809</v>
      </c>
      <c r="I122" s="192">
        <f t="shared" si="4"/>
        <v>45839</v>
      </c>
      <c r="J122" s="192">
        <v>45870</v>
      </c>
      <c r="K122" s="192">
        <f t="shared" ref="K122:W122" si="5">EOMONTH(J122,0)+1</f>
        <v>45901</v>
      </c>
      <c r="L122" s="192">
        <f t="shared" si="5"/>
        <v>45931</v>
      </c>
      <c r="M122" s="192">
        <f t="shared" si="5"/>
        <v>45962</v>
      </c>
      <c r="N122" s="192">
        <f t="shared" si="5"/>
        <v>45992</v>
      </c>
      <c r="O122" s="192">
        <f t="shared" si="5"/>
        <v>46023</v>
      </c>
      <c r="P122" s="192">
        <f t="shared" si="5"/>
        <v>46054</v>
      </c>
      <c r="Q122" s="192">
        <f t="shared" si="5"/>
        <v>46082</v>
      </c>
      <c r="R122" s="192">
        <f t="shared" si="5"/>
        <v>46113</v>
      </c>
      <c r="S122" s="192">
        <f t="shared" si="5"/>
        <v>46143</v>
      </c>
      <c r="T122" s="192">
        <f t="shared" si="5"/>
        <v>46174</v>
      </c>
      <c r="U122" s="192">
        <f t="shared" si="5"/>
        <v>46204</v>
      </c>
      <c r="V122" s="192">
        <f t="shared" si="5"/>
        <v>46235</v>
      </c>
      <c r="W122" s="192">
        <f t="shared" si="5"/>
        <v>46266</v>
      </c>
    </row>
    <row r="123" spans="2:23">
      <c r="B123" s="266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6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7" t="s">
        <v>1515</v>
      </c>
      <c r="C126" s="192">
        <v>45658</v>
      </c>
      <c r="D126" s="192">
        <f t="shared" ref="D126:I126" si="6">EOMONTH(C126,0)+1</f>
        <v>45689</v>
      </c>
      <c r="E126" s="192">
        <f t="shared" si="6"/>
        <v>45717</v>
      </c>
      <c r="F126" s="192">
        <f t="shared" si="6"/>
        <v>45748</v>
      </c>
      <c r="G126" s="192">
        <f t="shared" si="6"/>
        <v>45778</v>
      </c>
      <c r="H126" s="192">
        <f t="shared" si="6"/>
        <v>45809</v>
      </c>
      <c r="I126" s="192">
        <f t="shared" si="6"/>
        <v>45839</v>
      </c>
      <c r="J126" s="192">
        <v>45870</v>
      </c>
      <c r="K126" s="192">
        <f t="shared" ref="K126:W126" si="7">EOMONTH(J126,0)+1</f>
        <v>45901</v>
      </c>
      <c r="L126" s="192">
        <f t="shared" si="7"/>
        <v>45931</v>
      </c>
      <c r="M126" s="192">
        <f t="shared" si="7"/>
        <v>45962</v>
      </c>
      <c r="N126" s="192">
        <f t="shared" si="7"/>
        <v>45992</v>
      </c>
      <c r="O126" s="192">
        <f t="shared" si="7"/>
        <v>46023</v>
      </c>
      <c r="P126" s="192">
        <f t="shared" si="7"/>
        <v>46054</v>
      </c>
      <c r="Q126" s="192">
        <f t="shared" si="7"/>
        <v>46082</v>
      </c>
      <c r="R126" s="192">
        <f t="shared" si="7"/>
        <v>46113</v>
      </c>
      <c r="S126" s="192">
        <f t="shared" si="7"/>
        <v>46143</v>
      </c>
      <c r="T126" s="192">
        <f t="shared" si="7"/>
        <v>46174</v>
      </c>
      <c r="U126" s="192">
        <f t="shared" si="7"/>
        <v>46204</v>
      </c>
      <c r="V126" s="192">
        <f t="shared" si="7"/>
        <v>46235</v>
      </c>
      <c r="W126" s="192">
        <f t="shared" si="7"/>
        <v>46266</v>
      </c>
    </row>
    <row r="127" spans="2:23">
      <c r="B127" s="266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6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tabSelected="1" view="pageBreakPreview" zoomScaleNormal="145" zoomScaleSheetLayoutView="100" workbookViewId="0"/>
  </sheetViews>
  <sheetFormatPr defaultRowHeight="12"/>
  <cols>
    <col min="1" max="1" width="1.7109375" style="328" customWidth="1"/>
    <col min="2" max="2" width="20.140625" style="328" customWidth="1"/>
    <col min="3" max="3" width="18.7109375" style="328" bestFit="1" customWidth="1"/>
    <col min="4" max="5" width="10.5703125" style="328" customWidth="1"/>
    <col min="6" max="7" width="15.140625" style="328" customWidth="1"/>
    <col min="8" max="16384" width="9.140625" style="328"/>
  </cols>
  <sheetData>
    <row r="2" spans="2:7" ht="16.5">
      <c r="B2" s="37" t="str">
        <f>+'Employee Retention Charts'!B2</f>
        <v>Keystone Bookkeepers</v>
      </c>
      <c r="C2" s="37"/>
    </row>
    <row r="3" spans="2:7">
      <c r="B3" s="329" t="s">
        <v>1841</v>
      </c>
      <c r="C3" s="329"/>
      <c r="D3" s="329"/>
      <c r="E3" s="329"/>
      <c r="F3" s="329"/>
      <c r="G3" s="329"/>
    </row>
    <row r="5" spans="2:7" ht="24">
      <c r="B5" s="159" t="s">
        <v>1842</v>
      </c>
      <c r="C5" s="176" t="s">
        <v>1333</v>
      </c>
      <c r="D5" s="176" t="s">
        <v>1332</v>
      </c>
      <c r="E5" s="176" t="s">
        <v>1605</v>
      </c>
      <c r="F5" s="176" t="s">
        <v>1845</v>
      </c>
      <c r="G5" s="176" t="s">
        <v>1185</v>
      </c>
    </row>
    <row r="6" spans="2:7">
      <c r="B6" s="335" t="s">
        <v>1403</v>
      </c>
      <c r="C6" s="335" t="s">
        <v>491</v>
      </c>
      <c r="D6" s="336">
        <f>INDEX('Combined Employee Worksheet'!I:I,MATCH('Yearly Employee Wins &amp; Losses'!$B6,'Combined Employee Worksheet'!$B:$B,0))</f>
        <v>46071</v>
      </c>
      <c r="E6" s="336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7" t="str">
        <f>INDEX('Combined Employee Worksheet'!$L:$L,MATCH('Yearly Employee Wins &amp; Losses'!$B6,'Combined Employee Worksheet'!$B:$B,0))</f>
        <v>Resignation</v>
      </c>
    </row>
    <row r="7" spans="2:7">
      <c r="B7" s="335" t="s">
        <v>1613</v>
      </c>
      <c r="C7" s="335" t="s">
        <v>490</v>
      </c>
      <c r="D7" s="336">
        <f>INDEX('Combined Employee Worksheet'!I:I,MATCH('Yearly Employee Wins &amp; Losses'!$B7,'Combined Employee Worksheet'!$B:$B,0))</f>
        <v>46269</v>
      </c>
      <c r="E7" s="336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7" t="str">
        <f>INDEX('Combined Employee Worksheet'!$L:$L,MATCH('Yearly Employee Wins &amp; Losses'!$B7,'Combined Employee Worksheet'!$B:$B,0))</f>
        <v>Termination</v>
      </c>
    </row>
    <row r="8" spans="2:7">
      <c r="B8" s="335" t="s">
        <v>648</v>
      </c>
      <c r="C8" s="335" t="s">
        <v>491</v>
      </c>
      <c r="D8" s="336">
        <f>INDEX('Combined Employee Worksheet'!I:I,MATCH('Yearly Employee Wins &amp; Losses'!$B8,'Combined Employee Worksheet'!$B:$B,0))</f>
        <v>46162</v>
      </c>
      <c r="E8" s="336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7" t="str">
        <f>INDEX('Combined Employee Worksheet'!$L:$L,MATCH('Yearly Employee Wins &amp; Losses'!$B8,'Combined Employee Worksheet'!$B:$B,0))</f>
        <v>Resignation</v>
      </c>
    </row>
    <row r="9" spans="2:7">
      <c r="B9" s="335" t="s">
        <v>1354</v>
      </c>
      <c r="C9" s="335" t="s">
        <v>490</v>
      </c>
      <c r="D9" s="336">
        <f>INDEX('Combined Employee Worksheet'!I:I,MATCH('Yearly Employee Wins &amp; Losses'!$B9,'Combined Employee Worksheet'!$B:$B,0))</f>
        <v>46255</v>
      </c>
      <c r="E9" s="336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7" t="str">
        <f>INDEX('Combined Employee Worksheet'!$L:$L,MATCH('Yearly Employee Wins &amp; Losses'!$B9,'Combined Employee Worksheet'!$B:$B,0))</f>
        <v>Termination</v>
      </c>
    </row>
    <row r="10" spans="2:7">
      <c r="B10" s="333" t="s">
        <v>1630</v>
      </c>
      <c r="C10" s="333" t="s">
        <v>490</v>
      </c>
      <c r="D10" s="334">
        <f>INDEX('Combined Employee Worksheet'!I:I,MATCH('Yearly Employee Wins &amp; Losses'!$B10,'Combined Employee Worksheet'!$B:$B,0))</f>
        <v>45866</v>
      </c>
      <c r="E10" s="334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7" t="str">
        <f>INDEX('Combined Employee Worksheet'!$L:$L,MATCH('Yearly Employee Wins &amp; Losses'!$B10,'Combined Employee Worksheet'!$B:$B,0))</f>
        <v>Resignation</v>
      </c>
    </row>
    <row r="11" spans="2:7">
      <c r="B11" s="333" t="s">
        <v>638</v>
      </c>
      <c r="C11" s="333" t="s">
        <v>1364</v>
      </c>
      <c r="D11" s="334">
        <f>INDEX('Combined Employee Worksheet'!I:I,MATCH('Yearly Employee Wins &amp; Losses'!$B11,'Combined Employee Worksheet'!$B:$B,0))</f>
        <v>44907</v>
      </c>
      <c r="E11" s="334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7" t="str">
        <f>INDEX('Combined Employee Worksheet'!$L:$L,MATCH('Yearly Employee Wins &amp; Losses'!$B11,'Combined Employee Worksheet'!$B:$B,0))</f>
        <v>Resignation</v>
      </c>
    </row>
    <row r="12" spans="2:7">
      <c r="B12" s="333" t="s">
        <v>1639</v>
      </c>
      <c r="C12" s="333" t="s">
        <v>490</v>
      </c>
      <c r="D12" s="334">
        <f>INDEX('Combined Employee Worksheet'!I:I,MATCH('Yearly Employee Wins &amp; Losses'!$B12,'Combined Employee Worksheet'!$B:$B,0))</f>
        <v>45170</v>
      </c>
      <c r="E12" s="334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7" t="str">
        <f>INDEX('Combined Employee Worksheet'!$L:$L,MATCH('Yearly Employee Wins &amp; Losses'!$B12,'Combined Employee Worksheet'!$B:$B,0))</f>
        <v>Resignation</v>
      </c>
    </row>
    <row r="13" spans="2:7">
      <c r="B13" s="333" t="s">
        <v>1642</v>
      </c>
      <c r="C13" s="333" t="s">
        <v>490</v>
      </c>
      <c r="D13" s="334">
        <f>INDEX('Combined Employee Worksheet'!I:I,MATCH('Yearly Employee Wins &amp; Losses'!$B13,'Combined Employee Worksheet'!$B:$B,0))</f>
        <v>45170</v>
      </c>
      <c r="E13" s="334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7" t="str">
        <f>INDEX('Combined Employee Worksheet'!$L:$L,MATCH('Yearly Employee Wins &amp; Losses'!$B13,'Combined Employee Worksheet'!$B:$B,0))</f>
        <v>Resignation</v>
      </c>
    </row>
    <row r="14" spans="2:7">
      <c r="B14" s="335" t="s">
        <v>1645</v>
      </c>
      <c r="C14" s="335" t="s">
        <v>1511</v>
      </c>
      <c r="D14" s="336">
        <f>INDEX('Combined Employee Worksheet'!I:I,MATCH('Yearly Employee Wins &amp; Losses'!$B14,'Combined Employee Worksheet'!$B:$B,0))</f>
        <v>46111</v>
      </c>
      <c r="E14" s="336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7" t="str">
        <f>INDEX('Combined Employee Worksheet'!$L:$L,MATCH('Yearly Employee Wins &amp; Losses'!$B14,'Combined Employee Worksheet'!$B:$B,0))</f>
        <v>Resignation</v>
      </c>
    </row>
    <row r="15" spans="2:7">
      <c r="B15" s="335" t="s">
        <v>1649</v>
      </c>
      <c r="C15" s="335" t="s">
        <v>490</v>
      </c>
      <c r="D15" s="336">
        <f>INDEX('Combined Employee Worksheet'!I:I,MATCH('Yearly Employee Wins &amp; Losses'!$B15,'Combined Employee Worksheet'!$B:$B,0))</f>
        <v>46216</v>
      </c>
      <c r="E15" s="336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7" t="str">
        <f>INDEX('Combined Employee Worksheet'!$L:$L,MATCH('Yearly Employee Wins &amp; Losses'!$B15,'Combined Employee Worksheet'!$B:$B,0))</f>
        <v>Unclassified</v>
      </c>
    </row>
    <row r="16" spans="2:7">
      <c r="B16" s="335" t="s">
        <v>1652</v>
      </c>
      <c r="C16" s="335" t="s">
        <v>1513</v>
      </c>
      <c r="D16" s="336">
        <f>INDEX('Combined Employee Worksheet'!I:I,MATCH('Yearly Employee Wins &amp; Losses'!$B16,'Combined Employee Worksheet'!$B:$B,0))</f>
        <v>46167</v>
      </c>
      <c r="E16" s="336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7" t="str">
        <f>INDEX('Combined Employee Worksheet'!$L:$L,MATCH('Yearly Employee Wins &amp; Losses'!$B16,'Combined Employee Worksheet'!$B:$B,0))</f>
        <v>Resignation</v>
      </c>
    </row>
    <row r="17" spans="2:7">
      <c r="B17" s="335" t="s">
        <v>1657</v>
      </c>
      <c r="C17" s="335" t="s">
        <v>1512</v>
      </c>
      <c r="D17" s="336">
        <f>INDEX('Combined Employee Worksheet'!I:I,MATCH('Yearly Employee Wins &amp; Losses'!$B17,'Combined Employee Worksheet'!$B:$B,0))</f>
        <v>46217</v>
      </c>
      <c r="E17" s="336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7" t="str">
        <f>INDEX('Combined Employee Worksheet'!$L:$L,MATCH('Yearly Employee Wins &amp; Losses'!$B17,'Combined Employee Worksheet'!$B:$B,0))</f>
        <v>Resignation</v>
      </c>
    </row>
    <row r="18" spans="2:7">
      <c r="B18" s="335" t="s">
        <v>574</v>
      </c>
      <c r="C18" s="335" t="s">
        <v>490</v>
      </c>
      <c r="D18" s="336">
        <f>INDEX('Combined Employee Worksheet'!I:I,MATCH('Yearly Employee Wins &amp; Losses'!$B18,'Combined Employee Worksheet'!$B:$B,0))</f>
        <v>46148</v>
      </c>
      <c r="E18" s="336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7" t="str">
        <f>INDEX('Combined Employee Worksheet'!$L:$L,MATCH('Yearly Employee Wins &amp; Losses'!$B18,'Combined Employee Worksheet'!$B:$B,0))</f>
        <v>Unclassified</v>
      </c>
    </row>
    <row r="19" spans="2:7">
      <c r="B19" s="335" t="s">
        <v>1662</v>
      </c>
      <c r="C19" s="335" t="s">
        <v>1513</v>
      </c>
      <c r="D19" s="336">
        <f>INDEX('Combined Employee Worksheet'!I:I,MATCH('Yearly Employee Wins &amp; Losses'!$B19,'Combined Employee Worksheet'!$B:$B,0))</f>
        <v>46065</v>
      </c>
      <c r="E19" s="336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7" t="str">
        <f>INDEX('Combined Employee Worksheet'!$L:$L,MATCH('Yearly Employee Wins &amp; Losses'!$B19,'Combined Employee Worksheet'!$B:$B,0))</f>
        <v>Termination</v>
      </c>
    </row>
    <row r="20" spans="2:7">
      <c r="B20" s="333" t="s">
        <v>833</v>
      </c>
      <c r="C20" s="333" t="s">
        <v>491</v>
      </c>
      <c r="D20" s="334">
        <f>INDEX('Combined Employee Worksheet'!I:I,MATCH('Yearly Employee Wins &amp; Losses'!$B20,'Combined Employee Worksheet'!$B:$B,0))</f>
        <v>46118</v>
      </c>
      <c r="E20" s="334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7" t="str">
        <f>INDEX('Combined Employee Worksheet'!$L:$L,MATCH('Yearly Employee Wins &amp; Losses'!$B20,'Combined Employee Worksheet'!$B:$B,0))</f>
        <v>Unclassified</v>
      </c>
    </row>
    <row r="21" spans="2:7">
      <c r="B21" s="333" t="s">
        <v>876</v>
      </c>
      <c r="C21" s="333" t="s">
        <v>490</v>
      </c>
      <c r="D21" s="334">
        <f>INDEX('Combined Employee Worksheet'!I:I,MATCH('Yearly Employee Wins &amp; Losses'!$B21,'Combined Employee Worksheet'!$B:$B,0))</f>
        <v>45838</v>
      </c>
      <c r="E21" s="334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7" t="str">
        <f>INDEX('Combined Employee Worksheet'!$L:$L,MATCH('Yearly Employee Wins &amp; Losses'!$B21,'Combined Employee Worksheet'!$B:$B,0))</f>
        <v>Resignation</v>
      </c>
    </row>
    <row r="22" spans="2:7">
      <c r="B22" s="333" t="s">
        <v>1670</v>
      </c>
      <c r="C22" s="333" t="s">
        <v>490</v>
      </c>
      <c r="D22" s="334">
        <f>INDEX('Combined Employee Worksheet'!I:I,MATCH('Yearly Employee Wins &amp; Losses'!$B22,'Combined Employee Worksheet'!$B:$B,0))</f>
        <v>46177</v>
      </c>
      <c r="E22" s="334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7" t="str">
        <f>INDEX('Combined Employee Worksheet'!$L:$L,MATCH('Yearly Employee Wins &amp; Losses'!$B22,'Combined Employee Worksheet'!$B:$B,0))</f>
        <v>Termination</v>
      </c>
    </row>
    <row r="23" spans="2:7">
      <c r="B23" s="335" t="s">
        <v>852</v>
      </c>
      <c r="C23" s="335" t="s">
        <v>1512</v>
      </c>
      <c r="D23" s="336">
        <f>INDEX('Combined Employee Worksheet'!I:I,MATCH('Yearly Employee Wins &amp; Losses'!$B23,'Combined Employee Worksheet'!$B:$B,0))</f>
        <v>45999</v>
      </c>
      <c r="E23" s="336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7" t="str">
        <f>INDEX('Combined Employee Worksheet'!$L:$L,MATCH('Yearly Employee Wins &amp; Losses'!$B23,'Combined Employee Worksheet'!$B:$B,0))</f>
        <v>Termination</v>
      </c>
    </row>
    <row r="24" spans="2:7">
      <c r="B24" s="335" t="s">
        <v>851</v>
      </c>
      <c r="C24" s="335" t="s">
        <v>1513</v>
      </c>
      <c r="D24" s="336">
        <f>INDEX('Combined Employee Worksheet'!I:I,MATCH('Yearly Employee Wins &amp; Losses'!$B24,'Combined Employee Worksheet'!$B:$B,0))</f>
        <v>46002</v>
      </c>
      <c r="E24" s="336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7" t="str">
        <f>INDEX('Combined Employee Worksheet'!$L:$L,MATCH('Yearly Employee Wins &amp; Losses'!$B24,'Combined Employee Worksheet'!$B:$B,0))</f>
        <v>Termination</v>
      </c>
    </row>
    <row r="25" spans="2:7">
      <c r="B25" s="335" t="s">
        <v>1675</v>
      </c>
      <c r="C25" s="335" t="s">
        <v>493</v>
      </c>
      <c r="D25" s="336">
        <f>INDEX('Combined Employee Worksheet'!I:I,MATCH('Yearly Employee Wins &amp; Losses'!$B25,'Combined Employee Worksheet'!$B:$B,0))</f>
        <v>46029</v>
      </c>
      <c r="E25" s="336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7" t="str">
        <f>INDEX('Combined Employee Worksheet'!$L:$L,MATCH('Yearly Employee Wins &amp; Losses'!$B25,'Combined Employee Worksheet'!$B:$B,0))</f>
        <v>Termination</v>
      </c>
    </row>
    <row r="26" spans="2:7">
      <c r="B26" s="335" t="s">
        <v>1680</v>
      </c>
      <c r="C26" s="335" t="s">
        <v>1513</v>
      </c>
      <c r="D26" s="336">
        <f>INDEX('Combined Employee Worksheet'!I:I,MATCH('Yearly Employee Wins &amp; Losses'!$B26,'Combined Employee Worksheet'!$B:$B,0))</f>
        <v>46149</v>
      </c>
      <c r="E26" s="336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7" t="str">
        <f>INDEX('Combined Employee Worksheet'!$L:$L,MATCH('Yearly Employee Wins &amp; Losses'!$B26,'Combined Employee Worksheet'!$B:$B,0))</f>
        <v>Termination</v>
      </c>
    </row>
    <row r="27" spans="2:7">
      <c r="B27" s="335" t="s">
        <v>1682</v>
      </c>
      <c r="C27" s="335" t="s">
        <v>490</v>
      </c>
      <c r="D27" s="336">
        <f>INDEX('Combined Employee Worksheet'!I:I,MATCH('Yearly Employee Wins &amp; Losses'!$B27,'Combined Employee Worksheet'!$B:$B,0))</f>
        <v>45824</v>
      </c>
      <c r="E27" s="336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7" t="str">
        <f>INDEX('Combined Employee Worksheet'!$L:$L,MATCH('Yearly Employee Wins &amp; Losses'!$B27,'Combined Employee Worksheet'!$B:$B,0))</f>
        <v>Resignation</v>
      </c>
    </row>
    <row r="28" spans="2:7">
      <c r="B28" s="335" t="s">
        <v>1685</v>
      </c>
      <c r="C28" s="335" t="s">
        <v>490</v>
      </c>
      <c r="D28" s="336">
        <f>INDEX('Combined Employee Worksheet'!I:I,MATCH('Yearly Employee Wins &amp; Losses'!$B28,'Combined Employee Worksheet'!$B:$B,0))</f>
        <v>45793</v>
      </c>
      <c r="E28" s="336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7" t="str">
        <f>INDEX('Combined Employee Worksheet'!$L:$L,MATCH('Yearly Employee Wins &amp; Losses'!$B28,'Combined Employee Worksheet'!$B:$B,0))</f>
        <v>Resignation</v>
      </c>
    </row>
    <row r="29" spans="2:7">
      <c r="B29" s="335" t="s">
        <v>1687</v>
      </c>
      <c r="C29" s="335" t="s">
        <v>491</v>
      </c>
      <c r="D29" s="336">
        <f>INDEX('Combined Employee Worksheet'!I:I,MATCH('Yearly Employee Wins &amp; Losses'!$B29,'Combined Employee Worksheet'!$B:$B,0))</f>
        <v>46091</v>
      </c>
      <c r="E29" s="336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7" t="str">
        <f>INDEX('Combined Employee Worksheet'!$L:$L,MATCH('Yearly Employee Wins &amp; Losses'!$B29,'Combined Employee Worksheet'!$B:$B,0))</f>
        <v>Resignation</v>
      </c>
    </row>
    <row r="30" spans="2:7">
      <c r="B30" s="333" t="s">
        <v>1689</v>
      </c>
      <c r="C30" s="333" t="s">
        <v>1513</v>
      </c>
      <c r="D30" s="334">
        <f>INDEX('Combined Employee Worksheet'!I:I,MATCH('Yearly Employee Wins &amp; Losses'!$B30,'Combined Employee Worksheet'!$B:$B,0))</f>
        <v>45777</v>
      </c>
      <c r="E30" s="334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7" t="str">
        <f>INDEX('Combined Employee Worksheet'!$L:$L,MATCH('Yearly Employee Wins &amp; Losses'!$B30,'Combined Employee Worksheet'!$B:$B,0))</f>
        <v>Resignation</v>
      </c>
    </row>
    <row r="31" spans="2:7">
      <c r="B31" s="335" t="s">
        <v>1695</v>
      </c>
      <c r="C31" s="335" t="s">
        <v>491</v>
      </c>
      <c r="D31" s="336">
        <f>INDEX('Combined Employee Worksheet'!I:I,MATCH('Yearly Employee Wins &amp; Losses'!$B31,'Combined Employee Worksheet'!$B:$B,0))</f>
        <v>45733</v>
      </c>
      <c r="E31" s="336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7" t="str">
        <f>INDEX('Combined Employee Worksheet'!$L:$L,MATCH('Yearly Employee Wins &amp; Losses'!$B31,'Combined Employee Worksheet'!$B:$B,0))</f>
        <v>Termination</v>
      </c>
    </row>
    <row r="32" spans="2:7">
      <c r="B32" s="333" t="s">
        <v>1698</v>
      </c>
      <c r="C32" s="333" t="s">
        <v>1511</v>
      </c>
      <c r="D32" s="334">
        <f>INDEX('Combined Employee Worksheet'!I:I,MATCH('Yearly Employee Wins &amp; Losses'!$B32,'Combined Employee Worksheet'!$B:$B,0))</f>
        <v>45639</v>
      </c>
      <c r="E32" s="334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7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1844</v>
      </c>
      <c r="C34" s="176" t="s">
        <v>1333</v>
      </c>
      <c r="D34" s="176" t="s">
        <v>1332</v>
      </c>
      <c r="E34" s="176" t="s">
        <v>1605</v>
      </c>
      <c r="F34" s="176" t="s">
        <v>1845</v>
      </c>
      <c r="G34" s="176" t="s">
        <v>1185</v>
      </c>
    </row>
    <row r="35" spans="2:7">
      <c r="B35" s="335" t="s">
        <v>1341</v>
      </c>
      <c r="C35" s="335" t="s">
        <v>1511</v>
      </c>
      <c r="D35" s="336">
        <v>46275</v>
      </c>
      <c r="E35" s="336"/>
      <c r="F35" s="82"/>
      <c r="G35" s="337"/>
    </row>
    <row r="36" spans="2:7">
      <c r="B36" s="335" t="s">
        <v>1347</v>
      </c>
      <c r="C36" s="335" t="s">
        <v>490</v>
      </c>
      <c r="D36" s="336">
        <v>46272</v>
      </c>
      <c r="E36" s="336"/>
      <c r="F36" s="82"/>
      <c r="G36" s="337"/>
    </row>
    <row r="37" spans="2:7">
      <c r="B37" s="335" t="s">
        <v>1613</v>
      </c>
      <c r="C37" s="335" t="s">
        <v>490</v>
      </c>
      <c r="D37" s="336">
        <v>46269</v>
      </c>
      <c r="E37" s="336">
        <v>46273</v>
      </c>
      <c r="F37" s="82">
        <v>0.13333333333333333</v>
      </c>
      <c r="G37" s="337" t="str">
        <f>INDEX('Combined Employee Worksheet'!$L:$L,MATCH('Yearly Employee Wins &amp; Losses'!$B37,'Combined Employee Worksheet'!$B:$B,0))</f>
        <v>Termination</v>
      </c>
    </row>
    <row r="38" spans="2:7">
      <c r="B38" s="335" t="s">
        <v>1351</v>
      </c>
      <c r="C38" s="335" t="s">
        <v>490</v>
      </c>
      <c r="D38" s="336">
        <v>46269</v>
      </c>
      <c r="E38" s="336"/>
      <c r="F38" s="82"/>
      <c r="G38" s="337"/>
    </row>
    <row r="39" spans="2:7">
      <c r="B39" s="333" t="s">
        <v>1354</v>
      </c>
      <c r="C39" s="333" t="s">
        <v>490</v>
      </c>
      <c r="D39" s="334">
        <v>46255</v>
      </c>
      <c r="E39" s="334">
        <v>46266</v>
      </c>
      <c r="F39" s="82">
        <v>0.36666666666666664</v>
      </c>
      <c r="G39" s="337" t="str">
        <f>INDEX('Combined Employee Worksheet'!$L:$L,MATCH('Yearly Employee Wins &amp; Losses'!$B39,'Combined Employee Worksheet'!$B:$B,0))</f>
        <v>Termination</v>
      </c>
    </row>
    <row r="40" spans="2:7">
      <c r="B40" s="333" t="s">
        <v>1357</v>
      </c>
      <c r="C40" s="333" t="s">
        <v>490</v>
      </c>
      <c r="D40" s="334">
        <v>46254</v>
      </c>
      <c r="E40" s="334"/>
      <c r="F40" s="82"/>
      <c r="G40" s="337"/>
    </row>
    <row r="41" spans="2:7">
      <c r="B41" s="333" t="s">
        <v>902</v>
      </c>
      <c r="C41" s="333" t="s">
        <v>490</v>
      </c>
      <c r="D41" s="334">
        <v>46247</v>
      </c>
      <c r="E41" s="334"/>
      <c r="F41" s="82"/>
      <c r="G41" s="337"/>
    </row>
    <row r="42" spans="2:7">
      <c r="B42" s="333" t="s">
        <v>522</v>
      </c>
      <c r="C42" s="333" t="s">
        <v>491</v>
      </c>
      <c r="D42" s="334">
        <v>46246</v>
      </c>
      <c r="E42" s="334"/>
      <c r="F42" s="82"/>
      <c r="G42" s="337"/>
    </row>
    <row r="43" spans="2:7">
      <c r="B43" s="333" t="s">
        <v>1362</v>
      </c>
      <c r="C43" s="333" t="s">
        <v>1364</v>
      </c>
      <c r="D43" s="334">
        <v>46244</v>
      </c>
      <c r="E43" s="334"/>
      <c r="F43" s="82"/>
      <c r="G43" s="337"/>
    </row>
    <row r="44" spans="2:7">
      <c r="B44" s="333" t="s">
        <v>682</v>
      </c>
      <c r="C44" s="333" t="s">
        <v>493</v>
      </c>
      <c r="D44" s="334">
        <v>46241</v>
      </c>
      <c r="E44" s="334"/>
      <c r="F44" s="82"/>
      <c r="G44" s="337"/>
    </row>
    <row r="45" spans="2:7">
      <c r="B45" s="335" t="s">
        <v>1372</v>
      </c>
      <c r="C45" s="335" t="s">
        <v>1512</v>
      </c>
      <c r="D45" s="336">
        <v>46233</v>
      </c>
      <c r="E45" s="336"/>
      <c r="F45" s="82"/>
      <c r="G45" s="337"/>
    </row>
    <row r="46" spans="2:7">
      <c r="B46" s="335" t="s">
        <v>1377</v>
      </c>
      <c r="C46" s="335" t="s">
        <v>491</v>
      </c>
      <c r="D46" s="336">
        <v>46227</v>
      </c>
      <c r="E46" s="336"/>
      <c r="F46" s="82"/>
      <c r="G46" s="337"/>
    </row>
    <row r="47" spans="2:7">
      <c r="B47" s="335" t="s">
        <v>1380</v>
      </c>
      <c r="C47" s="335" t="s">
        <v>490</v>
      </c>
      <c r="D47" s="336">
        <v>46227</v>
      </c>
      <c r="E47" s="336"/>
      <c r="F47" s="82"/>
      <c r="G47" s="337"/>
    </row>
    <row r="48" spans="2:7">
      <c r="B48" s="335" t="s">
        <v>1657</v>
      </c>
      <c r="C48" s="335" t="s">
        <v>1512</v>
      </c>
      <c r="D48" s="336">
        <v>46217</v>
      </c>
      <c r="E48" s="336">
        <v>46223</v>
      </c>
      <c r="F48" s="82">
        <v>0.2</v>
      </c>
      <c r="G48" s="337" t="str">
        <f>INDEX('Combined Employee Worksheet'!$L:$L,MATCH('Yearly Employee Wins &amp; Losses'!$B48,'Combined Employee Worksheet'!$B:$B,0))</f>
        <v>Resignation</v>
      </c>
    </row>
    <row r="49" spans="2:7">
      <c r="B49" s="335" t="s">
        <v>1649</v>
      </c>
      <c r="C49" s="335" t="s">
        <v>490</v>
      </c>
      <c r="D49" s="336">
        <v>46216</v>
      </c>
      <c r="E49" s="336">
        <v>46225</v>
      </c>
      <c r="F49" s="82">
        <v>0.3</v>
      </c>
      <c r="G49" s="337" t="str">
        <f>INDEX('Combined Employee Worksheet'!$L:$L,MATCH('Yearly Employee Wins &amp; Losses'!$B49,'Combined Employee Worksheet'!$B:$B,0))</f>
        <v>Unclassified</v>
      </c>
    </row>
    <row r="50" spans="2:7">
      <c r="B50" s="335" t="s">
        <v>576</v>
      </c>
      <c r="C50" s="335" t="s">
        <v>490</v>
      </c>
      <c r="D50" s="336">
        <v>46205</v>
      </c>
      <c r="E50" s="336"/>
      <c r="F50" s="82"/>
      <c r="G50" s="337"/>
    </row>
    <row r="51" spans="2:7">
      <c r="B51" s="333" t="s">
        <v>752</v>
      </c>
      <c r="C51" s="333" t="s">
        <v>490</v>
      </c>
      <c r="D51" s="334">
        <v>46203</v>
      </c>
      <c r="E51" s="334"/>
      <c r="F51" s="82"/>
      <c r="G51" s="337"/>
    </row>
    <row r="52" spans="2:7">
      <c r="B52" s="333" t="s">
        <v>862</v>
      </c>
      <c r="C52" s="333" t="s">
        <v>490</v>
      </c>
      <c r="D52" s="334">
        <v>46192</v>
      </c>
      <c r="E52" s="334"/>
      <c r="F52" s="82"/>
      <c r="G52" s="337"/>
    </row>
    <row r="53" spans="2:7">
      <c r="B53" s="333" t="s">
        <v>612</v>
      </c>
      <c r="C53" s="333" t="s">
        <v>490</v>
      </c>
      <c r="D53" s="334">
        <v>46191</v>
      </c>
      <c r="E53" s="334"/>
      <c r="F53" s="82"/>
      <c r="G53" s="337"/>
    </row>
    <row r="54" spans="2:7">
      <c r="B54" s="333" t="s">
        <v>664</v>
      </c>
      <c r="C54" s="333" t="s">
        <v>490</v>
      </c>
      <c r="D54" s="334">
        <v>46178</v>
      </c>
      <c r="E54" s="334"/>
      <c r="F54" s="82"/>
      <c r="G54" s="337"/>
    </row>
    <row r="55" spans="2:7">
      <c r="B55" s="333" t="s">
        <v>1670</v>
      </c>
      <c r="C55" s="333" t="s">
        <v>490</v>
      </c>
      <c r="D55" s="334">
        <v>46177</v>
      </c>
      <c r="E55" s="334">
        <v>46177</v>
      </c>
      <c r="F55" s="82">
        <v>0</v>
      </c>
      <c r="G55" s="337" t="str">
        <f>INDEX('Combined Employee Worksheet'!$L:$L,MATCH('Yearly Employee Wins &amp; Losses'!$B55,'Combined Employee Worksheet'!$B:$B,0))</f>
        <v>Termination</v>
      </c>
    </row>
    <row r="56" spans="2:7">
      <c r="B56" s="333" t="s">
        <v>1389</v>
      </c>
      <c r="C56" s="333" t="s">
        <v>490</v>
      </c>
      <c r="D56" s="334">
        <v>46177</v>
      </c>
      <c r="E56" s="334"/>
      <c r="F56" s="82"/>
      <c r="G56" s="337"/>
    </row>
    <row r="57" spans="2:7">
      <c r="B57" s="335" t="s">
        <v>1652</v>
      </c>
      <c r="C57" s="335" t="s">
        <v>1513</v>
      </c>
      <c r="D57" s="336">
        <v>46167</v>
      </c>
      <c r="E57" s="336">
        <v>46224</v>
      </c>
      <c r="F57" s="82">
        <v>1.9</v>
      </c>
      <c r="G57" s="337" t="str">
        <f>INDEX('Combined Employee Worksheet'!$L:$L,MATCH('Yearly Employee Wins &amp; Losses'!$B57,'Combined Employee Worksheet'!$B:$B,0))</f>
        <v>Resignation</v>
      </c>
    </row>
    <row r="58" spans="2:7">
      <c r="B58" s="335" t="s">
        <v>626</v>
      </c>
      <c r="C58" s="335" t="s">
        <v>490</v>
      </c>
      <c r="D58" s="336">
        <v>46163</v>
      </c>
      <c r="E58" s="336"/>
      <c r="F58" s="82"/>
      <c r="G58" s="337"/>
    </row>
    <row r="59" spans="2:7">
      <c r="B59" s="335" t="s">
        <v>648</v>
      </c>
      <c r="C59" s="335" t="s">
        <v>491</v>
      </c>
      <c r="D59" s="336">
        <v>46162</v>
      </c>
      <c r="E59" s="336">
        <v>46268</v>
      </c>
      <c r="F59" s="82">
        <v>3.5333333333333332</v>
      </c>
      <c r="G59" s="337" t="str">
        <f>INDEX('Combined Employee Worksheet'!$L:$L,MATCH('Yearly Employee Wins &amp; Losses'!$B59,'Combined Employee Worksheet'!$B:$B,0))</f>
        <v>Resignation</v>
      </c>
    </row>
    <row r="60" spans="2:7">
      <c r="B60" s="335" t="s">
        <v>1680</v>
      </c>
      <c r="C60" s="335" t="s">
        <v>1513</v>
      </c>
      <c r="D60" s="336">
        <v>46149</v>
      </c>
      <c r="E60" s="336">
        <v>46162</v>
      </c>
      <c r="F60" s="82">
        <v>0.43333333333333335</v>
      </c>
      <c r="G60" s="337" t="str">
        <f>INDEX('Combined Employee Worksheet'!$L:$L,MATCH('Yearly Employee Wins &amp; Losses'!$B60,'Combined Employee Worksheet'!$B:$B,0))</f>
        <v>Termination</v>
      </c>
    </row>
    <row r="61" spans="2:7">
      <c r="B61" s="335" t="s">
        <v>574</v>
      </c>
      <c r="C61" s="335" t="s">
        <v>490</v>
      </c>
      <c r="D61" s="336">
        <v>46148</v>
      </c>
      <c r="E61" s="336">
        <v>46212</v>
      </c>
      <c r="F61" s="82">
        <v>2.1333333333333333</v>
      </c>
      <c r="G61" s="337" t="str">
        <f>INDEX('Combined Employee Worksheet'!$L:$L,MATCH('Yearly Employee Wins &amp; Losses'!$B61,'Combined Employee Worksheet'!$B:$B,0))</f>
        <v>Unclassified</v>
      </c>
    </row>
    <row r="62" spans="2:7">
      <c r="B62" s="333" t="s">
        <v>1395</v>
      </c>
      <c r="C62" s="333" t="s">
        <v>490</v>
      </c>
      <c r="D62" s="334">
        <v>46135</v>
      </c>
      <c r="E62" s="334"/>
      <c r="F62" s="82"/>
      <c r="G62" s="337"/>
    </row>
    <row r="63" spans="2:7">
      <c r="B63" s="333" t="s">
        <v>1397</v>
      </c>
      <c r="C63" s="333" t="s">
        <v>1511</v>
      </c>
      <c r="D63" s="334">
        <v>46125</v>
      </c>
      <c r="E63" s="334"/>
      <c r="F63" s="82"/>
      <c r="G63" s="337"/>
    </row>
    <row r="64" spans="2:7">
      <c r="B64" s="333" t="s">
        <v>624</v>
      </c>
      <c r="C64" s="333" t="s">
        <v>490</v>
      </c>
      <c r="D64" s="334">
        <v>46125</v>
      </c>
      <c r="E64" s="334"/>
      <c r="F64" s="82"/>
      <c r="G64" s="337"/>
    </row>
    <row r="65" spans="2:7">
      <c r="B65" s="333" t="s">
        <v>833</v>
      </c>
      <c r="C65" s="333" t="s">
        <v>491</v>
      </c>
      <c r="D65" s="334">
        <v>46118</v>
      </c>
      <c r="E65" s="334">
        <v>46196</v>
      </c>
      <c r="F65" s="82">
        <v>2.6</v>
      </c>
      <c r="G65" s="337" t="str">
        <f>INDEX('Combined Employee Worksheet'!$L:$L,MATCH('Yearly Employee Wins &amp; Losses'!$B65,'Combined Employee Worksheet'!$B:$B,0))</f>
        <v>Unclassified</v>
      </c>
    </row>
    <row r="66" spans="2:7">
      <c r="B66" s="335" t="s">
        <v>1645</v>
      </c>
      <c r="C66" s="335" t="s">
        <v>1511</v>
      </c>
      <c r="D66" s="336">
        <v>46111</v>
      </c>
      <c r="E66" s="336">
        <v>46232</v>
      </c>
      <c r="F66" s="82">
        <v>4.0333333333333332</v>
      </c>
      <c r="G66" s="337" t="str">
        <f>INDEX('Combined Employee Worksheet'!$L:$L,MATCH('Yearly Employee Wins &amp; Losses'!$B66,'Combined Employee Worksheet'!$B:$B,0))</f>
        <v>Resignation</v>
      </c>
    </row>
    <row r="67" spans="2:7">
      <c r="B67" s="335" t="s">
        <v>1353</v>
      </c>
      <c r="C67" s="335" t="s">
        <v>491</v>
      </c>
      <c r="D67" s="336">
        <v>46107</v>
      </c>
      <c r="E67" s="336"/>
      <c r="F67" s="82"/>
      <c r="G67" s="337"/>
    </row>
    <row r="68" spans="2:7">
      <c r="B68" s="335" t="s">
        <v>1687</v>
      </c>
      <c r="C68" s="335" t="s">
        <v>491</v>
      </c>
      <c r="D68" s="336">
        <v>46091</v>
      </c>
      <c r="E68" s="336">
        <v>46143</v>
      </c>
      <c r="F68" s="82">
        <v>1.7333333333333334</v>
      </c>
      <c r="G68" s="337" t="str">
        <f>INDEX('Combined Employee Worksheet'!$L:$L,MATCH('Yearly Employee Wins &amp; Losses'!$B68,'Combined Employee Worksheet'!$B:$B,0))</f>
        <v>Resignation</v>
      </c>
    </row>
    <row r="69" spans="2:7">
      <c r="B69" s="335" t="s">
        <v>715</v>
      </c>
      <c r="C69" s="335" t="s">
        <v>1513</v>
      </c>
      <c r="D69" s="336">
        <v>46091</v>
      </c>
      <c r="E69" s="336"/>
      <c r="F69" s="82"/>
      <c r="G69" s="337"/>
    </row>
    <row r="70" spans="2:7">
      <c r="B70" s="333" t="s">
        <v>533</v>
      </c>
      <c r="C70" s="333" t="s">
        <v>1364</v>
      </c>
      <c r="D70" s="334">
        <v>46076</v>
      </c>
      <c r="E70" s="334"/>
      <c r="F70" s="82"/>
      <c r="G70" s="337"/>
    </row>
    <row r="71" spans="2:7">
      <c r="B71" s="333" t="s">
        <v>1379</v>
      </c>
      <c r="C71" s="333" t="s">
        <v>1364</v>
      </c>
      <c r="D71" s="334">
        <v>46076</v>
      </c>
      <c r="E71" s="334"/>
      <c r="F71" s="82"/>
      <c r="G71" s="337"/>
    </row>
    <row r="72" spans="2:7">
      <c r="B72" s="333" t="s">
        <v>1403</v>
      </c>
      <c r="C72" s="333" t="s">
        <v>491</v>
      </c>
      <c r="D72" s="334">
        <v>46071</v>
      </c>
      <c r="E72" s="334">
        <v>46273</v>
      </c>
      <c r="F72" s="82">
        <v>6.7333333333333334</v>
      </c>
      <c r="G72" s="337" t="str">
        <f>INDEX('Combined Employee Worksheet'!$L:$L,MATCH('Yearly Employee Wins &amp; Losses'!$B72,'Combined Employee Worksheet'!$B:$B,0))</f>
        <v>Resignation</v>
      </c>
    </row>
    <row r="73" spans="2:7">
      <c r="B73" s="333" t="s">
        <v>1662</v>
      </c>
      <c r="C73" s="333" t="s">
        <v>1513</v>
      </c>
      <c r="D73" s="334">
        <v>46065</v>
      </c>
      <c r="E73" s="334">
        <v>46204</v>
      </c>
      <c r="F73" s="82">
        <v>4.6333333333333337</v>
      </c>
      <c r="G73" s="337" t="str">
        <f>INDEX('Combined Employee Worksheet'!$L:$L,MATCH('Yearly Employee Wins &amp; Losses'!$B73,'Combined Employee Worksheet'!$B:$B,0))</f>
        <v>Termination</v>
      </c>
    </row>
    <row r="74" spans="2:7">
      <c r="B74" s="333" t="s">
        <v>1406</v>
      </c>
      <c r="C74" s="333" t="s">
        <v>1511</v>
      </c>
      <c r="D74" s="334">
        <v>46055</v>
      </c>
      <c r="E74" s="334"/>
      <c r="F74" s="82"/>
      <c r="G74" s="337"/>
    </row>
    <row r="75" spans="2:7">
      <c r="B75" s="335" t="s">
        <v>550</v>
      </c>
      <c r="C75" s="335" t="s">
        <v>491</v>
      </c>
      <c r="D75" s="336">
        <v>46055</v>
      </c>
      <c r="E75" s="336"/>
      <c r="F75" s="82"/>
      <c r="G75" s="337"/>
    </row>
    <row r="76" spans="2:7">
      <c r="B76" s="335" t="s">
        <v>602</v>
      </c>
      <c r="C76" s="335" t="s">
        <v>490</v>
      </c>
      <c r="D76" s="336">
        <v>46048</v>
      </c>
      <c r="E76" s="336"/>
      <c r="F76" s="82"/>
      <c r="G76" s="337"/>
    </row>
    <row r="77" spans="2:7">
      <c r="B77" s="335" t="s">
        <v>1345</v>
      </c>
      <c r="C77" s="335" t="s">
        <v>1511</v>
      </c>
      <c r="D77" s="336">
        <v>46044</v>
      </c>
      <c r="E77" s="336"/>
      <c r="F77" s="82"/>
      <c r="G77" s="337"/>
    </row>
    <row r="78" spans="2:7">
      <c r="B78" s="335" t="s">
        <v>1675</v>
      </c>
      <c r="C78" s="335" t="s">
        <v>493</v>
      </c>
      <c r="D78" s="336">
        <v>46029</v>
      </c>
      <c r="E78" s="336">
        <v>46168</v>
      </c>
      <c r="F78" s="82">
        <v>4.6333333333333337</v>
      </c>
      <c r="G78" s="337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3" priority="6" operator="containsText" text="Resignation">
      <formula>NOT(ISERROR(SEARCH("Resignation",G6)))</formula>
    </cfRule>
    <cfRule type="expression" dxfId="2" priority="7">
      <formula>"""Resignation"""</formula>
    </cfRule>
  </conditionalFormatting>
  <conditionalFormatting sqref="G35:G78">
    <cfRule type="containsText" dxfId="1" priority="1" operator="containsText" text="Resignation">
      <formula>NOT(ISERROR(SEARCH("Resignation",G35)))</formula>
    </cfRule>
    <cfRule type="expression" dxfId="0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1810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1805</v>
      </c>
      <c r="C5" s="307" t="s">
        <v>1806</v>
      </c>
      <c r="D5" s="307" t="s">
        <v>1509</v>
      </c>
      <c r="E5" s="307" t="s">
        <v>1808</v>
      </c>
      <c r="F5" s="307" t="s">
        <v>1336</v>
      </c>
      <c r="G5" s="307" t="s">
        <v>1807</v>
      </c>
      <c r="H5" s="307" t="s">
        <v>116</v>
      </c>
      <c r="I5" s="307" t="s">
        <v>1332</v>
      </c>
      <c r="J5" s="307" t="s">
        <v>1605</v>
      </c>
      <c r="K5" s="307" t="s">
        <v>1822</v>
      </c>
      <c r="L5" s="307" t="s">
        <v>1185</v>
      </c>
      <c r="M5" s="307" t="s">
        <v>1811</v>
      </c>
    </row>
    <row r="6" spans="2:22" ht="12" customHeight="1">
      <c r="B6" s="305" t="s">
        <v>1431</v>
      </c>
      <c r="C6" s="305" t="s">
        <v>1349</v>
      </c>
      <c r="D6" s="305" t="str">
        <f>INDEX('Employee Mapping'!C:C,MATCH('Combined Employee Worksheet'!$C6,'Employee Mapping'!$B:$B,0))</f>
        <v>Bookkeeper</v>
      </c>
      <c r="E6" s="305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5" t="s">
        <v>497</v>
      </c>
      <c r="I6" s="308">
        <v>45890</v>
      </c>
      <c r="J6" s="309"/>
      <c r="K6" s="154">
        <f ca="1">IF(J6=0,TODAY()-I6,J6-I6)</f>
        <v>390</v>
      </c>
      <c r="L6" s="309"/>
      <c r="M6" s="305" t="s">
        <v>338</v>
      </c>
    </row>
    <row r="7" spans="2:22">
      <c r="B7" s="305" t="s">
        <v>1359</v>
      </c>
      <c r="C7" s="305" t="s">
        <v>491</v>
      </c>
      <c r="D7" s="305" t="str">
        <f>INDEX('Employee Mapping'!C:C,MATCH('Combined Employee Worksheet'!$C7,'Employee Mapping'!$B:$B,0))</f>
        <v>Client Lead</v>
      </c>
      <c r="E7" s="305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5" t="s">
        <v>497</v>
      </c>
      <c r="I7" s="308">
        <v>44998</v>
      </c>
      <c r="J7" s="309"/>
      <c r="K7" s="154">
        <f t="shared" ref="K7:K70" ca="1" si="0">IF(J7=0,TODAY()-I7,J7-I7)</f>
        <v>1282</v>
      </c>
      <c r="L7" s="309"/>
      <c r="M7" s="305" t="s">
        <v>338</v>
      </c>
    </row>
    <row r="8" spans="2:22">
      <c r="B8" s="305" t="s">
        <v>664</v>
      </c>
      <c r="C8" s="305" t="s">
        <v>1349</v>
      </c>
      <c r="D8" s="305" t="str">
        <f>INDEX('Employee Mapping'!C:C,MATCH('Combined Employee Worksheet'!$C8,'Employee Mapping'!$B:$B,0))</f>
        <v>Bookkeeper</v>
      </c>
      <c r="E8" s="305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5" t="s">
        <v>497</v>
      </c>
      <c r="I8" s="308">
        <v>46178</v>
      </c>
      <c r="J8" s="309"/>
      <c r="K8" s="154">
        <f t="shared" ca="1" si="0"/>
        <v>102</v>
      </c>
      <c r="L8" s="309"/>
      <c r="M8" s="305" t="s">
        <v>338</v>
      </c>
    </row>
    <row r="9" spans="2:22">
      <c r="B9" s="305" t="s">
        <v>543</v>
      </c>
      <c r="C9" s="305" t="s">
        <v>1410</v>
      </c>
      <c r="D9" s="305" t="str">
        <f>INDEX('Employee Mapping'!C:C,MATCH('Combined Employee Worksheet'!$C9,'Employee Mapping'!$B:$B,0))</f>
        <v>Bookkeeper</v>
      </c>
      <c r="E9" s="305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5" t="s">
        <v>497</v>
      </c>
      <c r="I9" s="308">
        <v>45880</v>
      </c>
      <c r="J9" s="309"/>
      <c r="K9" s="154">
        <f t="shared" ca="1" si="0"/>
        <v>400</v>
      </c>
      <c r="L9" s="309"/>
      <c r="M9" s="305" t="s">
        <v>338</v>
      </c>
    </row>
    <row r="10" spans="2:22">
      <c r="B10" s="305" t="s">
        <v>1377</v>
      </c>
      <c r="C10" s="305" t="s">
        <v>491</v>
      </c>
      <c r="D10" s="305" t="str">
        <f>INDEX('Employee Mapping'!C:C,MATCH('Combined Employee Worksheet'!$C10,'Employee Mapping'!$B:$B,0))</f>
        <v>Client Lead</v>
      </c>
      <c r="E10" s="305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5" t="s">
        <v>497</v>
      </c>
      <c r="I10" s="308">
        <v>46227</v>
      </c>
      <c r="J10" s="309"/>
      <c r="K10" s="154">
        <f t="shared" ca="1" si="0"/>
        <v>53</v>
      </c>
      <c r="L10" s="309"/>
      <c r="M10" s="305" t="s">
        <v>338</v>
      </c>
    </row>
    <row r="11" spans="2:22">
      <c r="B11" s="305" t="s">
        <v>1395</v>
      </c>
      <c r="C11" s="305" t="s">
        <v>1349</v>
      </c>
      <c r="D11" s="305" t="str">
        <f>INDEX('Employee Mapping'!C:C,MATCH('Combined Employee Worksheet'!$C11,'Employee Mapping'!$B:$B,0))</f>
        <v>Bookkeeper</v>
      </c>
      <c r="E11" s="305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5" t="s">
        <v>497</v>
      </c>
      <c r="I11" s="308">
        <v>46135</v>
      </c>
      <c r="J11" s="309"/>
      <c r="K11" s="154">
        <f t="shared" ca="1" si="0"/>
        <v>145</v>
      </c>
      <c r="L11" s="309"/>
      <c r="M11" s="305" t="s">
        <v>338</v>
      </c>
    </row>
    <row r="12" spans="2:22">
      <c r="B12" s="305" t="s">
        <v>1486</v>
      </c>
      <c r="C12" s="305" t="s">
        <v>1480</v>
      </c>
      <c r="D12" s="305" t="str">
        <f>INDEX('Employee Mapping'!C:C,MATCH('Combined Employee Worksheet'!$C12,'Employee Mapping'!$B:$B,0))</f>
        <v>Client Lead</v>
      </c>
      <c r="E12" s="305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5" t="s">
        <v>497</v>
      </c>
      <c r="I12" s="308">
        <v>45313</v>
      </c>
      <c r="J12" s="309"/>
      <c r="K12" s="154">
        <f t="shared" ca="1" si="0"/>
        <v>967</v>
      </c>
      <c r="L12" s="309"/>
      <c r="M12" s="305" t="s">
        <v>338</v>
      </c>
    </row>
    <row r="13" spans="2:22">
      <c r="B13" s="305" t="s">
        <v>546</v>
      </c>
      <c r="C13" s="305" t="s">
        <v>491</v>
      </c>
      <c r="D13" s="305" t="str">
        <f>INDEX('Employee Mapping'!C:C,MATCH('Combined Employee Worksheet'!$C13,'Employee Mapping'!$B:$B,0))</f>
        <v>Client Lead</v>
      </c>
      <c r="E13" s="305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5" t="s">
        <v>497</v>
      </c>
      <c r="I13" s="308">
        <v>45621</v>
      </c>
      <c r="J13" s="309"/>
      <c r="K13" s="154">
        <f t="shared" ca="1" si="0"/>
        <v>659</v>
      </c>
      <c r="L13" s="309"/>
      <c r="M13" s="305" t="s">
        <v>338</v>
      </c>
    </row>
    <row r="14" spans="2:22">
      <c r="B14" s="305" t="s">
        <v>1367</v>
      </c>
      <c r="C14" s="305" t="s">
        <v>1503</v>
      </c>
      <c r="D14" s="305" t="str">
        <f>INDEX('Employee Mapping'!C:C,MATCH('Combined Employee Worksheet'!$C14,'Employee Mapping'!$B:$B,0))</f>
        <v>CEO</v>
      </c>
      <c r="E14" s="305" t="str">
        <f>INDEX('Employee Mapping'!D:D,MATCH('Combined Employee Worksheet'!$C14,'Employee Mapping'!$B:$B,0))</f>
        <v>Payroll Wages - Owner</v>
      </c>
      <c r="F14" s="82"/>
      <c r="G14" s="82">
        <v>228245</v>
      </c>
      <c r="H14" s="305" t="s">
        <v>497</v>
      </c>
      <c r="I14" s="308">
        <v>44231</v>
      </c>
      <c r="J14" s="309"/>
      <c r="K14" s="154">
        <f t="shared" ca="1" si="0"/>
        <v>2049</v>
      </c>
      <c r="L14" s="309"/>
      <c r="M14" s="305" t="s">
        <v>1557</v>
      </c>
    </row>
    <row r="15" spans="2:22">
      <c r="B15" s="305" t="s">
        <v>608</v>
      </c>
      <c r="C15" s="305" t="s">
        <v>1349</v>
      </c>
      <c r="D15" s="305" t="str">
        <f>INDEX('Employee Mapping'!C:C,MATCH('Combined Employee Worksheet'!$C15,'Employee Mapping'!$B:$B,0))</f>
        <v>Bookkeeper</v>
      </c>
      <c r="E15" s="305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5" t="s">
        <v>497</v>
      </c>
      <c r="I15" s="308">
        <v>45509</v>
      </c>
      <c r="J15" s="309"/>
      <c r="K15" s="154">
        <f t="shared" ca="1" si="0"/>
        <v>771</v>
      </c>
      <c r="L15" s="309"/>
      <c r="M15" s="305" t="s">
        <v>338</v>
      </c>
    </row>
    <row r="16" spans="2:22">
      <c r="B16" s="305" t="s">
        <v>1353</v>
      </c>
      <c r="C16" s="305" t="s">
        <v>491</v>
      </c>
      <c r="D16" s="305" t="str">
        <f>INDEX('Employee Mapping'!C:C,MATCH('Combined Employee Worksheet'!$C16,'Employee Mapping'!$B:$B,0))</f>
        <v>Client Lead</v>
      </c>
      <c r="E16" s="305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5" t="s">
        <v>497</v>
      </c>
      <c r="I16" s="308">
        <v>46107</v>
      </c>
      <c r="J16" s="309"/>
      <c r="K16" s="154">
        <f t="shared" ca="1" si="0"/>
        <v>173</v>
      </c>
      <c r="L16" s="309"/>
      <c r="M16" s="305" t="s">
        <v>338</v>
      </c>
    </row>
    <row r="17" spans="2:13">
      <c r="B17" s="305" t="s">
        <v>1406</v>
      </c>
      <c r="C17" s="305" t="s">
        <v>1408</v>
      </c>
      <c r="D17" s="305" t="str">
        <f>INDEX('Employee Mapping'!C:C,MATCH('Combined Employee Worksheet'!$C17,'Employee Mapping'!$B:$B,0))</f>
        <v>Tax</v>
      </c>
      <c r="E17" s="305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5" t="s">
        <v>497</v>
      </c>
      <c r="I17" s="308">
        <v>46055</v>
      </c>
      <c r="J17" s="309"/>
      <c r="K17" s="154">
        <f t="shared" ca="1" si="0"/>
        <v>225</v>
      </c>
      <c r="L17" s="309"/>
      <c r="M17" s="305" t="s">
        <v>338</v>
      </c>
    </row>
    <row r="18" spans="2:13">
      <c r="B18" s="305" t="s">
        <v>521</v>
      </c>
      <c r="C18" s="305" t="s">
        <v>1410</v>
      </c>
      <c r="D18" s="305" t="str">
        <f>INDEX('Employee Mapping'!C:C,MATCH('Combined Employee Worksheet'!$C18,'Employee Mapping'!$B:$B,0))</f>
        <v>Bookkeeper</v>
      </c>
      <c r="E18" s="305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5" t="s">
        <v>497</v>
      </c>
      <c r="I18" s="308">
        <v>45075</v>
      </c>
      <c r="J18" s="309"/>
      <c r="K18" s="154">
        <f t="shared" ca="1" si="0"/>
        <v>1205</v>
      </c>
      <c r="L18" s="309"/>
      <c r="M18" s="305" t="s">
        <v>338</v>
      </c>
    </row>
    <row r="19" spans="2:13">
      <c r="B19" s="305" t="s">
        <v>553</v>
      </c>
      <c r="C19" s="305" t="s">
        <v>1349</v>
      </c>
      <c r="D19" s="305" t="str">
        <f>INDEX('Employee Mapping'!C:C,MATCH('Combined Employee Worksheet'!$C19,'Employee Mapping'!$B:$B,0))</f>
        <v>Bookkeeper</v>
      </c>
      <c r="E19" s="305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5" t="s">
        <v>497</v>
      </c>
      <c r="I19" s="308">
        <v>45175</v>
      </c>
      <c r="J19" s="309"/>
      <c r="K19" s="154">
        <f t="shared" ca="1" si="0"/>
        <v>1105</v>
      </c>
      <c r="L19" s="309"/>
      <c r="M19" s="305" t="s">
        <v>338</v>
      </c>
    </row>
    <row r="20" spans="2:13">
      <c r="B20" s="305" t="s">
        <v>1456</v>
      </c>
      <c r="C20" s="305" t="s">
        <v>1494</v>
      </c>
      <c r="D20" s="305" t="str">
        <f>INDEX('Employee Mapping'!C:C,MATCH('Combined Employee Worksheet'!$C20,'Employee Mapping'!$B:$B,0))</f>
        <v>Leadership</v>
      </c>
      <c r="E20" s="305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5" t="s">
        <v>497</v>
      </c>
      <c r="I20" s="308">
        <v>45160</v>
      </c>
      <c r="J20" s="309"/>
      <c r="K20" s="154">
        <f t="shared" ca="1" si="0"/>
        <v>1120</v>
      </c>
      <c r="L20" s="309"/>
      <c r="M20" s="305" t="s">
        <v>338</v>
      </c>
    </row>
    <row r="21" spans="2:13">
      <c r="B21" s="305" t="s">
        <v>1461</v>
      </c>
      <c r="C21" s="305" t="s">
        <v>1370</v>
      </c>
      <c r="D21" s="305" t="str">
        <f>INDEX('Employee Mapping'!C:C,MATCH('Combined Employee Worksheet'!$C21,'Employee Mapping'!$B:$B,0))</f>
        <v>Admin</v>
      </c>
      <c r="E21" s="305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5" t="s">
        <v>497</v>
      </c>
      <c r="I21" s="308">
        <v>45614</v>
      </c>
      <c r="J21" s="309"/>
      <c r="K21" s="154">
        <f t="shared" ca="1" si="0"/>
        <v>666</v>
      </c>
      <c r="L21" s="309"/>
      <c r="M21" s="305" t="s">
        <v>338</v>
      </c>
    </row>
    <row r="22" spans="2:13">
      <c r="B22" s="305" t="s">
        <v>1465</v>
      </c>
      <c r="C22" s="305" t="s">
        <v>1467</v>
      </c>
      <c r="D22" s="305" t="str">
        <f>INDEX('Employee Mapping'!C:C,MATCH('Combined Employee Worksheet'!$C22,'Employee Mapping'!$B:$B,0))</f>
        <v>Admin</v>
      </c>
      <c r="E22" s="305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5" t="s">
        <v>497</v>
      </c>
      <c r="I22" s="308">
        <v>45572</v>
      </c>
      <c r="J22" s="309"/>
      <c r="K22" s="154">
        <f t="shared" ca="1" si="0"/>
        <v>708</v>
      </c>
      <c r="L22" s="309"/>
      <c r="M22" s="305" t="s">
        <v>338</v>
      </c>
    </row>
    <row r="23" spans="2:13">
      <c r="B23" s="305" t="s">
        <v>1347</v>
      </c>
      <c r="C23" s="305" t="s">
        <v>1349</v>
      </c>
      <c r="D23" s="305" t="str">
        <f>INDEX('Employee Mapping'!C:C,MATCH('Combined Employee Worksheet'!$C23,'Employee Mapping'!$B:$B,0))</f>
        <v>Bookkeeper</v>
      </c>
      <c r="E23" s="305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5" t="s">
        <v>497</v>
      </c>
      <c r="I23" s="308">
        <v>46272</v>
      </c>
      <c r="J23" s="309"/>
      <c r="K23" s="154">
        <f t="shared" ca="1" si="0"/>
        <v>8</v>
      </c>
      <c r="L23" s="309"/>
      <c r="M23" s="305" t="s">
        <v>1350</v>
      </c>
    </row>
    <row r="24" spans="2:13">
      <c r="B24" s="305" t="s">
        <v>1470</v>
      </c>
      <c r="C24" s="305" t="s">
        <v>1370</v>
      </c>
      <c r="D24" s="305" t="str">
        <f>INDEX('Employee Mapping'!C:C,MATCH('Combined Employee Worksheet'!$C24,'Employee Mapping'!$B:$B,0))</f>
        <v>Admin</v>
      </c>
      <c r="E24" s="305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5" t="s">
        <v>497</v>
      </c>
      <c r="I24" s="308">
        <v>45551</v>
      </c>
      <c r="J24" s="309"/>
      <c r="K24" s="154">
        <f t="shared" ca="1" si="0"/>
        <v>729</v>
      </c>
      <c r="L24" s="309"/>
      <c r="M24" s="305" t="s">
        <v>338</v>
      </c>
    </row>
    <row r="25" spans="2:13">
      <c r="B25" s="305" t="s">
        <v>902</v>
      </c>
      <c r="C25" s="305" t="s">
        <v>490</v>
      </c>
      <c r="D25" s="305" t="str">
        <f>INDEX('Employee Mapping'!C:C,MATCH('Combined Employee Worksheet'!$C25,'Employee Mapping'!$B:$B,0))</f>
        <v>Bookkeeper</v>
      </c>
      <c r="E25" s="305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5" t="s">
        <v>497</v>
      </c>
      <c r="I25" s="308">
        <v>46247</v>
      </c>
      <c r="J25" s="309"/>
      <c r="K25" s="154">
        <f t="shared" ca="1" si="0"/>
        <v>33</v>
      </c>
      <c r="L25" s="309"/>
      <c r="M25" s="305" t="s">
        <v>338</v>
      </c>
    </row>
    <row r="26" spans="2:13">
      <c r="B26" s="305" t="s">
        <v>1477</v>
      </c>
      <c r="C26" s="305" t="s">
        <v>1349</v>
      </c>
      <c r="D26" s="305" t="str">
        <f>INDEX('Employee Mapping'!C:C,MATCH('Combined Employee Worksheet'!$C26,'Employee Mapping'!$B:$B,0))</f>
        <v>Bookkeeper</v>
      </c>
      <c r="E26" s="305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5" t="s">
        <v>497</v>
      </c>
      <c r="I26" s="308">
        <v>45481</v>
      </c>
      <c r="J26" s="309"/>
      <c r="K26" s="154">
        <f t="shared" ca="1" si="0"/>
        <v>799</v>
      </c>
      <c r="L26" s="309"/>
      <c r="M26" s="305" t="s">
        <v>338</v>
      </c>
    </row>
    <row r="27" spans="2:13">
      <c r="B27" s="305" t="s">
        <v>752</v>
      </c>
      <c r="C27" s="305" t="s">
        <v>1349</v>
      </c>
      <c r="D27" s="305" t="str">
        <f>INDEX('Employee Mapping'!C:C,MATCH('Combined Employee Worksheet'!$C27,'Employee Mapping'!$B:$B,0))</f>
        <v>Bookkeeper</v>
      </c>
      <c r="E27" s="305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5" t="s">
        <v>497</v>
      </c>
      <c r="I27" s="308">
        <v>46203</v>
      </c>
      <c r="J27" s="309"/>
      <c r="K27" s="154">
        <f t="shared" ca="1" si="0"/>
        <v>77</v>
      </c>
      <c r="L27" s="309"/>
      <c r="M27" s="305" t="s">
        <v>338</v>
      </c>
    </row>
    <row r="28" spans="2:13">
      <c r="B28" s="305" t="s">
        <v>1414</v>
      </c>
      <c r="C28" s="305" t="s">
        <v>1416</v>
      </c>
      <c r="D28" s="305" t="str">
        <f>INDEX('Employee Mapping'!C:C,MATCH('Combined Employee Worksheet'!$C28,'Employee Mapping'!$B:$B,0))</f>
        <v>Sales &amp; Marketing</v>
      </c>
      <c r="E28" s="305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5" t="s">
        <v>497</v>
      </c>
      <c r="I28" s="308">
        <v>45992</v>
      </c>
      <c r="J28" s="309"/>
      <c r="K28" s="154">
        <f t="shared" ca="1" si="0"/>
        <v>288</v>
      </c>
      <c r="L28" s="309"/>
      <c r="M28" s="305" t="s">
        <v>338</v>
      </c>
    </row>
    <row r="29" spans="2:13">
      <c r="B29" s="305" t="s">
        <v>550</v>
      </c>
      <c r="C29" s="305" t="s">
        <v>491</v>
      </c>
      <c r="D29" s="305" t="str">
        <f>INDEX('Employee Mapping'!C:C,MATCH('Combined Employee Worksheet'!$C29,'Employee Mapping'!$B:$B,0))</f>
        <v>Client Lead</v>
      </c>
      <c r="E29" s="305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5" t="s">
        <v>497</v>
      </c>
      <c r="I29" s="308">
        <v>46055</v>
      </c>
      <c r="J29" s="309"/>
      <c r="K29" s="154">
        <f t="shared" ca="1" si="0"/>
        <v>225</v>
      </c>
      <c r="L29" s="309"/>
      <c r="M29" s="305" t="s">
        <v>338</v>
      </c>
    </row>
    <row r="30" spans="2:13">
      <c r="B30" s="305" t="s">
        <v>545</v>
      </c>
      <c r="C30" s="305" t="s">
        <v>1349</v>
      </c>
      <c r="D30" s="305" t="str">
        <f>INDEX('Employee Mapping'!C:C,MATCH('Combined Employee Worksheet'!$C30,'Employee Mapping'!$B:$B,0))</f>
        <v>Bookkeeper</v>
      </c>
      <c r="E30" s="305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5" t="s">
        <v>497</v>
      </c>
      <c r="I30" s="308">
        <v>45726</v>
      </c>
      <c r="J30" s="309"/>
      <c r="K30" s="154">
        <f t="shared" ca="1" si="0"/>
        <v>554</v>
      </c>
      <c r="L30" s="309"/>
      <c r="M30" s="305" t="s">
        <v>338</v>
      </c>
    </row>
    <row r="31" spans="2:13">
      <c r="B31" s="305" t="s">
        <v>522</v>
      </c>
      <c r="C31" s="305" t="s">
        <v>491</v>
      </c>
      <c r="D31" s="305" t="str">
        <f>INDEX('Employee Mapping'!C:C,MATCH('Combined Employee Worksheet'!$C31,'Employee Mapping'!$B:$B,0))</f>
        <v>Client Lead</v>
      </c>
      <c r="E31" s="305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5" t="s">
        <v>497</v>
      </c>
      <c r="I31" s="308">
        <v>46246</v>
      </c>
      <c r="J31" s="309"/>
      <c r="K31" s="154">
        <f t="shared" ca="1" si="0"/>
        <v>34</v>
      </c>
      <c r="L31" s="309"/>
      <c r="M31" s="305" t="s">
        <v>338</v>
      </c>
    </row>
    <row r="32" spans="2:13">
      <c r="B32" s="305" t="s">
        <v>1418</v>
      </c>
      <c r="C32" s="305" t="s">
        <v>1349</v>
      </c>
      <c r="D32" s="305" t="str">
        <f>INDEX('Employee Mapping'!C:C,MATCH('Combined Employee Worksheet'!$C32,'Employee Mapping'!$B:$B,0))</f>
        <v>Bookkeeper</v>
      </c>
      <c r="E32" s="305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5" t="s">
        <v>497</v>
      </c>
      <c r="I32" s="308">
        <v>45985</v>
      </c>
      <c r="J32" s="309"/>
      <c r="K32" s="154">
        <f t="shared" ca="1" si="0"/>
        <v>295</v>
      </c>
      <c r="L32" s="309"/>
      <c r="M32" s="305" t="s">
        <v>338</v>
      </c>
    </row>
    <row r="33" spans="2:13">
      <c r="B33" s="305" t="s">
        <v>1357</v>
      </c>
      <c r="C33" s="305" t="s">
        <v>1349</v>
      </c>
      <c r="D33" s="305" t="str">
        <f>INDEX('Employee Mapping'!C:C,MATCH('Combined Employee Worksheet'!$C33,'Employee Mapping'!$B:$B,0))</f>
        <v>Bookkeeper</v>
      </c>
      <c r="E33" s="305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5" t="s">
        <v>497</v>
      </c>
      <c r="I33" s="308">
        <v>46254</v>
      </c>
      <c r="J33" s="309"/>
      <c r="K33" s="154">
        <f t="shared" ca="1" si="0"/>
        <v>26</v>
      </c>
      <c r="L33" s="309"/>
      <c r="M33" s="305" t="s">
        <v>338</v>
      </c>
    </row>
    <row r="34" spans="2:13">
      <c r="B34" s="305" t="s">
        <v>533</v>
      </c>
      <c r="C34" s="305" t="s">
        <v>1364</v>
      </c>
      <c r="D34" s="305" t="str">
        <f>INDEX('Employee Mapping'!C:C,MATCH('Combined Employee Worksheet'!$C34,'Employee Mapping'!$B:$B,0))</f>
        <v>Accounting Manager</v>
      </c>
      <c r="E34" s="305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5" t="s">
        <v>497</v>
      </c>
      <c r="I34" s="308">
        <v>46076</v>
      </c>
      <c r="J34" s="309"/>
      <c r="K34" s="154">
        <f t="shared" ca="1" si="0"/>
        <v>204</v>
      </c>
      <c r="L34" s="309"/>
      <c r="M34" s="305" t="s">
        <v>338</v>
      </c>
    </row>
    <row r="35" spans="2:13">
      <c r="B35" s="305" t="s">
        <v>560</v>
      </c>
      <c r="C35" s="305" t="s">
        <v>1349</v>
      </c>
      <c r="D35" s="305" t="str">
        <f>INDEX('Employee Mapping'!C:C,MATCH('Combined Employee Worksheet'!$C35,'Employee Mapping'!$B:$B,0))</f>
        <v>Bookkeeper</v>
      </c>
      <c r="E35" s="305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5" t="s">
        <v>497</v>
      </c>
      <c r="I35" s="308">
        <v>45761</v>
      </c>
      <c r="J35" s="309"/>
      <c r="K35" s="154">
        <f t="shared" ca="1" si="0"/>
        <v>519</v>
      </c>
      <c r="L35" s="309"/>
      <c r="M35" s="305" t="s">
        <v>338</v>
      </c>
    </row>
    <row r="36" spans="2:13">
      <c r="B36" s="305" t="s">
        <v>1491</v>
      </c>
      <c r="C36" s="305" t="s">
        <v>1473</v>
      </c>
      <c r="D36" s="305" t="str">
        <f>INDEX('Employee Mapping'!C:C,MATCH('Combined Employee Worksheet'!$C36,'Employee Mapping'!$B:$B,0))</f>
        <v>Onboarding Specialist</v>
      </c>
      <c r="E36" s="305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5" t="s">
        <v>497</v>
      </c>
      <c r="I36" s="308">
        <v>45170</v>
      </c>
      <c r="J36" s="309"/>
      <c r="K36" s="154">
        <f t="shared" ca="1" si="0"/>
        <v>1110</v>
      </c>
      <c r="L36" s="309"/>
      <c r="M36" s="305" t="s">
        <v>338</v>
      </c>
    </row>
    <row r="37" spans="2:13">
      <c r="B37" s="305" t="s">
        <v>1371</v>
      </c>
      <c r="C37" s="305" t="s">
        <v>1501</v>
      </c>
      <c r="D37" s="305" t="str">
        <f>INDEX('Employee Mapping'!C:C,MATCH('Combined Employee Worksheet'!$C37,'Employee Mapping'!$B:$B,0))</f>
        <v>Leadership</v>
      </c>
      <c r="E37" s="305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5" t="s">
        <v>497</v>
      </c>
      <c r="I37" s="308">
        <v>44823</v>
      </c>
      <c r="J37" s="309"/>
      <c r="K37" s="154">
        <f t="shared" ca="1" si="0"/>
        <v>1457</v>
      </c>
      <c r="L37" s="309"/>
      <c r="M37" s="305" t="s">
        <v>338</v>
      </c>
    </row>
    <row r="38" spans="2:13">
      <c r="B38" s="305" t="s">
        <v>769</v>
      </c>
      <c r="C38" s="305" t="s">
        <v>1480</v>
      </c>
      <c r="D38" s="305" t="str">
        <f>INDEX('Employee Mapping'!C:C,MATCH('Combined Employee Worksheet'!$C38,'Employee Mapping'!$B:$B,0))</f>
        <v>Client Lead</v>
      </c>
      <c r="E38" s="305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5" t="s">
        <v>497</v>
      </c>
      <c r="I38" s="308">
        <v>45467</v>
      </c>
      <c r="J38" s="309"/>
      <c r="K38" s="154">
        <f t="shared" ca="1" si="0"/>
        <v>813</v>
      </c>
      <c r="L38" s="309"/>
      <c r="M38" s="305" t="s">
        <v>338</v>
      </c>
    </row>
    <row r="39" spans="2:13">
      <c r="B39" s="305" t="s">
        <v>1422</v>
      </c>
      <c r="C39" s="305" t="s">
        <v>1349</v>
      </c>
      <c r="D39" s="305" t="str">
        <f>INDEX('Employee Mapping'!C:C,MATCH('Combined Employee Worksheet'!$C39,'Employee Mapping'!$B:$B,0))</f>
        <v>Bookkeeper</v>
      </c>
      <c r="E39" s="305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5" t="s">
        <v>497</v>
      </c>
      <c r="I39" s="308">
        <v>45943</v>
      </c>
      <c r="J39" s="309"/>
      <c r="K39" s="154">
        <f t="shared" ca="1" si="0"/>
        <v>337</v>
      </c>
      <c r="L39" s="309"/>
      <c r="M39" s="305" t="s">
        <v>338</v>
      </c>
    </row>
    <row r="40" spans="2:13">
      <c r="B40" s="305" t="s">
        <v>1497</v>
      </c>
      <c r="C40" s="305" t="s">
        <v>1499</v>
      </c>
      <c r="D40" s="305" t="str">
        <f>INDEX('Employee Mapping'!C:C,MATCH('Combined Employee Worksheet'!$C40,'Employee Mapping'!$B:$B,0))</f>
        <v>Leadership</v>
      </c>
      <c r="E40" s="305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5" t="s">
        <v>497</v>
      </c>
      <c r="I40" s="308">
        <v>44958</v>
      </c>
      <c r="J40" s="309"/>
      <c r="K40" s="154">
        <f t="shared" ca="1" si="0"/>
        <v>1322</v>
      </c>
      <c r="L40" s="309"/>
      <c r="M40" s="305" t="s">
        <v>338</v>
      </c>
    </row>
    <row r="41" spans="2:13">
      <c r="B41" s="305" t="s">
        <v>584</v>
      </c>
      <c r="C41" s="305" t="s">
        <v>1349</v>
      </c>
      <c r="D41" s="305" t="str">
        <f>INDEX('Employee Mapping'!C:C,MATCH('Combined Employee Worksheet'!$C41,'Employee Mapping'!$B:$B,0))</f>
        <v>Bookkeeper</v>
      </c>
      <c r="E41" s="305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5" t="s">
        <v>497</v>
      </c>
      <c r="I41" s="308">
        <v>45866</v>
      </c>
      <c r="J41" s="309"/>
      <c r="K41" s="154">
        <f t="shared" ca="1" si="0"/>
        <v>414</v>
      </c>
      <c r="L41" s="309"/>
      <c r="M41" s="305" t="s">
        <v>338</v>
      </c>
    </row>
    <row r="42" spans="2:13">
      <c r="B42" s="305" t="s">
        <v>1397</v>
      </c>
      <c r="C42" s="305" t="s">
        <v>1343</v>
      </c>
      <c r="D42" s="305" t="str">
        <f>INDEX('Employee Mapping'!C:C,MATCH('Combined Employee Worksheet'!$C42,'Employee Mapping'!$B:$B,0))</f>
        <v>Tax</v>
      </c>
      <c r="E42" s="305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5" t="s">
        <v>497</v>
      </c>
      <c r="I42" s="308">
        <v>46125</v>
      </c>
      <c r="J42" s="309"/>
      <c r="K42" s="154">
        <f t="shared" ca="1" si="0"/>
        <v>155</v>
      </c>
      <c r="L42" s="309"/>
      <c r="M42" s="305" t="s">
        <v>338</v>
      </c>
    </row>
    <row r="43" spans="2:13">
      <c r="B43" s="305" t="s">
        <v>1376</v>
      </c>
      <c r="C43" s="305" t="s">
        <v>1374</v>
      </c>
      <c r="D43" s="305" t="str">
        <f>INDEX('Employee Mapping'!C:C,MATCH('Combined Employee Worksheet'!$C43,'Employee Mapping'!$B:$B,0))</f>
        <v>Onboarding Specialist</v>
      </c>
      <c r="E43" s="305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5" t="s">
        <v>497</v>
      </c>
      <c r="I43" s="308">
        <v>45467</v>
      </c>
      <c r="J43" s="309"/>
      <c r="K43" s="154">
        <f t="shared" ca="1" si="0"/>
        <v>813</v>
      </c>
      <c r="L43" s="309"/>
      <c r="M43" s="305" t="s">
        <v>338</v>
      </c>
    </row>
    <row r="44" spans="2:13">
      <c r="B44" s="305" t="s">
        <v>1439</v>
      </c>
      <c r="C44" s="305" t="s">
        <v>1349</v>
      </c>
      <c r="D44" s="305" t="str">
        <f>INDEX('Employee Mapping'!C:C,MATCH('Combined Employee Worksheet'!$C44,'Employee Mapping'!$B:$B,0))</f>
        <v>Bookkeeper</v>
      </c>
      <c r="E44" s="305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5" t="s">
        <v>497</v>
      </c>
      <c r="I44" s="308">
        <v>45838</v>
      </c>
      <c r="J44" s="309"/>
      <c r="K44" s="154">
        <f t="shared" ca="1" si="0"/>
        <v>442</v>
      </c>
      <c r="L44" s="309"/>
      <c r="M44" s="305" t="s">
        <v>338</v>
      </c>
    </row>
    <row r="45" spans="2:13">
      <c r="B45" s="305" t="s">
        <v>766</v>
      </c>
      <c r="C45" s="305" t="s">
        <v>1349</v>
      </c>
      <c r="D45" s="305" t="str">
        <f>INDEX('Employee Mapping'!C:C,MATCH('Combined Employee Worksheet'!$C45,'Employee Mapping'!$B:$B,0))</f>
        <v>Bookkeeper</v>
      </c>
      <c r="E45" s="305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5" t="s">
        <v>497</v>
      </c>
      <c r="I45" s="308">
        <v>45992</v>
      </c>
      <c r="J45" s="309"/>
      <c r="K45" s="154">
        <f t="shared" ca="1" si="0"/>
        <v>288</v>
      </c>
      <c r="L45" s="309"/>
      <c r="M45" s="305" t="s">
        <v>338</v>
      </c>
    </row>
    <row r="46" spans="2:13">
      <c r="B46" s="305" t="s">
        <v>1437</v>
      </c>
      <c r="C46" s="305" t="s">
        <v>1349</v>
      </c>
      <c r="D46" s="305" t="str">
        <f>INDEX('Employee Mapping'!C:C,MATCH('Combined Employee Worksheet'!$C46,'Employee Mapping'!$B:$B,0))</f>
        <v>Bookkeeper</v>
      </c>
      <c r="E46" s="305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5" t="s">
        <v>497</v>
      </c>
      <c r="I46" s="308">
        <v>45847</v>
      </c>
      <c r="J46" s="309"/>
      <c r="K46" s="154">
        <f t="shared" ca="1" si="0"/>
        <v>433</v>
      </c>
      <c r="L46" s="309"/>
      <c r="M46" s="305" t="s">
        <v>338</v>
      </c>
    </row>
    <row r="47" spans="2:13">
      <c r="B47" s="305" t="s">
        <v>1441</v>
      </c>
      <c r="C47" s="305" t="s">
        <v>1349</v>
      </c>
      <c r="D47" s="305" t="str">
        <f>INDEX('Employee Mapping'!C:C,MATCH('Combined Employee Worksheet'!$C47,'Employee Mapping'!$B:$B,0))</f>
        <v>Bookkeeper</v>
      </c>
      <c r="E47" s="305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5" t="s">
        <v>497</v>
      </c>
      <c r="I47" s="308">
        <v>45824</v>
      </c>
      <c r="J47" s="309"/>
      <c r="K47" s="154">
        <f t="shared" ca="1" si="0"/>
        <v>456</v>
      </c>
      <c r="L47" s="309"/>
      <c r="M47" s="305" t="s">
        <v>338</v>
      </c>
    </row>
    <row r="48" spans="2:13">
      <c r="B48" s="305" t="s">
        <v>1483</v>
      </c>
      <c r="C48" s="305" t="s">
        <v>1485</v>
      </c>
      <c r="D48" s="305" t="str">
        <f>INDEX('Employee Mapping'!C:C,MATCH('Combined Employee Worksheet'!$C48,'Employee Mapping'!$B:$B,0))</f>
        <v>Admin</v>
      </c>
      <c r="E48" s="305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5" t="s">
        <v>497</v>
      </c>
      <c r="I48" s="308">
        <v>45369</v>
      </c>
      <c r="J48" s="309"/>
      <c r="K48" s="154">
        <f t="shared" ca="1" si="0"/>
        <v>911</v>
      </c>
      <c r="L48" s="309"/>
      <c r="M48" s="305" t="s">
        <v>338</v>
      </c>
    </row>
    <row r="49" spans="2:13">
      <c r="B49" s="305" t="s">
        <v>1379</v>
      </c>
      <c r="C49" s="305" t="s">
        <v>1364</v>
      </c>
      <c r="D49" s="305" t="str">
        <f>INDEX('Employee Mapping'!C:C,MATCH('Combined Employee Worksheet'!$C49,'Employee Mapping'!$B:$B,0))</f>
        <v>Accounting Manager</v>
      </c>
      <c r="E49" s="305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5" t="s">
        <v>497</v>
      </c>
      <c r="I49" s="308">
        <v>46076</v>
      </c>
      <c r="J49" s="309"/>
      <c r="K49" s="154">
        <f t="shared" ca="1" si="0"/>
        <v>204</v>
      </c>
      <c r="L49" s="309"/>
      <c r="M49" s="305" t="s">
        <v>338</v>
      </c>
    </row>
    <row r="50" spans="2:13">
      <c r="B50" s="305" t="s">
        <v>557</v>
      </c>
      <c r="C50" s="305" t="s">
        <v>491</v>
      </c>
      <c r="D50" s="305" t="str">
        <f>INDEX('Employee Mapping'!C:C,MATCH('Combined Employee Worksheet'!$C50,'Employee Mapping'!$B:$B,0))</f>
        <v>Client Lead</v>
      </c>
      <c r="E50" s="305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5" t="s">
        <v>497</v>
      </c>
      <c r="I50" s="308">
        <v>45600</v>
      </c>
      <c r="J50" s="309"/>
      <c r="K50" s="154">
        <f t="shared" ca="1" si="0"/>
        <v>680</v>
      </c>
      <c r="L50" s="309"/>
      <c r="M50" s="305" t="s">
        <v>338</v>
      </c>
    </row>
    <row r="51" spans="2:13">
      <c r="B51" s="305" t="s">
        <v>536</v>
      </c>
      <c r="C51" s="305" t="s">
        <v>491</v>
      </c>
      <c r="D51" s="305" t="str">
        <f>INDEX('Employee Mapping'!C:C,MATCH('Combined Employee Worksheet'!$C51,'Employee Mapping'!$B:$B,0))</f>
        <v>Client Lead</v>
      </c>
      <c r="E51" s="305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5" t="s">
        <v>497</v>
      </c>
      <c r="I51" s="308">
        <v>45481</v>
      </c>
      <c r="J51" s="309"/>
      <c r="K51" s="154">
        <f t="shared" ca="1" si="0"/>
        <v>799</v>
      </c>
      <c r="L51" s="309"/>
      <c r="M51" s="305" t="s">
        <v>338</v>
      </c>
    </row>
    <row r="52" spans="2:13">
      <c r="B52" s="305" t="s">
        <v>705</v>
      </c>
      <c r="C52" s="305" t="s">
        <v>1410</v>
      </c>
      <c r="D52" s="305" t="str">
        <f>INDEX('Employee Mapping'!C:C,MATCH('Combined Employee Worksheet'!$C52,'Employee Mapping'!$B:$B,0))</f>
        <v>Bookkeeper</v>
      </c>
      <c r="E52" s="305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5" t="s">
        <v>497</v>
      </c>
      <c r="I52" s="308">
        <v>45175</v>
      </c>
      <c r="J52" s="309"/>
      <c r="K52" s="154">
        <f t="shared" ca="1" si="0"/>
        <v>1105</v>
      </c>
      <c r="L52" s="309"/>
      <c r="M52" s="305" t="s">
        <v>338</v>
      </c>
    </row>
    <row r="53" spans="2:13">
      <c r="B53" s="305" t="s">
        <v>682</v>
      </c>
      <c r="C53" s="305" t="s">
        <v>1370</v>
      </c>
      <c r="D53" s="305" t="str">
        <f>INDEX('Employee Mapping'!C:C,MATCH('Combined Employee Worksheet'!$C53,'Employee Mapping'!$B:$B,0))</f>
        <v>Admin</v>
      </c>
      <c r="E53" s="305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5" t="s">
        <v>497</v>
      </c>
      <c r="I53" s="308">
        <v>46241</v>
      </c>
      <c r="J53" s="309"/>
      <c r="K53" s="154">
        <f t="shared" ca="1" si="0"/>
        <v>39</v>
      </c>
      <c r="L53" s="309"/>
      <c r="M53" s="305" t="s">
        <v>338</v>
      </c>
    </row>
    <row r="54" spans="2:13">
      <c r="B54" s="305" t="s">
        <v>1345</v>
      </c>
      <c r="C54" s="305" t="s">
        <v>1413</v>
      </c>
      <c r="D54" s="305" t="str">
        <f>INDEX('Employee Mapping'!C:C,MATCH('Combined Employee Worksheet'!$C54,'Employee Mapping'!$B:$B,0))</f>
        <v>Tax</v>
      </c>
      <c r="E54" s="305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5" t="s">
        <v>497</v>
      </c>
      <c r="I54" s="308">
        <v>46044</v>
      </c>
      <c r="J54" s="309"/>
      <c r="K54" s="154">
        <f t="shared" ca="1" si="0"/>
        <v>236</v>
      </c>
      <c r="L54" s="309"/>
      <c r="M54" s="305" t="s">
        <v>338</v>
      </c>
    </row>
    <row r="55" spans="2:13">
      <c r="B55" s="305" t="s">
        <v>1425</v>
      </c>
      <c r="C55" s="305" t="s">
        <v>491</v>
      </c>
      <c r="D55" s="305" t="str">
        <f>INDEX('Employee Mapping'!C:C,MATCH('Combined Employee Worksheet'!$C55,'Employee Mapping'!$B:$B,0))</f>
        <v>Client Lead</v>
      </c>
      <c r="E55" s="305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5" t="s">
        <v>497</v>
      </c>
      <c r="I55" s="308">
        <v>45628</v>
      </c>
      <c r="J55" s="309"/>
      <c r="K55" s="154">
        <f t="shared" ca="1" si="0"/>
        <v>652</v>
      </c>
      <c r="L55" s="309"/>
      <c r="M55" s="305" t="s">
        <v>338</v>
      </c>
    </row>
    <row r="56" spans="2:13">
      <c r="B56" s="305" t="s">
        <v>1392</v>
      </c>
      <c r="C56" s="305" t="s">
        <v>491</v>
      </c>
      <c r="D56" s="305" t="str">
        <f>INDEX('Employee Mapping'!C:C,MATCH('Combined Employee Worksheet'!$C56,'Employee Mapping'!$B:$B,0))</f>
        <v>Client Lead</v>
      </c>
      <c r="E56" s="305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5" t="s">
        <v>497</v>
      </c>
      <c r="I56" s="308">
        <v>45432</v>
      </c>
      <c r="J56" s="309"/>
      <c r="K56" s="154">
        <f t="shared" ca="1" si="0"/>
        <v>848</v>
      </c>
      <c r="L56" s="309"/>
      <c r="M56" s="305" t="s">
        <v>338</v>
      </c>
    </row>
    <row r="57" spans="2:13">
      <c r="B57" s="305" t="s">
        <v>626</v>
      </c>
      <c r="C57" s="305" t="s">
        <v>1349</v>
      </c>
      <c r="D57" s="305" t="str">
        <f>INDEX('Employee Mapping'!C:C,MATCH('Combined Employee Worksheet'!$C57,'Employee Mapping'!$B:$B,0))</f>
        <v>Bookkeeper</v>
      </c>
      <c r="E57" s="305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5" t="s">
        <v>497</v>
      </c>
      <c r="I57" s="308">
        <v>46163</v>
      </c>
      <c r="J57" s="309"/>
      <c r="K57" s="154">
        <f t="shared" ca="1" si="0"/>
        <v>117</v>
      </c>
      <c r="L57" s="309"/>
      <c r="M57" s="305" t="s">
        <v>338</v>
      </c>
    </row>
    <row r="58" spans="2:13">
      <c r="B58" s="305" t="s">
        <v>1385</v>
      </c>
      <c r="C58" s="305" t="s">
        <v>1473</v>
      </c>
      <c r="D58" s="305" t="str">
        <f>INDEX('Employee Mapping'!C:C,MATCH('Combined Employee Worksheet'!$C58,'Employee Mapping'!$B:$B,0))</f>
        <v>Onboarding Specialist</v>
      </c>
      <c r="E58" s="305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5" t="s">
        <v>497</v>
      </c>
      <c r="I58" s="308">
        <v>45533</v>
      </c>
      <c r="J58" s="309"/>
      <c r="K58" s="154">
        <f t="shared" ca="1" si="0"/>
        <v>747</v>
      </c>
      <c r="L58" s="309"/>
      <c r="M58" s="305" t="s">
        <v>338</v>
      </c>
    </row>
    <row r="59" spans="2:13">
      <c r="B59" s="305" t="s">
        <v>612</v>
      </c>
      <c r="C59" s="305" t="s">
        <v>1349</v>
      </c>
      <c r="D59" s="305" t="str">
        <f>INDEX('Employee Mapping'!C:C,MATCH('Combined Employee Worksheet'!$C59,'Employee Mapping'!$B:$B,0))</f>
        <v>Bookkeeper</v>
      </c>
      <c r="E59" s="305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5" t="s">
        <v>497</v>
      </c>
      <c r="I59" s="308">
        <v>46191</v>
      </c>
      <c r="J59" s="309"/>
      <c r="K59" s="154">
        <f t="shared" ca="1" si="0"/>
        <v>89</v>
      </c>
      <c r="L59" s="309"/>
      <c r="M59" s="305" t="s">
        <v>338</v>
      </c>
    </row>
    <row r="60" spans="2:13">
      <c r="B60" s="305" t="s">
        <v>640</v>
      </c>
      <c r="C60" s="305" t="s">
        <v>1349</v>
      </c>
      <c r="D60" s="305" t="str">
        <f>INDEX('Employee Mapping'!C:C,MATCH('Combined Employee Worksheet'!$C60,'Employee Mapping'!$B:$B,0))</f>
        <v>Bookkeeper</v>
      </c>
      <c r="E60" s="305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5" t="s">
        <v>497</v>
      </c>
      <c r="I60" s="308">
        <v>45974</v>
      </c>
      <c r="J60" s="309"/>
      <c r="K60" s="154">
        <f t="shared" ca="1" si="0"/>
        <v>306</v>
      </c>
      <c r="L60" s="309"/>
      <c r="M60" s="305" t="s">
        <v>338</v>
      </c>
    </row>
    <row r="61" spans="2:13">
      <c r="B61" s="305" t="s">
        <v>1351</v>
      </c>
      <c r="C61" s="305" t="s">
        <v>1349</v>
      </c>
      <c r="D61" s="305" t="str">
        <f>INDEX('Employee Mapping'!C:C,MATCH('Combined Employee Worksheet'!$C61,'Employee Mapping'!$B:$B,0))</f>
        <v>Bookkeeper</v>
      </c>
      <c r="E61" s="305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5" t="s">
        <v>497</v>
      </c>
      <c r="I61" s="308">
        <v>46269</v>
      </c>
      <c r="J61" s="309"/>
      <c r="K61" s="154">
        <f t="shared" ca="1" si="0"/>
        <v>11</v>
      </c>
      <c r="L61" s="309"/>
      <c r="M61" s="305" t="s">
        <v>1350</v>
      </c>
    </row>
    <row r="62" spans="2:13">
      <c r="B62" s="305" t="s">
        <v>510</v>
      </c>
      <c r="C62" s="305" t="s">
        <v>1364</v>
      </c>
      <c r="D62" s="305" t="str">
        <f>INDEX('Employee Mapping'!C:C,MATCH('Combined Employee Worksheet'!$C62,'Employee Mapping'!$B:$B,0))</f>
        <v>Accounting Manager</v>
      </c>
      <c r="E62" s="305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5" t="s">
        <v>497</v>
      </c>
      <c r="I62" s="308">
        <v>45915</v>
      </c>
      <c r="J62" s="309"/>
      <c r="K62" s="154">
        <f t="shared" ca="1" si="0"/>
        <v>365</v>
      </c>
      <c r="L62" s="309"/>
      <c r="M62" s="305" t="s">
        <v>338</v>
      </c>
    </row>
    <row r="63" spans="2:13">
      <c r="B63" s="305" t="s">
        <v>1488</v>
      </c>
      <c r="C63" s="305" t="s">
        <v>1349</v>
      </c>
      <c r="D63" s="305" t="s">
        <v>493</v>
      </c>
      <c r="E63" s="305" t="s">
        <v>63</v>
      </c>
      <c r="F63" s="82">
        <v>1125</v>
      </c>
      <c r="G63" s="82">
        <v>13500</v>
      </c>
      <c r="H63" s="305" t="s">
        <v>497</v>
      </c>
      <c r="I63" s="308">
        <v>45306</v>
      </c>
      <c r="J63" s="309"/>
      <c r="K63" s="154">
        <f t="shared" ca="1" si="0"/>
        <v>974</v>
      </c>
      <c r="L63" s="309"/>
      <c r="M63" s="305" t="s">
        <v>338</v>
      </c>
    </row>
    <row r="64" spans="2:13">
      <c r="B64" s="305" t="s">
        <v>1445</v>
      </c>
      <c r="C64" s="305" t="s">
        <v>1447</v>
      </c>
      <c r="D64" s="305" t="str">
        <f>INDEX('Employee Mapping'!C:C,MATCH('Combined Employee Worksheet'!$C64,'Employee Mapping'!$B:$B,0))</f>
        <v>Sales &amp; Marketing</v>
      </c>
      <c r="E64" s="305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5" t="s">
        <v>497</v>
      </c>
      <c r="I64" s="308">
        <v>45810</v>
      </c>
      <c r="J64" s="309"/>
      <c r="K64" s="154">
        <f t="shared" ca="1" si="0"/>
        <v>470</v>
      </c>
      <c r="L64" s="309"/>
      <c r="M64" s="305" t="s">
        <v>338</v>
      </c>
    </row>
    <row r="65" spans="2:13">
      <c r="B65" s="305" t="s">
        <v>651</v>
      </c>
      <c r="C65" s="305" t="s">
        <v>1401</v>
      </c>
      <c r="D65" s="305" t="str">
        <f>INDEX('Employee Mapping'!C:C,MATCH('Combined Employee Worksheet'!$C65,'Employee Mapping'!$B:$B,0))</f>
        <v>Onboarding Support</v>
      </c>
      <c r="E65" s="305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5" t="s">
        <v>497</v>
      </c>
      <c r="I65" s="308">
        <v>45943</v>
      </c>
      <c r="J65" s="309"/>
      <c r="K65" s="154">
        <f t="shared" ca="1" si="0"/>
        <v>337</v>
      </c>
      <c r="L65" s="309"/>
      <c r="M65" s="305" t="s">
        <v>338</v>
      </c>
    </row>
    <row r="66" spans="2:13">
      <c r="B66" s="305" t="s">
        <v>580</v>
      </c>
      <c r="C66" s="305" t="s">
        <v>1410</v>
      </c>
      <c r="D66" s="305" t="str">
        <f>INDEX('Employee Mapping'!C:C,MATCH('Combined Employee Worksheet'!$C66,'Employee Mapping'!$B:$B,0))</f>
        <v>Bookkeeper</v>
      </c>
      <c r="E66" s="305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5" t="s">
        <v>497</v>
      </c>
      <c r="I66" s="308">
        <v>45581</v>
      </c>
      <c r="J66" s="309"/>
      <c r="K66" s="154">
        <f t="shared" ca="1" si="0"/>
        <v>699</v>
      </c>
      <c r="L66" s="309"/>
      <c r="M66" s="305" t="s">
        <v>338</v>
      </c>
    </row>
    <row r="67" spans="2:13">
      <c r="B67" s="305" t="s">
        <v>716</v>
      </c>
      <c r="C67" s="305" t="s">
        <v>1430</v>
      </c>
      <c r="D67" s="305" t="str">
        <f>INDEX('Employee Mapping'!C:C,MATCH('Combined Employee Worksheet'!$C67,'Employee Mapping'!$B:$B,0))</f>
        <v>Onboarding Support</v>
      </c>
      <c r="E67" s="305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5" t="s">
        <v>497</v>
      </c>
      <c r="I67" s="308">
        <v>45313</v>
      </c>
      <c r="J67" s="309"/>
      <c r="K67" s="154">
        <f t="shared" ca="1" si="0"/>
        <v>967</v>
      </c>
      <c r="L67" s="309"/>
      <c r="M67" s="305" t="s">
        <v>338</v>
      </c>
    </row>
    <row r="68" spans="2:13">
      <c r="B68" s="305" t="s">
        <v>862</v>
      </c>
      <c r="C68" s="305" t="s">
        <v>1349</v>
      </c>
      <c r="D68" s="305" t="str">
        <f>INDEX('Employee Mapping'!C:C,MATCH('Combined Employee Worksheet'!$C68,'Employee Mapping'!$B:$B,0))</f>
        <v>Bookkeeper</v>
      </c>
      <c r="E68" s="305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5" t="s">
        <v>497</v>
      </c>
      <c r="I68" s="308">
        <v>46192</v>
      </c>
      <c r="J68" s="309"/>
      <c r="K68" s="154">
        <f t="shared" ca="1" si="0"/>
        <v>88</v>
      </c>
      <c r="L68" s="309"/>
      <c r="M68" s="305" t="s">
        <v>338</v>
      </c>
    </row>
    <row r="69" spans="2:13">
      <c r="B69" s="305" t="s">
        <v>1341</v>
      </c>
      <c r="C69" s="305" t="s">
        <v>1343</v>
      </c>
      <c r="D69" s="305" t="str">
        <f>INDEX('Employee Mapping'!C:C,MATCH('Combined Employee Worksheet'!$C69,'Employee Mapping'!$B:$B,0))</f>
        <v>Tax</v>
      </c>
      <c r="E69" s="305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5" t="s">
        <v>497</v>
      </c>
      <c r="I69" s="308">
        <v>46275</v>
      </c>
      <c r="J69" s="309"/>
      <c r="K69" s="154">
        <f t="shared" ca="1" si="0"/>
        <v>5</v>
      </c>
      <c r="L69" s="309"/>
      <c r="M69" s="305" t="s">
        <v>1346</v>
      </c>
    </row>
    <row r="70" spans="2:13">
      <c r="B70" s="305" t="s">
        <v>1372</v>
      </c>
      <c r="C70" s="305" t="s">
        <v>1374</v>
      </c>
      <c r="D70" s="305" t="str">
        <f>INDEX('Employee Mapping'!C:C,MATCH('Combined Employee Worksheet'!$C70,'Employee Mapping'!$B:$B,0))</f>
        <v>Onboarding Specialist</v>
      </c>
      <c r="E70" s="305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5" t="s">
        <v>497</v>
      </c>
      <c r="I70" s="308">
        <v>46233</v>
      </c>
      <c r="J70" s="309"/>
      <c r="K70" s="154">
        <f t="shared" ca="1" si="0"/>
        <v>47</v>
      </c>
      <c r="L70" s="309"/>
      <c r="M70" s="305" t="s">
        <v>338</v>
      </c>
    </row>
    <row r="71" spans="2:13">
      <c r="B71" s="305" t="s">
        <v>1435</v>
      </c>
      <c r="C71" s="305" t="s">
        <v>1349</v>
      </c>
      <c r="D71" s="305" t="str">
        <f>INDEX('Employee Mapping'!C:C,MATCH('Combined Employee Worksheet'!$C71,'Employee Mapping'!$B:$B,0))</f>
        <v>Bookkeeper</v>
      </c>
      <c r="E71" s="305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5" t="s">
        <v>497</v>
      </c>
      <c r="I71" s="308">
        <v>45852</v>
      </c>
      <c r="J71" s="309"/>
      <c r="K71" s="154">
        <f t="shared" ref="K71:K134" ca="1" si="1">IF(J71=0,TODAY()-I71,J71-I71)</f>
        <v>428</v>
      </c>
      <c r="L71" s="309"/>
      <c r="M71" s="305" t="s">
        <v>338</v>
      </c>
    </row>
    <row r="72" spans="2:13">
      <c r="B72" s="305" t="s">
        <v>681</v>
      </c>
      <c r="C72" s="305" t="s">
        <v>491</v>
      </c>
      <c r="D72" s="305" t="str">
        <f>INDEX('Employee Mapping'!C:C,MATCH('Combined Employee Worksheet'!$C72,'Employee Mapping'!$B:$B,0))</f>
        <v>Client Lead</v>
      </c>
      <c r="E72" s="305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5" t="s">
        <v>497</v>
      </c>
      <c r="I72" s="308">
        <v>45964</v>
      </c>
      <c r="J72" s="309"/>
      <c r="K72" s="154">
        <f t="shared" ca="1" si="1"/>
        <v>316</v>
      </c>
      <c r="L72" s="309"/>
      <c r="M72" s="305" t="s">
        <v>338</v>
      </c>
    </row>
    <row r="73" spans="2:13">
      <c r="B73" s="305" t="s">
        <v>715</v>
      </c>
      <c r="C73" s="305" t="s">
        <v>1401</v>
      </c>
      <c r="D73" s="305" t="str">
        <f>INDEX('Employee Mapping'!C:C,MATCH('Combined Employee Worksheet'!$C73,'Employee Mapping'!$B:$B,0))</f>
        <v>Onboarding Support</v>
      </c>
      <c r="E73" s="305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5" t="s">
        <v>497</v>
      </c>
      <c r="I73" s="308">
        <v>46091</v>
      </c>
      <c r="J73" s="309"/>
      <c r="K73" s="154">
        <f t="shared" ca="1" si="1"/>
        <v>189</v>
      </c>
      <c r="L73" s="309"/>
      <c r="M73" s="305" t="s">
        <v>338</v>
      </c>
    </row>
    <row r="74" spans="2:13">
      <c r="B74" s="305" t="s">
        <v>1381</v>
      </c>
      <c r="C74" s="305" t="s">
        <v>491</v>
      </c>
      <c r="D74" s="305" t="str">
        <f>INDEX('Employee Mapping'!C:C,MATCH('Combined Employee Worksheet'!$C74,'Employee Mapping'!$B:$B,0))</f>
        <v>Client Lead</v>
      </c>
      <c r="E74" s="305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5" t="s">
        <v>497</v>
      </c>
      <c r="I74" s="308">
        <v>45663</v>
      </c>
      <c r="J74" s="309"/>
      <c r="K74" s="154">
        <f t="shared" ca="1" si="1"/>
        <v>617</v>
      </c>
      <c r="L74" s="309"/>
      <c r="M74" s="305" t="s">
        <v>338</v>
      </c>
    </row>
    <row r="75" spans="2:13">
      <c r="B75" s="305" t="s">
        <v>602</v>
      </c>
      <c r="C75" s="305" t="s">
        <v>1410</v>
      </c>
      <c r="D75" s="305" t="str">
        <f>INDEX('Employee Mapping'!C:C,MATCH('Combined Employee Worksheet'!$C75,'Employee Mapping'!$B:$B,0))</f>
        <v>Bookkeeper</v>
      </c>
      <c r="E75" s="305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5" t="s">
        <v>497</v>
      </c>
      <c r="I75" s="308">
        <v>46048</v>
      </c>
      <c r="J75" s="309"/>
      <c r="K75" s="154">
        <f t="shared" ca="1" si="1"/>
        <v>232</v>
      </c>
      <c r="L75" s="309"/>
      <c r="M75" s="305" t="s">
        <v>1411</v>
      </c>
    </row>
    <row r="76" spans="2:13">
      <c r="B76" s="305" t="s">
        <v>1443</v>
      </c>
      <c r="C76" s="305" t="s">
        <v>1349</v>
      </c>
      <c r="D76" s="305" t="str">
        <f>INDEX('Employee Mapping'!C:C,MATCH('Combined Employee Worksheet'!$C76,'Employee Mapping'!$B:$B,0))</f>
        <v>Bookkeeper</v>
      </c>
      <c r="E76" s="305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5" t="s">
        <v>497</v>
      </c>
      <c r="I76" s="308">
        <v>45813</v>
      </c>
      <c r="J76" s="309"/>
      <c r="K76" s="154">
        <f t="shared" ca="1" si="1"/>
        <v>467</v>
      </c>
      <c r="L76" s="309"/>
      <c r="M76" s="305" t="s">
        <v>338</v>
      </c>
    </row>
    <row r="77" spans="2:13">
      <c r="B77" s="305" t="s">
        <v>1448</v>
      </c>
      <c r="C77" s="305" t="s">
        <v>1450</v>
      </c>
      <c r="D77" s="305" t="str">
        <f>INDEX('Employee Mapping'!C:C,MATCH('Combined Employee Worksheet'!$C77,'Employee Mapping'!$B:$B,0))</f>
        <v>Admin</v>
      </c>
      <c r="E77" s="305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5" t="s">
        <v>497</v>
      </c>
      <c r="I77" s="308">
        <v>45782</v>
      </c>
      <c r="J77" s="309"/>
      <c r="K77" s="154">
        <f t="shared" ca="1" si="1"/>
        <v>498</v>
      </c>
      <c r="L77" s="309"/>
      <c r="M77" s="305" t="s">
        <v>338</v>
      </c>
    </row>
    <row r="78" spans="2:13">
      <c r="B78" s="305" t="s">
        <v>624</v>
      </c>
      <c r="C78" s="305" t="s">
        <v>1349</v>
      </c>
      <c r="D78" s="305" t="str">
        <f>INDEX('Employee Mapping'!C:C,MATCH('Combined Employee Worksheet'!$C78,'Employee Mapping'!$B:$B,0))</f>
        <v>Bookkeeper</v>
      </c>
      <c r="E78" s="305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5" t="s">
        <v>497</v>
      </c>
      <c r="I78" s="308">
        <v>46125</v>
      </c>
      <c r="J78" s="309"/>
      <c r="K78" s="154">
        <f t="shared" ca="1" si="1"/>
        <v>155</v>
      </c>
      <c r="L78" s="309"/>
      <c r="M78" s="305" t="s">
        <v>338</v>
      </c>
    </row>
    <row r="79" spans="2:13">
      <c r="B79" s="305" t="s">
        <v>1389</v>
      </c>
      <c r="C79" s="305" t="s">
        <v>1349</v>
      </c>
      <c r="D79" s="305" t="str">
        <f>INDEX('Employee Mapping'!C:C,MATCH('Combined Employee Worksheet'!$C79,'Employee Mapping'!$B:$B,0))</f>
        <v>Bookkeeper</v>
      </c>
      <c r="E79" s="305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5" t="s">
        <v>497</v>
      </c>
      <c r="I79" s="308">
        <v>46177</v>
      </c>
      <c r="J79" s="309"/>
      <c r="K79" s="154">
        <f t="shared" ca="1" si="1"/>
        <v>103</v>
      </c>
      <c r="L79" s="309"/>
      <c r="M79" s="305" t="s">
        <v>338</v>
      </c>
    </row>
    <row r="80" spans="2:13">
      <c r="B80" s="305" t="s">
        <v>565</v>
      </c>
      <c r="C80" s="305" t="s">
        <v>1410</v>
      </c>
      <c r="D80" s="305" t="str">
        <f>INDEX('Employee Mapping'!C:C,MATCH('Combined Employee Worksheet'!$C80,'Employee Mapping'!$B:$B,0))</f>
        <v>Bookkeeper</v>
      </c>
      <c r="E80" s="305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5" t="s">
        <v>497</v>
      </c>
      <c r="I80" s="308">
        <v>45894</v>
      </c>
      <c r="J80" s="309"/>
      <c r="K80" s="154">
        <f t="shared" ca="1" si="1"/>
        <v>386</v>
      </c>
      <c r="L80" s="309"/>
      <c r="M80" s="305" t="s">
        <v>1428</v>
      </c>
    </row>
    <row r="81" spans="2:13">
      <c r="B81" s="305" t="s">
        <v>576</v>
      </c>
      <c r="C81" s="305" t="s">
        <v>1349</v>
      </c>
      <c r="D81" s="305" t="str">
        <f>INDEX('Employee Mapping'!C:C,MATCH('Combined Employee Worksheet'!$C81,'Employee Mapping'!$B:$B,0))</f>
        <v>Bookkeeper</v>
      </c>
      <c r="E81" s="305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5" t="s">
        <v>497</v>
      </c>
      <c r="I81" s="308">
        <v>46205</v>
      </c>
      <c r="J81" s="309"/>
      <c r="K81" s="154">
        <f t="shared" ca="1" si="1"/>
        <v>75</v>
      </c>
      <c r="L81" s="309"/>
      <c r="M81" s="305" t="s">
        <v>338</v>
      </c>
    </row>
    <row r="82" spans="2:13">
      <c r="B82" s="305" t="s">
        <v>556</v>
      </c>
      <c r="C82" s="305" t="s">
        <v>1349</v>
      </c>
      <c r="D82" s="305" t="str">
        <f>INDEX('Employee Mapping'!C:C,MATCH('Combined Employee Worksheet'!$C82,'Employee Mapping'!$B:$B,0))</f>
        <v>Bookkeeper</v>
      </c>
      <c r="E82" s="305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5" t="s">
        <v>497</v>
      </c>
      <c r="I82" s="308">
        <v>45964</v>
      </c>
      <c r="J82" s="309"/>
      <c r="K82" s="154">
        <f t="shared" ca="1" si="1"/>
        <v>316</v>
      </c>
      <c r="L82" s="309"/>
      <c r="M82" s="305" t="s">
        <v>338</v>
      </c>
    </row>
    <row r="83" spans="2:13">
      <c r="B83" s="305" t="s">
        <v>1429</v>
      </c>
      <c r="C83" s="305" t="s">
        <v>1430</v>
      </c>
      <c r="D83" s="305" t="str">
        <f>INDEX('Employee Mapping'!C:C,MATCH('Combined Employee Worksheet'!$C83,'Employee Mapping'!$B:$B,0))</f>
        <v>Onboarding Support</v>
      </c>
      <c r="E83" s="305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5" t="s">
        <v>497</v>
      </c>
      <c r="I83" s="308">
        <v>45894</v>
      </c>
      <c r="J83" s="309"/>
      <c r="K83" s="154">
        <f t="shared" ca="1" si="1"/>
        <v>386</v>
      </c>
      <c r="L83" s="309"/>
      <c r="M83" s="305" t="s">
        <v>338</v>
      </c>
    </row>
    <row r="84" spans="2:13">
      <c r="B84" s="305" t="s">
        <v>877</v>
      </c>
      <c r="C84" s="305" t="s">
        <v>1480</v>
      </c>
      <c r="D84" s="305" t="str">
        <f>INDEX('Employee Mapping'!C:C,MATCH('Combined Employee Worksheet'!$C84,'Employee Mapping'!$B:$B,0))</f>
        <v>Client Lead</v>
      </c>
      <c r="E84" s="305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5" t="s">
        <v>497</v>
      </c>
      <c r="I84" s="308">
        <v>45404</v>
      </c>
      <c r="J84" s="309"/>
      <c r="K84" s="154">
        <f t="shared" ca="1" si="1"/>
        <v>876</v>
      </c>
      <c r="L84" s="309"/>
      <c r="M84" s="305" t="s">
        <v>338</v>
      </c>
    </row>
    <row r="85" spans="2:13">
      <c r="B85" s="305" t="s">
        <v>581</v>
      </c>
      <c r="C85" s="305" t="s">
        <v>491</v>
      </c>
      <c r="D85" s="305" t="str">
        <f>INDEX('Employee Mapping'!C:C,MATCH('Combined Employee Worksheet'!$C85,'Employee Mapping'!$B:$B,0))</f>
        <v>Client Lead</v>
      </c>
      <c r="E85" s="305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5" t="s">
        <v>497</v>
      </c>
      <c r="I85" s="308">
        <v>45075</v>
      </c>
      <c r="J85" s="309"/>
      <c r="K85" s="154">
        <f t="shared" ca="1" si="1"/>
        <v>1205</v>
      </c>
      <c r="L85" s="309"/>
      <c r="M85" s="305" t="s">
        <v>338</v>
      </c>
    </row>
    <row r="86" spans="2:13">
      <c r="B86" s="305" t="s">
        <v>1388</v>
      </c>
      <c r="C86" s="305" t="s">
        <v>1349</v>
      </c>
      <c r="D86" s="305" t="str">
        <f>INDEX('Employee Mapping'!C:C,MATCH('Combined Employee Worksheet'!$C86,'Employee Mapping'!$B:$B,0))</f>
        <v>Bookkeeper</v>
      </c>
      <c r="E86" s="305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5" t="s">
        <v>497</v>
      </c>
      <c r="I86" s="308">
        <v>45936</v>
      </c>
      <c r="J86" s="309"/>
      <c r="K86" s="154">
        <f t="shared" ca="1" si="1"/>
        <v>344</v>
      </c>
      <c r="L86" s="309"/>
      <c r="M86" s="305" t="s">
        <v>338</v>
      </c>
    </row>
    <row r="87" spans="2:13">
      <c r="B87" s="305" t="s">
        <v>1362</v>
      </c>
      <c r="C87" s="305" t="s">
        <v>1364</v>
      </c>
      <c r="D87" s="305" t="str">
        <f>INDEX('Employee Mapping'!C:C,MATCH('Combined Employee Worksheet'!$C87,'Employee Mapping'!$B:$B,0))</f>
        <v>Accounting Manager</v>
      </c>
      <c r="E87" s="305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5" t="s">
        <v>497</v>
      </c>
      <c r="I87" s="308">
        <v>46244</v>
      </c>
      <c r="J87" s="309"/>
      <c r="K87" s="154">
        <f t="shared" ca="1" si="1"/>
        <v>36</v>
      </c>
      <c r="L87" s="309"/>
      <c r="M87" s="305" t="s">
        <v>338</v>
      </c>
    </row>
    <row r="88" spans="2:13">
      <c r="B88" s="305" t="s">
        <v>1380</v>
      </c>
      <c r="C88" s="305" t="s">
        <v>1349</v>
      </c>
      <c r="D88" s="305" t="str">
        <f>INDEX('Employee Mapping'!C:C,MATCH('Combined Employee Worksheet'!$C88,'Employee Mapping'!$B:$B,0))</f>
        <v>Bookkeeper</v>
      </c>
      <c r="E88" s="305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5" t="s">
        <v>497</v>
      </c>
      <c r="I88" s="308">
        <v>46227</v>
      </c>
      <c r="J88" s="309"/>
      <c r="K88" s="154">
        <f t="shared" ca="1" si="1"/>
        <v>53</v>
      </c>
      <c r="L88" s="309"/>
      <c r="M88" s="305" t="s">
        <v>338</v>
      </c>
    </row>
    <row r="89" spans="2:13">
      <c r="B89" s="305" t="s">
        <v>1468</v>
      </c>
      <c r="C89" s="305" t="s">
        <v>1349</v>
      </c>
      <c r="D89" s="305" t="str">
        <f>INDEX('Employee Mapping'!C:C,MATCH('Combined Employee Worksheet'!$C89,'Employee Mapping'!$B:$B,0))</f>
        <v>Bookkeeper</v>
      </c>
      <c r="E89" s="305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5" t="s">
        <v>497</v>
      </c>
      <c r="I89" s="308">
        <v>45565</v>
      </c>
      <c r="J89" s="309"/>
      <c r="K89" s="154">
        <f t="shared" ca="1" si="1"/>
        <v>715</v>
      </c>
      <c r="L89" s="309"/>
      <c r="M89" s="305" t="s">
        <v>338</v>
      </c>
    </row>
    <row r="90" spans="2:13">
      <c r="B90" s="305" t="s">
        <v>523</v>
      </c>
      <c r="C90" s="305" t="s">
        <v>1370</v>
      </c>
      <c r="D90" s="305" t="str">
        <f>INDEX('Employee Mapping'!C:C,MATCH('Combined Employee Worksheet'!$C90,'Employee Mapping'!$B:$B,0))</f>
        <v>Admin</v>
      </c>
      <c r="E90" s="305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5" t="s">
        <v>497</v>
      </c>
      <c r="I90" s="308">
        <v>45992</v>
      </c>
      <c r="J90" s="309"/>
      <c r="K90" s="154">
        <f t="shared" ca="1" si="1"/>
        <v>288</v>
      </c>
      <c r="L90" s="309"/>
      <c r="M90" s="305" t="s">
        <v>338</v>
      </c>
    </row>
    <row r="91" spans="2:13">
      <c r="B91" s="305" t="s">
        <v>1475</v>
      </c>
      <c r="C91" s="305" t="s">
        <v>1410</v>
      </c>
      <c r="D91" s="305" t="str">
        <f>INDEX('Employee Mapping'!C:C,MATCH('Combined Employee Worksheet'!$C91,'Employee Mapping'!$B:$B,0))</f>
        <v>Bookkeeper</v>
      </c>
      <c r="E91" s="305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5" t="s">
        <v>497</v>
      </c>
      <c r="I91" s="308">
        <v>45502</v>
      </c>
      <c r="J91" s="309"/>
      <c r="K91" s="154">
        <f t="shared" ca="1" si="1"/>
        <v>778</v>
      </c>
      <c r="L91" s="309"/>
      <c r="M91" s="305" t="s">
        <v>338</v>
      </c>
    </row>
    <row r="92" spans="2:13">
      <c r="B92" s="305" t="s">
        <v>1453</v>
      </c>
      <c r="C92" s="305" t="s">
        <v>1455</v>
      </c>
      <c r="F92" s="82">
        <v>950</v>
      </c>
      <c r="G92" s="82">
        <v>0</v>
      </c>
      <c r="H92" s="305" t="s">
        <v>497</v>
      </c>
      <c r="I92" s="308">
        <v>45677</v>
      </c>
      <c r="J92" s="309"/>
      <c r="K92" s="154">
        <f t="shared" ca="1" si="1"/>
        <v>603</v>
      </c>
      <c r="L92" s="309"/>
      <c r="M92" s="305" t="s">
        <v>1812</v>
      </c>
    </row>
    <row r="93" spans="2:13" ht="12" customHeight="1">
      <c r="B93" s="305" t="s">
        <v>638</v>
      </c>
      <c r="C93" s="305" t="s">
        <v>1364</v>
      </c>
      <c r="D93" s="305" t="str">
        <f>INDEX('Employee Mapping'!C:C,MATCH('Combined Employee Worksheet'!$C93,'Employee Mapping'!$B:$B,0))</f>
        <v>Accounting Manager</v>
      </c>
      <c r="E93" s="305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5" t="s">
        <v>1809</v>
      </c>
      <c r="I93" s="308">
        <v>44907</v>
      </c>
      <c r="J93" s="308">
        <v>46244</v>
      </c>
      <c r="K93" s="154">
        <f t="shared" ca="1" si="1"/>
        <v>1337</v>
      </c>
      <c r="L93" s="327" t="str">
        <f>INDEX('Inactive Employees'!$O:$O,MATCH('Combined Employee Worksheet'!$B93,'Inactive Employees'!$A:$A,0))</f>
        <v>Resignation</v>
      </c>
    </row>
    <row r="94" spans="2:13" ht="12" customHeight="1">
      <c r="B94" s="305" t="s">
        <v>1639</v>
      </c>
      <c r="C94" s="305" t="s">
        <v>1349</v>
      </c>
      <c r="D94" s="305" t="str">
        <f>INDEX('Employee Mapping'!C:C,MATCH('Combined Employee Worksheet'!$C94,'Employee Mapping'!$B:$B,0))</f>
        <v>Bookkeeper</v>
      </c>
      <c r="E94" s="305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5" t="s">
        <v>1809</v>
      </c>
      <c r="I94" s="308">
        <v>45170</v>
      </c>
      <c r="J94" s="308">
        <v>46244</v>
      </c>
      <c r="K94" s="154">
        <f t="shared" ca="1" si="1"/>
        <v>1074</v>
      </c>
      <c r="L94" s="327" t="str">
        <f>INDEX('Inactive Employees'!$O:$O,MATCH('Combined Employee Worksheet'!$B94,'Inactive Employees'!$A:$A,0))</f>
        <v>Resignation</v>
      </c>
    </row>
    <row r="95" spans="2:13" ht="12" customHeight="1">
      <c r="B95" s="305" t="s">
        <v>1642</v>
      </c>
      <c r="C95" s="305" t="s">
        <v>1410</v>
      </c>
      <c r="D95" s="305" t="str">
        <f>INDEX('Employee Mapping'!C:C,MATCH('Combined Employee Worksheet'!$C95,'Employee Mapping'!$B:$B,0))</f>
        <v>Bookkeeper</v>
      </c>
      <c r="E95" s="305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5" t="s">
        <v>1809</v>
      </c>
      <c r="I95" s="308">
        <v>45170</v>
      </c>
      <c r="J95" s="308">
        <v>46244</v>
      </c>
      <c r="K95" s="154">
        <f t="shared" ca="1" si="1"/>
        <v>1074</v>
      </c>
      <c r="L95" s="327" t="str">
        <f>INDEX('Inactive Employees'!$O:$O,MATCH('Combined Employee Worksheet'!$B95,'Inactive Employees'!$A:$A,0))</f>
        <v>Resignation</v>
      </c>
    </row>
    <row r="96" spans="2:13" ht="12" customHeight="1">
      <c r="B96" s="305" t="s">
        <v>1740</v>
      </c>
      <c r="C96" s="305" t="s">
        <v>490</v>
      </c>
      <c r="D96" s="305" t="str">
        <f>INDEX('Employee Mapping'!C:C,MATCH('Combined Employee Worksheet'!$C96,'Employee Mapping'!$B:$B,0))</f>
        <v>Bookkeeper</v>
      </c>
      <c r="E96" s="305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5" t="s">
        <v>1809</v>
      </c>
      <c r="I96" s="308">
        <v>45250</v>
      </c>
      <c r="J96" s="308">
        <v>45798</v>
      </c>
      <c r="K96" s="154">
        <f t="shared" ca="1" si="1"/>
        <v>548</v>
      </c>
      <c r="L96" s="327" t="str">
        <f>INDEX('Inactive Employees'!$O:$O,MATCH('Combined Employee Worksheet'!$B96,'Inactive Employees'!$A:$A,0))</f>
        <v>Resignation</v>
      </c>
    </row>
    <row r="97" spans="2:12" ht="12" customHeight="1">
      <c r="B97" s="305" t="s">
        <v>1728</v>
      </c>
      <c r="C97" s="305" t="s">
        <v>490</v>
      </c>
      <c r="D97" s="305" t="str">
        <f>INDEX('Employee Mapping'!C:C,MATCH('Combined Employee Worksheet'!$C97,'Employee Mapping'!$B:$B,0))</f>
        <v>Bookkeeper</v>
      </c>
      <c r="E97" s="305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5" t="s">
        <v>1809</v>
      </c>
      <c r="I97" s="308">
        <v>45357</v>
      </c>
      <c r="J97" s="308">
        <v>45895</v>
      </c>
      <c r="K97" s="154">
        <f t="shared" ca="1" si="1"/>
        <v>538</v>
      </c>
      <c r="L97" s="327" t="str">
        <f>INDEX('Inactive Employees'!$O:$O,MATCH('Combined Employee Worksheet'!$B97,'Inactive Employees'!$A:$A,0))</f>
        <v>Termination</v>
      </c>
    </row>
    <row r="98" spans="2:12" ht="12" customHeight="1">
      <c r="B98" s="305" t="s">
        <v>1719</v>
      </c>
      <c r="C98" s="305" t="s">
        <v>490</v>
      </c>
      <c r="D98" s="305" t="str">
        <f>INDEX('Employee Mapping'!C:C,MATCH('Combined Employee Worksheet'!$C98,'Employee Mapping'!$B:$B,0))</f>
        <v>Bookkeeper</v>
      </c>
      <c r="E98" s="305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5" t="s">
        <v>1809</v>
      </c>
      <c r="I98" s="308">
        <v>45558</v>
      </c>
      <c r="J98" s="308">
        <v>45987</v>
      </c>
      <c r="K98" s="154">
        <f t="shared" ca="1" si="1"/>
        <v>429</v>
      </c>
      <c r="L98" s="327" t="str">
        <f>INDEX('Inactive Employees'!$O:$O,MATCH('Combined Employee Worksheet'!$B98,'Inactive Employees'!$A:$A,0))</f>
        <v>Termination</v>
      </c>
    </row>
    <row r="99" spans="2:12" ht="12" customHeight="1">
      <c r="B99" s="305" t="s">
        <v>1753</v>
      </c>
      <c r="C99" s="305" t="s">
        <v>491</v>
      </c>
      <c r="D99" s="305" t="str">
        <f>INDEX('Employee Mapping'!C:C,MATCH('Combined Employee Worksheet'!$C99,'Employee Mapping'!$B:$B,0))</f>
        <v>Client Lead</v>
      </c>
      <c r="E99" s="305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5" t="s">
        <v>1809</v>
      </c>
      <c r="I99" s="308">
        <v>45286</v>
      </c>
      <c r="J99" s="308">
        <v>45712</v>
      </c>
      <c r="K99" s="154">
        <f t="shared" ca="1" si="1"/>
        <v>426</v>
      </c>
      <c r="L99" s="327" t="str">
        <f>INDEX('Inactive Employees'!$O:$O,MATCH('Combined Employee Worksheet'!$B99,'Inactive Employees'!$A:$A,0))</f>
        <v>Resignation</v>
      </c>
    </row>
    <row r="100" spans="2:12" ht="12" customHeight="1">
      <c r="B100" s="305" t="s">
        <v>1765</v>
      </c>
      <c r="C100" s="305" t="s">
        <v>1768</v>
      </c>
      <c r="D100" s="305" t="str">
        <f>INDEX('Employee Mapping'!C:C,MATCH('Combined Employee Worksheet'!$C100,'Employee Mapping'!$B:$B,0))</f>
        <v>Onboarding Specialist</v>
      </c>
      <c r="E100" s="305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5" t="s">
        <v>1809</v>
      </c>
      <c r="I100" s="308">
        <v>45271</v>
      </c>
      <c r="J100" s="308">
        <v>45688</v>
      </c>
      <c r="K100" s="154">
        <f t="shared" ca="1" si="1"/>
        <v>417</v>
      </c>
      <c r="L100" s="327" t="str">
        <f>INDEX('Inactive Employees'!$O:$O,MATCH('Combined Employee Worksheet'!$B100,'Inactive Employees'!$A:$A,0))</f>
        <v>Termination</v>
      </c>
    </row>
    <row r="101" spans="2:12" ht="12" customHeight="1">
      <c r="B101" s="305" t="s">
        <v>1698</v>
      </c>
      <c r="C101" s="305" t="s">
        <v>1701</v>
      </c>
      <c r="D101" s="305" t="str">
        <f>INDEX('Employee Mapping'!C:C,MATCH('Combined Employee Worksheet'!$C101,'Employee Mapping'!$B:$B,0))</f>
        <v>Tax</v>
      </c>
      <c r="E101" s="305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5" t="s">
        <v>1809</v>
      </c>
      <c r="I101" s="308">
        <v>45639</v>
      </c>
      <c r="J101" s="308">
        <v>46038</v>
      </c>
      <c r="K101" s="154">
        <f t="shared" ca="1" si="1"/>
        <v>399</v>
      </c>
      <c r="L101" s="327" t="str">
        <f>INDEX('Inactive Employees'!$O:$O,MATCH('Combined Employee Worksheet'!$B101,'Inactive Employees'!$A:$A,0))</f>
        <v>Resignation</v>
      </c>
    </row>
    <row r="102" spans="2:12" ht="12" customHeight="1">
      <c r="B102" s="305" t="s">
        <v>1630</v>
      </c>
      <c r="C102" s="305" t="s">
        <v>1631</v>
      </c>
      <c r="D102" s="305" t="str">
        <f>INDEX('Employee Mapping'!C:C,MATCH('Combined Employee Worksheet'!$C102,'Employee Mapping'!$B:$B,0))</f>
        <v>Bookkeeper</v>
      </c>
      <c r="E102" s="305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5" t="s">
        <v>1809</v>
      </c>
      <c r="I102" s="308">
        <v>45866</v>
      </c>
      <c r="J102" s="308">
        <v>46246</v>
      </c>
      <c r="K102" s="154">
        <f t="shared" ca="1" si="1"/>
        <v>380</v>
      </c>
      <c r="L102" s="327" t="str">
        <f>INDEX('Inactive Employees'!$O:$O,MATCH('Combined Employee Worksheet'!$B102,'Inactive Employees'!$A:$A,0))</f>
        <v>Resignation</v>
      </c>
    </row>
    <row r="103" spans="2:12" ht="12" customHeight="1">
      <c r="B103" s="305" t="s">
        <v>1685</v>
      </c>
      <c r="C103" s="305" t="s">
        <v>490</v>
      </c>
      <c r="D103" s="305" t="str">
        <f>INDEX('Employee Mapping'!C:C,MATCH('Combined Employee Worksheet'!$C103,'Employee Mapping'!$B:$B,0))</f>
        <v>Bookkeeper</v>
      </c>
      <c r="E103" s="305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5" t="s">
        <v>1809</v>
      </c>
      <c r="I103" s="308">
        <v>45793</v>
      </c>
      <c r="J103" s="308">
        <v>46148</v>
      </c>
      <c r="K103" s="154">
        <f t="shared" ca="1" si="1"/>
        <v>355</v>
      </c>
      <c r="L103" s="327" t="str">
        <f>INDEX('Inactive Employees'!$O:$O,MATCH('Combined Employee Worksheet'!$B103,'Inactive Employees'!$A:$A,0))</f>
        <v>Resignation</v>
      </c>
    </row>
    <row r="104" spans="2:12" ht="12" customHeight="1">
      <c r="B104" s="305" t="s">
        <v>876</v>
      </c>
      <c r="C104" s="305" t="s">
        <v>1349</v>
      </c>
      <c r="D104" s="305" t="str">
        <f>INDEX('Employee Mapping'!C:C,MATCH('Combined Employee Worksheet'!$C104,'Employee Mapping'!$B:$B,0))</f>
        <v>Bookkeeper</v>
      </c>
      <c r="E104" s="305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5" t="s">
        <v>1809</v>
      </c>
      <c r="I104" s="308">
        <v>45838</v>
      </c>
      <c r="J104" s="308">
        <v>46191</v>
      </c>
      <c r="K104" s="154">
        <f t="shared" ca="1" si="1"/>
        <v>353</v>
      </c>
      <c r="L104" s="327" t="str">
        <f>INDEX('Inactive Employees'!$O:$O,MATCH('Combined Employee Worksheet'!$B104,'Inactive Employees'!$A:$A,0))</f>
        <v>Resignation</v>
      </c>
    </row>
    <row r="105" spans="2:12" ht="12" customHeight="1">
      <c r="B105" s="305" t="s">
        <v>1695</v>
      </c>
      <c r="C105" s="305" t="s">
        <v>491</v>
      </c>
      <c r="D105" s="305" t="str">
        <f>INDEX('Employee Mapping'!C:C,MATCH('Combined Employee Worksheet'!$C105,'Employee Mapping'!$B:$B,0))</f>
        <v>Client Lead</v>
      </c>
      <c r="E105" s="305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5" t="s">
        <v>1809</v>
      </c>
      <c r="I105" s="308">
        <v>45733</v>
      </c>
      <c r="J105" s="308">
        <v>46072</v>
      </c>
      <c r="K105" s="154">
        <f t="shared" ca="1" si="1"/>
        <v>339</v>
      </c>
      <c r="L105" s="327" t="str">
        <f>INDEX('Inactive Employees'!$O:$O,MATCH('Combined Employee Worksheet'!$B105,'Inactive Employees'!$A:$A,0))</f>
        <v>Termination</v>
      </c>
    </row>
    <row r="106" spans="2:12" ht="12" customHeight="1">
      <c r="B106" s="305" t="s">
        <v>1689</v>
      </c>
      <c r="C106" s="305" t="s">
        <v>1401</v>
      </c>
      <c r="D106" s="305" t="str">
        <f>INDEX('Employee Mapping'!C:C,MATCH('Combined Employee Worksheet'!$C106,'Employee Mapping'!$B:$B,0))</f>
        <v>Onboarding Support</v>
      </c>
      <c r="E106" s="305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5" t="s">
        <v>1809</v>
      </c>
      <c r="I106" s="308">
        <v>45777</v>
      </c>
      <c r="J106" s="308">
        <v>46113</v>
      </c>
      <c r="K106" s="154">
        <f t="shared" ca="1" si="1"/>
        <v>336</v>
      </c>
      <c r="L106" s="327" t="str">
        <f>INDEX('Inactive Employees'!$O:$O,MATCH('Combined Employee Worksheet'!$B106,'Inactive Employees'!$A:$A,0))</f>
        <v>Resignation</v>
      </c>
    </row>
    <row r="107" spans="2:12" ht="12" customHeight="1">
      <c r="B107" s="305" t="s">
        <v>1682</v>
      </c>
      <c r="C107" s="305" t="s">
        <v>1349</v>
      </c>
      <c r="D107" s="305" t="str">
        <f>INDEX('Employee Mapping'!C:C,MATCH('Combined Employee Worksheet'!$C107,'Employee Mapping'!$B:$B,0))</f>
        <v>Bookkeeper</v>
      </c>
      <c r="E107" s="305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5" t="s">
        <v>1809</v>
      </c>
      <c r="I107" s="308">
        <v>45824</v>
      </c>
      <c r="J107" s="308">
        <v>46157</v>
      </c>
      <c r="K107" s="154">
        <f t="shared" ca="1" si="1"/>
        <v>333</v>
      </c>
      <c r="L107" s="327" t="str">
        <f>INDEX('Inactive Employees'!$O:$O,MATCH('Combined Employee Worksheet'!$B107,'Inactive Employees'!$A:$A,0))</f>
        <v>Resignation</v>
      </c>
    </row>
    <row r="108" spans="2:12" ht="12" customHeight="1">
      <c r="B108" s="305" t="s">
        <v>1713</v>
      </c>
      <c r="C108" s="305" t="s">
        <v>1401</v>
      </c>
      <c r="D108" s="305" t="str">
        <f>INDEX('Employee Mapping'!C:C,MATCH('Combined Employee Worksheet'!$C108,'Employee Mapping'!$B:$B,0))</f>
        <v>Onboarding Support</v>
      </c>
      <c r="E108" s="305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5" t="s">
        <v>1809</v>
      </c>
      <c r="I108" s="308">
        <v>45677</v>
      </c>
      <c r="J108" s="308">
        <v>45989</v>
      </c>
      <c r="K108" s="154">
        <f t="shared" ca="1" si="1"/>
        <v>312</v>
      </c>
      <c r="L108" s="327" t="str">
        <f>INDEX('Inactive Employees'!$O:$O,MATCH('Combined Employee Worksheet'!$B108,'Inactive Employees'!$A:$A,0))</f>
        <v>Resignation</v>
      </c>
    </row>
    <row r="109" spans="2:12" ht="12" customHeight="1">
      <c r="B109" s="305" t="s">
        <v>1707</v>
      </c>
      <c r="C109" s="305" t="s">
        <v>1364</v>
      </c>
      <c r="D109" s="305" t="str">
        <f>INDEX('Employee Mapping'!C:C,MATCH('Combined Employee Worksheet'!$C109,'Employee Mapping'!$B:$B,0))</f>
        <v>Accounting Manager</v>
      </c>
      <c r="E109" s="305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5" t="s">
        <v>1809</v>
      </c>
      <c r="I109" s="308">
        <v>45747</v>
      </c>
      <c r="J109" s="308">
        <v>46014</v>
      </c>
      <c r="K109" s="154">
        <f t="shared" ca="1" si="1"/>
        <v>267</v>
      </c>
      <c r="L109" s="327" t="str">
        <f>INDEX('Inactive Employees'!$O:$O,MATCH('Combined Employee Worksheet'!$B109,'Inactive Employees'!$A:$A,0))</f>
        <v>Resignation</v>
      </c>
    </row>
    <row r="110" spans="2:12" ht="12" customHeight="1">
      <c r="B110" s="305" t="s">
        <v>1757</v>
      </c>
      <c r="C110" s="305" t="s">
        <v>1759</v>
      </c>
      <c r="D110" s="305" t="str">
        <f>INDEX('Employee Mapping'!C:C,MATCH('Combined Employee Worksheet'!$C110,'Employee Mapping'!$B:$B,0))</f>
        <v>Leadership</v>
      </c>
      <c r="E110" s="305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5" t="s">
        <v>1809</v>
      </c>
      <c r="I110" s="308">
        <v>45434</v>
      </c>
      <c r="J110" s="308">
        <v>45698</v>
      </c>
      <c r="K110" s="154">
        <f t="shared" ca="1" si="1"/>
        <v>264</v>
      </c>
      <c r="L110" s="327" t="str">
        <f>INDEX('Inactive Employees'!$O:$O,MATCH('Combined Employee Worksheet'!$B110,'Inactive Employees'!$A:$A,0))</f>
        <v>Termination</v>
      </c>
    </row>
    <row r="111" spans="2:12" ht="12" customHeight="1">
      <c r="B111" s="305" t="s">
        <v>1403</v>
      </c>
      <c r="C111" s="305" t="s">
        <v>491</v>
      </c>
      <c r="D111" s="305" t="str">
        <f>INDEX('Employee Mapping'!C:C,MATCH('Combined Employee Worksheet'!$C111,'Employee Mapping'!$B:$B,0))</f>
        <v>Client Lead</v>
      </c>
      <c r="E111" s="305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5" t="s">
        <v>1809</v>
      </c>
      <c r="I111" s="308">
        <v>46071</v>
      </c>
      <c r="J111" s="308">
        <v>46273</v>
      </c>
      <c r="K111" s="154">
        <f t="shared" ca="1" si="1"/>
        <v>202</v>
      </c>
      <c r="L111" s="327" t="str">
        <f>INDEX('Inactive Employees'!$O:$O,MATCH('Combined Employee Worksheet'!$B111,'Inactive Employees'!$A:$A,0))</f>
        <v>Resignation</v>
      </c>
    </row>
    <row r="112" spans="2:12" ht="12" customHeight="1">
      <c r="B112" s="305" t="s">
        <v>852</v>
      </c>
      <c r="C112" s="305" t="s">
        <v>1473</v>
      </c>
      <c r="D112" s="305" t="str">
        <f>INDEX('Employee Mapping'!C:C,MATCH('Combined Employee Worksheet'!$C112,'Employee Mapping'!$B:$B,0))</f>
        <v>Onboarding Specialist</v>
      </c>
      <c r="E112" s="305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5" t="s">
        <v>1809</v>
      </c>
      <c r="I112" s="308">
        <v>45999</v>
      </c>
      <c r="J112" s="308">
        <v>46171</v>
      </c>
      <c r="K112" s="154">
        <f t="shared" ca="1" si="1"/>
        <v>172</v>
      </c>
      <c r="L112" s="327" t="str">
        <f>INDEX('Inactive Employees'!$O:$O,MATCH('Combined Employee Worksheet'!$B112,'Inactive Employees'!$A:$A,0))</f>
        <v>Termination</v>
      </c>
    </row>
    <row r="113" spans="2:12" ht="12" customHeight="1">
      <c r="B113" s="305" t="s">
        <v>851</v>
      </c>
      <c r="C113" s="305" t="s">
        <v>1401</v>
      </c>
      <c r="D113" s="305" t="str">
        <f>INDEX('Employee Mapping'!C:C,MATCH('Combined Employee Worksheet'!$C113,'Employee Mapping'!$B:$B,0))</f>
        <v>Onboarding Support</v>
      </c>
      <c r="E113" s="305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5" t="s">
        <v>1809</v>
      </c>
      <c r="I113" s="308">
        <v>46002</v>
      </c>
      <c r="J113" s="308">
        <v>46171</v>
      </c>
      <c r="K113" s="154">
        <f t="shared" ca="1" si="1"/>
        <v>169</v>
      </c>
      <c r="L113" s="327" t="str">
        <f>INDEX('Inactive Employees'!$O:$O,MATCH('Combined Employee Worksheet'!$B113,'Inactive Employees'!$A:$A,0))</f>
        <v>Termination</v>
      </c>
    </row>
    <row r="114" spans="2:12" ht="12" customHeight="1">
      <c r="B114" s="305" t="s">
        <v>1763</v>
      </c>
      <c r="C114" s="305" t="s">
        <v>491</v>
      </c>
      <c r="D114" s="305" t="str">
        <f>INDEX('Employee Mapping'!C:C,MATCH('Combined Employee Worksheet'!$C114,'Employee Mapping'!$B:$B,0))</f>
        <v>Client Lead</v>
      </c>
      <c r="E114" s="305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5" t="s">
        <v>1809</v>
      </c>
      <c r="I114" s="308">
        <v>45526</v>
      </c>
      <c r="J114" s="308">
        <v>45691</v>
      </c>
      <c r="K114" s="154">
        <f t="shared" ca="1" si="1"/>
        <v>165</v>
      </c>
      <c r="L114" s="327" t="str">
        <f>INDEX('Inactive Employees'!$O:$O,MATCH('Combined Employee Worksheet'!$B114,'Inactive Employees'!$A:$A,0))</f>
        <v>Termination</v>
      </c>
    </row>
    <row r="115" spans="2:12" ht="12" customHeight="1">
      <c r="B115" s="305" t="s">
        <v>1662</v>
      </c>
      <c r="C115" s="305" t="s">
        <v>1401</v>
      </c>
      <c r="D115" s="305" t="str">
        <f>INDEX('Employee Mapping'!C:C,MATCH('Combined Employee Worksheet'!$C115,'Employee Mapping'!$B:$B,0))</f>
        <v>Onboarding Support</v>
      </c>
      <c r="E115" s="305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5" t="s">
        <v>1809</v>
      </c>
      <c r="I115" s="308">
        <v>46065</v>
      </c>
      <c r="J115" s="308">
        <v>46204</v>
      </c>
      <c r="K115" s="154">
        <f t="shared" ca="1" si="1"/>
        <v>139</v>
      </c>
      <c r="L115" s="327" t="str">
        <f>INDEX('Inactive Employees'!$O:$O,MATCH('Combined Employee Worksheet'!$B115,'Inactive Employees'!$A:$A,0))</f>
        <v>Termination</v>
      </c>
    </row>
    <row r="116" spans="2:12" ht="12" customHeight="1">
      <c r="B116" s="305" t="s">
        <v>1675</v>
      </c>
      <c r="C116" s="305" t="s">
        <v>1679</v>
      </c>
      <c r="D116" s="305" t="str">
        <f>INDEX('Employee Mapping'!C:C,MATCH('Combined Employee Worksheet'!$C116,'Employee Mapping'!$B:$B,0))</f>
        <v>Admin</v>
      </c>
      <c r="E116" s="305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5" t="s">
        <v>1809</v>
      </c>
      <c r="I116" s="308">
        <v>46029</v>
      </c>
      <c r="J116" s="308">
        <v>46168</v>
      </c>
      <c r="K116" s="154">
        <f t="shared" ca="1" si="1"/>
        <v>139</v>
      </c>
      <c r="L116" s="327" t="str">
        <f>INDEX('Inactive Employees'!$O:$O,MATCH('Combined Employee Worksheet'!$B116,'Inactive Employees'!$A:$A,0))</f>
        <v>Termination</v>
      </c>
    </row>
    <row r="117" spans="2:12" ht="12" customHeight="1">
      <c r="B117" s="305" t="s">
        <v>1645</v>
      </c>
      <c r="C117" s="305" t="s">
        <v>1343</v>
      </c>
      <c r="D117" s="305" t="str">
        <f>INDEX('Employee Mapping'!C:C,MATCH('Combined Employee Worksheet'!$C117,'Employee Mapping'!$B:$B,0))</f>
        <v>Tax</v>
      </c>
      <c r="E117" s="305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5" t="s">
        <v>1809</v>
      </c>
      <c r="I117" s="308">
        <v>46111</v>
      </c>
      <c r="J117" s="308">
        <v>46232</v>
      </c>
      <c r="K117" s="154">
        <f t="shared" ca="1" si="1"/>
        <v>121</v>
      </c>
      <c r="L117" s="327" t="str">
        <f>INDEX('Inactive Employees'!$O:$O,MATCH('Combined Employee Worksheet'!$B117,'Inactive Employees'!$A:$A,0))</f>
        <v>Resignation</v>
      </c>
    </row>
    <row r="118" spans="2:12" ht="12" customHeight="1">
      <c r="B118" s="305" t="s">
        <v>648</v>
      </c>
      <c r="C118" s="305" t="s">
        <v>491</v>
      </c>
      <c r="D118" s="305" t="str">
        <f>INDEX('Employee Mapping'!C:C,MATCH('Combined Employee Worksheet'!$C118,'Employee Mapping'!$B:$B,0))</f>
        <v>Client Lead</v>
      </c>
      <c r="E118" s="305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5" t="s">
        <v>1809</v>
      </c>
      <c r="I118" s="308">
        <v>46162</v>
      </c>
      <c r="J118" s="308">
        <v>46268</v>
      </c>
      <c r="K118" s="154">
        <f t="shared" ca="1" si="1"/>
        <v>106</v>
      </c>
      <c r="L118" s="327" t="str">
        <f>INDEX('Inactive Employees'!$O:$O,MATCH('Combined Employee Worksheet'!$B118,'Inactive Employees'!$A:$A,0))</f>
        <v>Resignation</v>
      </c>
    </row>
    <row r="119" spans="2:12" ht="12" customHeight="1">
      <c r="B119" s="305" t="s">
        <v>1734</v>
      </c>
      <c r="C119" s="305" t="s">
        <v>491</v>
      </c>
      <c r="D119" s="305" t="str">
        <f>INDEX('Employee Mapping'!C:C,MATCH('Combined Employee Worksheet'!$C119,'Employee Mapping'!$B:$B,0))</f>
        <v>Client Lead</v>
      </c>
      <c r="E119" s="305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5" t="s">
        <v>1809</v>
      </c>
      <c r="I119" s="308">
        <v>45726</v>
      </c>
      <c r="J119" s="308">
        <v>45831</v>
      </c>
      <c r="K119" s="154">
        <f t="shared" ca="1" si="1"/>
        <v>105</v>
      </c>
      <c r="L119" s="327" t="str">
        <f>INDEX('Inactive Employees'!$O:$O,MATCH('Combined Employee Worksheet'!$B119,'Inactive Employees'!$A:$A,0))</f>
        <v>Termination</v>
      </c>
    </row>
    <row r="120" spans="2:12" ht="12" customHeight="1">
      <c r="B120" s="305" t="s">
        <v>1716</v>
      </c>
      <c r="C120" s="305" t="s">
        <v>1694</v>
      </c>
      <c r="D120" s="305" t="str">
        <f>INDEX('Employee Mapping'!C:C,MATCH('Combined Employee Worksheet'!$C120,'Employee Mapping'!$B:$B,0))</f>
        <v>Tax</v>
      </c>
      <c r="E120" s="305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5" t="s">
        <v>1809</v>
      </c>
      <c r="I120" s="308">
        <v>45887</v>
      </c>
      <c r="J120" s="308">
        <v>45988</v>
      </c>
      <c r="K120" s="154">
        <f t="shared" ca="1" si="1"/>
        <v>101</v>
      </c>
      <c r="L120" s="327" t="str">
        <f>INDEX('Inactive Employees'!$O:$O,MATCH('Combined Employee Worksheet'!$B120,'Inactive Employees'!$A:$A,0))</f>
        <v>Resignation</v>
      </c>
    </row>
    <row r="121" spans="2:12" ht="12" customHeight="1">
      <c r="B121" s="305" t="s">
        <v>1751</v>
      </c>
      <c r="C121" s="305" t="s">
        <v>491</v>
      </c>
      <c r="D121" s="305" t="str">
        <f>INDEX('Employee Mapping'!C:C,MATCH('Combined Employee Worksheet'!$C121,'Employee Mapping'!$B:$B,0))</f>
        <v>Client Lead</v>
      </c>
      <c r="E121" s="305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5" t="s">
        <v>1809</v>
      </c>
      <c r="I121" s="308">
        <v>45628</v>
      </c>
      <c r="J121" s="308">
        <v>45723</v>
      </c>
      <c r="K121" s="154">
        <f t="shared" ca="1" si="1"/>
        <v>95</v>
      </c>
      <c r="L121" s="327" t="str">
        <f>INDEX('Inactive Employees'!$O:$O,MATCH('Combined Employee Worksheet'!$B121,'Inactive Employees'!$A:$A,0))</f>
        <v>Resignation</v>
      </c>
    </row>
    <row r="122" spans="2:12" ht="12" customHeight="1">
      <c r="B122" s="305" t="s">
        <v>833</v>
      </c>
      <c r="C122" s="305" t="s">
        <v>491</v>
      </c>
      <c r="D122" s="305" t="str">
        <f>INDEX('Employee Mapping'!C:C,MATCH('Combined Employee Worksheet'!$C122,'Employee Mapping'!$B:$B,0))</f>
        <v>Client Lead</v>
      </c>
      <c r="E122" s="305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5" t="s">
        <v>1809</v>
      </c>
      <c r="I122" s="308">
        <v>46118</v>
      </c>
      <c r="J122" s="308">
        <v>46196</v>
      </c>
      <c r="K122" s="154">
        <f t="shared" ca="1" si="1"/>
        <v>78</v>
      </c>
      <c r="L122" s="327" t="str">
        <f>INDEX('Inactive Employees'!$O:$O,MATCH('Combined Employee Worksheet'!$B122,'Inactive Employees'!$A:$A,0))</f>
        <v>Unclassified</v>
      </c>
    </row>
    <row r="123" spans="2:12" ht="12" customHeight="1">
      <c r="B123" s="305" t="s">
        <v>1738</v>
      </c>
      <c r="C123" s="305" t="s">
        <v>1410</v>
      </c>
      <c r="D123" s="305" t="str">
        <f>INDEX('Employee Mapping'!C:C,MATCH('Combined Employee Worksheet'!$C123,'Employee Mapping'!$B:$B,0))</f>
        <v>Bookkeeper</v>
      </c>
      <c r="E123" s="305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5" t="s">
        <v>1809</v>
      </c>
      <c r="I123" s="308">
        <v>45743</v>
      </c>
      <c r="J123" s="308">
        <v>45810</v>
      </c>
      <c r="K123" s="154">
        <f t="shared" ca="1" si="1"/>
        <v>67</v>
      </c>
      <c r="L123" s="327" t="str">
        <f>INDEX('Inactive Employees'!$O:$O,MATCH('Combined Employee Worksheet'!$B123,'Inactive Employees'!$A:$A,0))</f>
        <v>Resignation</v>
      </c>
    </row>
    <row r="124" spans="2:12" ht="12" customHeight="1">
      <c r="B124" s="305" t="s">
        <v>574</v>
      </c>
      <c r="C124" s="305" t="s">
        <v>1349</v>
      </c>
      <c r="D124" s="305" t="str">
        <f>INDEX('Employee Mapping'!C:C,MATCH('Combined Employee Worksheet'!$C124,'Employee Mapping'!$B:$B,0))</f>
        <v>Bookkeeper</v>
      </c>
      <c r="E124" s="305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5" t="s">
        <v>1809</v>
      </c>
      <c r="I124" s="308">
        <v>46148</v>
      </c>
      <c r="J124" s="308">
        <v>46212</v>
      </c>
      <c r="K124" s="154">
        <f t="shared" ca="1" si="1"/>
        <v>64</v>
      </c>
      <c r="L124" s="327" t="str">
        <f>INDEX('Inactive Employees'!$O:$O,MATCH('Combined Employee Worksheet'!$B124,'Inactive Employees'!$A:$A,0))</f>
        <v>Unclassified</v>
      </c>
    </row>
    <row r="125" spans="2:12" ht="12" customHeight="1">
      <c r="B125" s="305" t="s">
        <v>1725</v>
      </c>
      <c r="C125" s="305" t="s">
        <v>1349</v>
      </c>
      <c r="D125" s="305" t="str">
        <f>INDEX('Employee Mapping'!C:C,MATCH('Combined Employee Worksheet'!$C125,'Employee Mapping'!$B:$B,0))</f>
        <v>Bookkeeper</v>
      </c>
      <c r="E125" s="305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5" t="s">
        <v>1809</v>
      </c>
      <c r="I125" s="308">
        <v>45908</v>
      </c>
      <c r="J125" s="308">
        <v>45966</v>
      </c>
      <c r="K125" s="154">
        <f t="shared" ca="1" si="1"/>
        <v>58</v>
      </c>
      <c r="L125" s="327" t="str">
        <f>INDEX('Inactive Employees'!$O:$O,MATCH('Combined Employee Worksheet'!$B125,'Inactive Employees'!$A:$A,0))</f>
        <v>Termination</v>
      </c>
    </row>
    <row r="126" spans="2:12" ht="12" customHeight="1">
      <c r="B126" s="305" t="s">
        <v>1652</v>
      </c>
      <c r="C126" s="305" t="s">
        <v>1401</v>
      </c>
      <c r="D126" s="305" t="str">
        <f>INDEX('Employee Mapping'!C:C,MATCH('Combined Employee Worksheet'!$C126,'Employee Mapping'!$B:$B,0))</f>
        <v>Onboarding Support</v>
      </c>
      <c r="E126" s="305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5" t="s">
        <v>1809</v>
      </c>
      <c r="I126" s="308">
        <v>46167</v>
      </c>
      <c r="J126" s="308">
        <v>46224</v>
      </c>
      <c r="K126" s="154">
        <f t="shared" ca="1" si="1"/>
        <v>57</v>
      </c>
      <c r="L126" s="327" t="str">
        <f>INDEX('Inactive Employees'!$O:$O,MATCH('Combined Employee Worksheet'!$B126,'Inactive Employees'!$A:$A,0))</f>
        <v>Resignation</v>
      </c>
    </row>
    <row r="127" spans="2:12" ht="12" customHeight="1">
      <c r="B127" s="305" t="s">
        <v>1687</v>
      </c>
      <c r="C127" s="305" t="s">
        <v>491</v>
      </c>
      <c r="D127" s="305" t="str">
        <f>INDEX('Employee Mapping'!C:C,MATCH('Combined Employee Worksheet'!$C127,'Employee Mapping'!$B:$B,0))</f>
        <v>Client Lead</v>
      </c>
      <c r="E127" s="305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5" t="s">
        <v>1809</v>
      </c>
      <c r="I127" s="308">
        <v>46091</v>
      </c>
      <c r="J127" s="308">
        <v>46143</v>
      </c>
      <c r="K127" s="154">
        <f t="shared" ca="1" si="1"/>
        <v>52</v>
      </c>
      <c r="L127" s="327" t="str">
        <f>INDEX('Inactive Employees'!$O:$O,MATCH('Combined Employee Worksheet'!$B127,'Inactive Employees'!$A:$A,0))</f>
        <v>Resignation</v>
      </c>
    </row>
    <row r="128" spans="2:12" ht="12" customHeight="1">
      <c r="B128" s="305" t="s">
        <v>1703</v>
      </c>
      <c r="C128" s="305" t="s">
        <v>1694</v>
      </c>
      <c r="D128" s="305" t="str">
        <f>INDEX('Employee Mapping'!C:C,MATCH('Combined Employee Worksheet'!$C128,'Employee Mapping'!$B:$B,0))</f>
        <v>Tax</v>
      </c>
      <c r="E128" s="305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5" t="s">
        <v>1809</v>
      </c>
      <c r="I128" s="308">
        <v>45978</v>
      </c>
      <c r="J128" s="308">
        <v>46014</v>
      </c>
      <c r="K128" s="154">
        <f t="shared" ca="1" si="1"/>
        <v>36</v>
      </c>
      <c r="L128" s="327" t="str">
        <f>INDEX('Inactive Employees'!$O:$O,MATCH('Combined Employee Worksheet'!$B128,'Inactive Employees'!$A:$A,0))</f>
        <v>Termination</v>
      </c>
    </row>
    <row r="129" spans="2:12" ht="12" customHeight="1">
      <c r="B129" s="305" t="s">
        <v>1723</v>
      </c>
      <c r="C129" s="305" t="s">
        <v>491</v>
      </c>
      <c r="D129" s="305" t="str">
        <f>INDEX('Employee Mapping'!C:C,MATCH('Combined Employee Worksheet'!$C129,'Employee Mapping'!$B:$B,0))</f>
        <v>Client Lead</v>
      </c>
      <c r="E129" s="305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5" t="s">
        <v>1809</v>
      </c>
      <c r="I129" s="308">
        <v>45936</v>
      </c>
      <c r="J129" s="308">
        <v>45971</v>
      </c>
      <c r="K129" s="154">
        <f t="shared" ca="1" si="1"/>
        <v>35</v>
      </c>
      <c r="L129" s="327" t="str">
        <f>INDEX('Inactive Employees'!$O:$O,MATCH('Combined Employee Worksheet'!$B129,'Inactive Employees'!$A:$A,0))</f>
        <v>Termination</v>
      </c>
    </row>
    <row r="130" spans="2:12" ht="12" customHeight="1">
      <c r="B130" s="305" t="s">
        <v>1710</v>
      </c>
      <c r="C130" s="305" t="s">
        <v>1374</v>
      </c>
      <c r="D130" s="305" t="str">
        <f>INDEX('Employee Mapping'!C:C,MATCH('Combined Employee Worksheet'!$C130,'Employee Mapping'!$B:$B,0))</f>
        <v>Onboarding Specialist</v>
      </c>
      <c r="E130" s="305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5" t="s">
        <v>1809</v>
      </c>
      <c r="I130" s="308">
        <v>45992</v>
      </c>
      <c r="J130" s="308">
        <v>46010</v>
      </c>
      <c r="K130" s="154">
        <f t="shared" ca="1" si="1"/>
        <v>18</v>
      </c>
      <c r="L130" s="327" t="str">
        <f>INDEX('Inactive Employees'!$O:$O,MATCH('Combined Employee Worksheet'!$B130,'Inactive Employees'!$A:$A,0))</f>
        <v>Termination</v>
      </c>
    </row>
    <row r="131" spans="2:12" ht="12" customHeight="1">
      <c r="B131" s="305" t="s">
        <v>1749</v>
      </c>
      <c r="C131" s="305" t="s">
        <v>490</v>
      </c>
      <c r="D131" s="305" t="str">
        <f>INDEX('Employee Mapping'!C:C,MATCH('Combined Employee Worksheet'!$C131,'Employee Mapping'!$B:$B,0))</f>
        <v>Bookkeeper</v>
      </c>
      <c r="E131" s="305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5" t="s">
        <v>1809</v>
      </c>
      <c r="I131" s="308">
        <v>45712</v>
      </c>
      <c r="J131" s="308">
        <v>45726</v>
      </c>
      <c r="K131" s="154">
        <f t="shared" ca="1" si="1"/>
        <v>14</v>
      </c>
      <c r="L131" s="327" t="str">
        <f>INDEX('Inactive Employees'!$O:$O,MATCH('Combined Employee Worksheet'!$B131,'Inactive Employees'!$A:$A,0))</f>
        <v>Termination</v>
      </c>
    </row>
    <row r="132" spans="2:12" ht="12" customHeight="1">
      <c r="B132" s="305" t="s">
        <v>1755</v>
      </c>
      <c r="C132" s="305" t="s">
        <v>1631</v>
      </c>
      <c r="D132" s="305" t="str">
        <f>INDEX('Employee Mapping'!C:C,MATCH('Combined Employee Worksheet'!$C132,'Employee Mapping'!$B:$B,0))</f>
        <v>Bookkeeper</v>
      </c>
      <c r="E132" s="305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5" t="s">
        <v>1809</v>
      </c>
      <c r="I132" s="308">
        <v>45698</v>
      </c>
      <c r="J132" s="308">
        <v>45712</v>
      </c>
      <c r="K132" s="154">
        <f t="shared" ca="1" si="1"/>
        <v>14</v>
      </c>
      <c r="L132" s="327" t="str">
        <f>INDEX('Inactive Employees'!$O:$O,MATCH('Combined Employee Worksheet'!$B132,'Inactive Employees'!$A:$A,0))</f>
        <v>Termination</v>
      </c>
    </row>
    <row r="133" spans="2:12" ht="12" customHeight="1">
      <c r="B133" s="305" t="s">
        <v>1680</v>
      </c>
      <c r="C133" s="305" t="s">
        <v>1401</v>
      </c>
      <c r="D133" s="305" t="str">
        <f>INDEX('Employee Mapping'!C:C,MATCH('Combined Employee Worksheet'!$C133,'Employee Mapping'!$B:$B,0))</f>
        <v>Onboarding Support</v>
      </c>
      <c r="E133" s="305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5" t="s">
        <v>1809</v>
      </c>
      <c r="I133" s="308">
        <v>46149</v>
      </c>
      <c r="J133" s="308">
        <v>46162</v>
      </c>
      <c r="K133" s="154">
        <f t="shared" ca="1" si="1"/>
        <v>13</v>
      </c>
      <c r="L133" s="327" t="str">
        <f>INDEX('Inactive Employees'!$O:$O,MATCH('Combined Employee Worksheet'!$B133,'Inactive Employees'!$A:$A,0))</f>
        <v>Termination</v>
      </c>
    </row>
    <row r="134" spans="2:12" ht="12" customHeight="1">
      <c r="B134" s="305" t="s">
        <v>1746</v>
      </c>
      <c r="C134" s="305" t="s">
        <v>1364</v>
      </c>
      <c r="D134" s="305" t="str">
        <f>INDEX('Employee Mapping'!C:C,MATCH('Combined Employee Worksheet'!$C134,'Employee Mapping'!$B:$B,0))</f>
        <v>Accounting Manager</v>
      </c>
      <c r="E134" s="305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5" t="s">
        <v>1809</v>
      </c>
      <c r="I134" s="308">
        <v>45714</v>
      </c>
      <c r="J134" s="308">
        <v>45726</v>
      </c>
      <c r="K134" s="154">
        <f t="shared" ca="1" si="1"/>
        <v>12</v>
      </c>
      <c r="L134" s="327" t="str">
        <f>INDEX('Inactive Employees'!$O:$O,MATCH('Combined Employee Worksheet'!$B134,'Inactive Employees'!$A:$A,0))</f>
        <v>Termination</v>
      </c>
    </row>
    <row r="135" spans="2:12" ht="12" customHeight="1">
      <c r="B135" s="305" t="s">
        <v>1354</v>
      </c>
      <c r="C135" s="305" t="s">
        <v>1349</v>
      </c>
      <c r="D135" s="305" t="str">
        <f>INDEX('Employee Mapping'!C:C,MATCH('Combined Employee Worksheet'!$C135,'Employee Mapping'!$B:$B,0))</f>
        <v>Bookkeeper</v>
      </c>
      <c r="E135" s="305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5" t="s">
        <v>1809</v>
      </c>
      <c r="I135" s="308">
        <v>46255</v>
      </c>
      <c r="J135" s="308">
        <v>46266</v>
      </c>
      <c r="K135" s="154">
        <f t="shared" ref="K135:K143" ca="1" si="2">IF(J135=0,TODAY()-I135,J135-I135)</f>
        <v>11</v>
      </c>
      <c r="L135" s="327" t="str">
        <f>INDEX('Inactive Employees'!$O:$O,MATCH('Combined Employee Worksheet'!$B135,'Inactive Employees'!$A:$A,0))</f>
        <v>Termination</v>
      </c>
    </row>
    <row r="136" spans="2:12" ht="12" customHeight="1">
      <c r="B136" s="305" t="s">
        <v>1743</v>
      </c>
      <c r="C136" s="305" t="s">
        <v>490</v>
      </c>
      <c r="D136" s="305" t="str">
        <f>INDEX('Employee Mapping'!C:C,MATCH('Combined Employee Worksheet'!$C136,'Employee Mapping'!$B:$B,0))</f>
        <v>Bookkeeper</v>
      </c>
      <c r="E136" s="305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5" t="s">
        <v>1809</v>
      </c>
      <c r="I136" s="308">
        <v>45775</v>
      </c>
      <c r="J136" s="308">
        <v>45786</v>
      </c>
      <c r="K136" s="154">
        <f t="shared" ca="1" si="2"/>
        <v>11</v>
      </c>
      <c r="L136" s="327" t="str">
        <f>INDEX('Inactive Employees'!$O:$O,MATCH('Combined Employee Worksheet'!$B136,'Inactive Employees'!$A:$A,0))</f>
        <v>Termination</v>
      </c>
    </row>
    <row r="137" spans="2:12" ht="12" customHeight="1">
      <c r="B137" s="305" t="s">
        <v>1649</v>
      </c>
      <c r="C137" s="305" t="s">
        <v>1349</v>
      </c>
      <c r="D137" s="305" t="str">
        <f>INDEX('Employee Mapping'!C:C,MATCH('Combined Employee Worksheet'!$C137,'Employee Mapping'!$B:$B,0))</f>
        <v>Bookkeeper</v>
      </c>
      <c r="E137" s="305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5" t="s">
        <v>1809</v>
      </c>
      <c r="I137" s="308">
        <v>46216</v>
      </c>
      <c r="J137" s="308">
        <v>46225</v>
      </c>
      <c r="K137" s="154">
        <f t="shared" ca="1" si="2"/>
        <v>9</v>
      </c>
      <c r="L137" s="327" t="str">
        <f>INDEX('Inactive Employees'!$O:$O,MATCH('Combined Employee Worksheet'!$B137,'Inactive Employees'!$A:$A,0))</f>
        <v>Unclassified</v>
      </c>
    </row>
    <row r="138" spans="2:12" ht="12" customHeight="1">
      <c r="B138" s="305" t="s">
        <v>1732</v>
      </c>
      <c r="C138" s="305" t="s">
        <v>1349</v>
      </c>
      <c r="D138" s="305" t="str">
        <f>INDEX('Employee Mapping'!C:C,MATCH('Combined Employee Worksheet'!$C138,'Employee Mapping'!$B:$B,0))</f>
        <v>Bookkeeper</v>
      </c>
      <c r="E138" s="305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5" t="s">
        <v>1809</v>
      </c>
      <c r="I138" s="308">
        <v>45880</v>
      </c>
      <c r="J138" s="308">
        <v>45889</v>
      </c>
      <c r="K138" s="154">
        <f t="shared" ca="1" si="2"/>
        <v>9</v>
      </c>
      <c r="L138" s="327" t="str">
        <f>INDEX('Inactive Employees'!$O:$O,MATCH('Combined Employee Worksheet'!$B138,'Inactive Employees'!$A:$A,0))</f>
        <v>Termination</v>
      </c>
    </row>
    <row r="139" spans="2:12" ht="12" customHeight="1">
      <c r="B139" s="305" t="s">
        <v>1657</v>
      </c>
      <c r="C139" s="305" t="s">
        <v>1473</v>
      </c>
      <c r="D139" s="305" t="str">
        <f>INDEX('Employee Mapping'!C:C,MATCH('Combined Employee Worksheet'!$C139,'Employee Mapping'!$B:$B,0))</f>
        <v>Onboarding Specialist</v>
      </c>
      <c r="E139" s="305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5" t="s">
        <v>1809</v>
      </c>
      <c r="I139" s="308">
        <v>46217</v>
      </c>
      <c r="J139" s="308">
        <v>46223</v>
      </c>
      <c r="K139" s="154">
        <f t="shared" ca="1" si="2"/>
        <v>6</v>
      </c>
      <c r="L139" s="327" t="str">
        <f>INDEX('Inactive Employees'!$O:$O,MATCH('Combined Employee Worksheet'!$B139,'Inactive Employees'!$A:$A,0))</f>
        <v>Resignation</v>
      </c>
    </row>
    <row r="140" spans="2:12" ht="12" customHeight="1">
      <c r="B140" s="305" t="s">
        <v>1613</v>
      </c>
      <c r="C140" s="305" t="s">
        <v>1349</v>
      </c>
      <c r="D140" s="305" t="str">
        <f>INDEX('Employee Mapping'!C:C,MATCH('Combined Employee Worksheet'!$C140,'Employee Mapping'!$B:$B,0))</f>
        <v>Bookkeeper</v>
      </c>
      <c r="E140" s="305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5" t="s">
        <v>1809</v>
      </c>
      <c r="I140" s="308">
        <v>46269</v>
      </c>
      <c r="J140" s="308">
        <v>46273</v>
      </c>
      <c r="K140" s="154">
        <f t="shared" ca="1" si="2"/>
        <v>4</v>
      </c>
      <c r="L140" s="327" t="str">
        <f>INDEX('Inactive Employees'!$O:$O,MATCH('Combined Employee Worksheet'!$B140,'Inactive Employees'!$A:$A,0))</f>
        <v>Termination</v>
      </c>
    </row>
    <row r="141" spans="2:12" ht="12" customHeight="1">
      <c r="B141" s="305" t="s">
        <v>1760</v>
      </c>
      <c r="C141" s="305" t="s">
        <v>490</v>
      </c>
      <c r="D141" s="305" t="str">
        <f>INDEX('Employee Mapping'!C:C,MATCH('Combined Employee Worksheet'!$C141,'Employee Mapping'!$B:$B,0))</f>
        <v>Bookkeeper</v>
      </c>
      <c r="E141" s="305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5" t="s">
        <v>1809</v>
      </c>
      <c r="I141" s="308">
        <v>45691</v>
      </c>
      <c r="J141" s="308">
        <v>45694</v>
      </c>
      <c r="K141" s="154">
        <f t="shared" ca="1" si="2"/>
        <v>3</v>
      </c>
      <c r="L141" s="327" t="str">
        <f>INDEX('Inactive Employees'!$O:$O,MATCH('Combined Employee Worksheet'!$B141,'Inactive Employees'!$A:$A,0))</f>
        <v>Termination</v>
      </c>
    </row>
    <row r="142" spans="2:12" ht="12" customHeight="1">
      <c r="B142" s="305" t="s">
        <v>1736</v>
      </c>
      <c r="C142" s="305" t="s">
        <v>490</v>
      </c>
      <c r="D142" s="305" t="str">
        <f>INDEX('Employee Mapping'!C:C,MATCH('Combined Employee Worksheet'!$C142,'Employee Mapping'!$B:$B,0))</f>
        <v>Bookkeeper</v>
      </c>
      <c r="E142" s="305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5" t="s">
        <v>1809</v>
      </c>
      <c r="I142" s="308">
        <v>45810</v>
      </c>
      <c r="J142" s="308">
        <v>45812</v>
      </c>
      <c r="K142" s="154">
        <f t="shared" ca="1" si="2"/>
        <v>2</v>
      </c>
      <c r="L142" s="327" t="str">
        <f>INDEX('Inactive Employees'!$O:$O,MATCH('Combined Employee Worksheet'!$B142,'Inactive Employees'!$A:$A,0))</f>
        <v>Termination</v>
      </c>
    </row>
    <row r="143" spans="2:12" ht="12" customHeight="1">
      <c r="B143" s="305" t="s">
        <v>1670</v>
      </c>
      <c r="C143" s="305" t="s">
        <v>1349</v>
      </c>
      <c r="D143" s="305" t="str">
        <f>INDEX('Employee Mapping'!C:C,MATCH('Combined Employee Worksheet'!$C143,'Employee Mapping'!$B:$B,0))</f>
        <v>Bookkeeper</v>
      </c>
      <c r="E143" s="305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5" t="s">
        <v>1809</v>
      </c>
      <c r="I143" s="308">
        <v>46177</v>
      </c>
      <c r="J143" s="308">
        <v>46177</v>
      </c>
      <c r="K143" s="154">
        <f t="shared" ca="1" si="2"/>
        <v>0</v>
      </c>
      <c r="L143" s="327" t="str">
        <f>INDEX('Inactive Employees'!$O:$O,MATCH('Combined Employee Worksheet'!$B143,'Inactive Employees'!$A:$A,0))</f>
        <v>Termination</v>
      </c>
    </row>
    <row r="146" spans="1:1">
      <c r="A146" s="305" t="s">
        <v>294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1331</v>
      </c>
      <c r="B1" s="286" t="s">
        <v>1332</v>
      </c>
      <c r="C1" s="286" t="s">
        <v>1506</v>
      </c>
      <c r="D1" s="286" t="s">
        <v>1333</v>
      </c>
      <c r="E1" s="286" t="s">
        <v>1509</v>
      </c>
      <c r="F1" s="286" t="s">
        <v>1518</v>
      </c>
      <c r="G1" s="286" t="s">
        <v>1334</v>
      </c>
      <c r="H1" s="286" t="s">
        <v>116</v>
      </c>
      <c r="I1" s="286" t="s">
        <v>1335</v>
      </c>
      <c r="J1" s="286" t="s">
        <v>1336</v>
      </c>
      <c r="K1" s="286" t="s">
        <v>1337</v>
      </c>
      <c r="L1" s="286" t="s">
        <v>1338</v>
      </c>
      <c r="M1" s="286" t="s">
        <v>1339</v>
      </c>
      <c r="N1" s="286" t="s">
        <v>1340</v>
      </c>
      <c r="O1" s="286" t="s">
        <v>1249</v>
      </c>
    </row>
    <row r="2" spans="1:15">
      <c r="A2" s="227" t="s">
        <v>1431</v>
      </c>
      <c r="B2" s="227" t="s">
        <v>1432</v>
      </c>
      <c r="C2" s="227" t="s">
        <v>497</v>
      </c>
      <c r="D2" s="227" t="s">
        <v>1349</v>
      </c>
      <c r="E2" s="227" t="s">
        <v>490</v>
      </c>
      <c r="F2" s="227" t="str">
        <f>INDEX('Owner Mapped P&amp;L'!$F:$F,MATCH('Headcount &amp; Compensation'!$A2,'Owner Mapped P&amp;L'!$A:$A,0))</f>
        <v>Bookkeeper Wages</v>
      </c>
      <c r="G2" s="227" t="s">
        <v>1344</v>
      </c>
      <c r="H2" s="227" t="s">
        <v>731</v>
      </c>
      <c r="I2" s="227" t="s">
        <v>1392</v>
      </c>
      <c r="J2" s="228">
        <v>950</v>
      </c>
      <c r="K2" s="227" t="s">
        <v>595</v>
      </c>
      <c r="L2" s="228">
        <v>11400</v>
      </c>
      <c r="M2" s="227" t="s">
        <v>504</v>
      </c>
      <c r="N2" s="227" t="s">
        <v>504</v>
      </c>
      <c r="O2" s="227" t="s">
        <v>338</v>
      </c>
    </row>
    <row r="3" spans="1:15">
      <c r="A3" s="227" t="s">
        <v>1359</v>
      </c>
      <c r="B3" s="227" t="s">
        <v>1496</v>
      </c>
      <c r="C3" s="227" t="s">
        <v>497</v>
      </c>
      <c r="D3" s="227" t="s">
        <v>491</v>
      </c>
      <c r="E3" s="227" t="s">
        <v>491</v>
      </c>
      <c r="F3" s="227" t="str">
        <f>INDEX('Owner Mapped P&amp;L'!$F:$F,MATCH('Headcount &amp; Compensation'!$A3,'Owner Mapped P&amp;L'!$A:$A,0))</f>
        <v>Client Lead Wages</v>
      </c>
      <c r="G3" s="227" t="s">
        <v>1344</v>
      </c>
      <c r="H3" s="227" t="s">
        <v>731</v>
      </c>
      <c r="I3" s="227" t="s">
        <v>1379</v>
      </c>
      <c r="J3" s="228">
        <v>1925</v>
      </c>
      <c r="K3" s="227" t="s">
        <v>595</v>
      </c>
      <c r="L3" s="228">
        <v>23100</v>
      </c>
      <c r="M3" s="227" t="s">
        <v>504</v>
      </c>
      <c r="N3" s="227" t="s">
        <v>504</v>
      </c>
      <c r="O3" s="227" t="s">
        <v>338</v>
      </c>
    </row>
    <row r="4" spans="1:15">
      <c r="A4" s="227" t="s">
        <v>664</v>
      </c>
      <c r="B4" s="227" t="s">
        <v>1387</v>
      </c>
      <c r="C4" s="227" t="s">
        <v>497</v>
      </c>
      <c r="D4" s="227" t="s">
        <v>1349</v>
      </c>
      <c r="E4" s="227" t="s">
        <v>490</v>
      </c>
      <c r="F4" s="227" t="str">
        <f>INDEX('Owner Mapped P&amp;L'!$F:$F,MATCH('Headcount &amp; Compensation'!$A4,'Owner Mapped P&amp;L'!$A:$A,0))</f>
        <v>Bookkeeper Wages</v>
      </c>
      <c r="G4" s="227" t="s">
        <v>1344</v>
      </c>
      <c r="H4" s="227" t="s">
        <v>731</v>
      </c>
      <c r="I4" s="227" t="s">
        <v>1388</v>
      </c>
      <c r="J4" s="228">
        <v>950</v>
      </c>
      <c r="K4" s="227" t="s">
        <v>595</v>
      </c>
      <c r="L4" s="228">
        <v>11400</v>
      </c>
      <c r="M4" s="227" t="s">
        <v>504</v>
      </c>
      <c r="N4" s="227" t="s">
        <v>504</v>
      </c>
      <c r="O4" s="227" t="s">
        <v>338</v>
      </c>
    </row>
    <row r="5" spans="1:15">
      <c r="A5" s="227" t="s">
        <v>543</v>
      </c>
      <c r="B5" s="227" t="s">
        <v>1433</v>
      </c>
      <c r="C5" s="227" t="s">
        <v>497</v>
      </c>
      <c r="D5" s="227" t="s">
        <v>1410</v>
      </c>
      <c r="E5" s="227" t="s">
        <v>490</v>
      </c>
      <c r="F5" s="227" t="str">
        <f>INDEX('Owner Mapped P&amp;L'!$F:$F,MATCH('Headcount &amp; Compensation'!$A5,'Owner Mapped P&amp;L'!$A:$A,0))</f>
        <v>Bookkeeper Wages</v>
      </c>
      <c r="G5" s="227" t="s">
        <v>1344</v>
      </c>
      <c r="H5" s="227" t="s">
        <v>731</v>
      </c>
      <c r="I5" s="227" t="s">
        <v>1359</v>
      </c>
      <c r="J5" s="228">
        <v>1400</v>
      </c>
      <c r="K5" s="227" t="s">
        <v>595</v>
      </c>
      <c r="L5" s="228">
        <v>16800</v>
      </c>
      <c r="M5" s="227" t="s">
        <v>504</v>
      </c>
      <c r="N5" s="227" t="s">
        <v>504</v>
      </c>
      <c r="O5" s="227" t="s">
        <v>338</v>
      </c>
    </row>
    <row r="6" spans="1:15">
      <c r="A6" s="227" t="s">
        <v>1377</v>
      </c>
      <c r="B6" s="227" t="s">
        <v>1378</v>
      </c>
      <c r="C6" s="227" t="s">
        <v>497</v>
      </c>
      <c r="D6" s="227" t="s">
        <v>491</v>
      </c>
      <c r="E6" s="227" t="s">
        <v>491</v>
      </c>
      <c r="F6" s="227" t="str">
        <f>INDEX('Owner Mapped P&amp;L'!$F:$F,MATCH('Headcount &amp; Compensation'!$A6,'Owner Mapped P&amp;L'!$A:$A,0))</f>
        <v>Client Lead Wages</v>
      </c>
      <c r="G6" s="227" t="s">
        <v>1344</v>
      </c>
      <c r="H6" s="227" t="s">
        <v>731</v>
      </c>
      <c r="I6" s="227" t="s">
        <v>1379</v>
      </c>
      <c r="J6" s="228">
        <v>1800</v>
      </c>
      <c r="K6" s="227" t="s">
        <v>595</v>
      </c>
      <c r="L6" s="228">
        <v>21600</v>
      </c>
      <c r="M6" s="227" t="s">
        <v>504</v>
      </c>
      <c r="N6" s="227" t="s">
        <v>504</v>
      </c>
      <c r="O6" s="227" t="s">
        <v>338</v>
      </c>
    </row>
    <row r="7" spans="1:15">
      <c r="A7" s="227" t="s">
        <v>1395</v>
      </c>
      <c r="B7" s="227" t="s">
        <v>1396</v>
      </c>
      <c r="C7" s="227" t="s">
        <v>497</v>
      </c>
      <c r="D7" s="227" t="s">
        <v>1349</v>
      </c>
      <c r="E7" s="227" t="s">
        <v>490</v>
      </c>
      <c r="F7" s="227" t="str">
        <f>INDEX('Owner Mapped P&amp;L'!$F:$F,MATCH('Headcount &amp; Compensation'!$A7,'Owner Mapped P&amp;L'!$A:$A,0))</f>
        <v>Bookkeeper Wages</v>
      </c>
      <c r="G7" s="227" t="s">
        <v>1344</v>
      </c>
      <c r="H7" s="227" t="s">
        <v>731</v>
      </c>
      <c r="I7" s="227" t="s">
        <v>1381</v>
      </c>
      <c r="J7" s="228">
        <v>950</v>
      </c>
      <c r="K7" s="227" t="s">
        <v>595</v>
      </c>
      <c r="L7" s="228">
        <v>11400</v>
      </c>
      <c r="M7" s="227" t="s">
        <v>504</v>
      </c>
      <c r="N7" s="227" t="s">
        <v>504</v>
      </c>
      <c r="O7" s="227" t="s">
        <v>338</v>
      </c>
    </row>
    <row r="8" spans="1:15" ht="15.75" customHeight="1">
      <c r="A8" s="227" t="s">
        <v>1486</v>
      </c>
      <c r="B8" s="227" t="s">
        <v>1487</v>
      </c>
      <c r="C8" s="227" t="s">
        <v>497</v>
      </c>
      <c r="D8" s="227" t="s">
        <v>1480</v>
      </c>
      <c r="E8" s="227" t="s">
        <v>491</v>
      </c>
      <c r="F8" s="227" t="str">
        <f>INDEX('Owner Mapped P&amp;L'!$F:$F,MATCH('Headcount &amp; Compensation'!$A8,'Owner Mapped P&amp;L'!$A:$A,0))</f>
        <v>Sr. Client Lead Wages</v>
      </c>
      <c r="G8" s="278" t="s">
        <v>1344</v>
      </c>
      <c r="H8" s="227" t="s">
        <v>731</v>
      </c>
      <c r="I8" s="227" t="s">
        <v>1379</v>
      </c>
      <c r="J8" s="228">
        <v>2500</v>
      </c>
      <c r="K8" s="227" t="s">
        <v>595</v>
      </c>
      <c r="L8" s="228">
        <v>30000</v>
      </c>
      <c r="M8" s="227" t="s">
        <v>504</v>
      </c>
      <c r="N8" s="227" t="s">
        <v>504</v>
      </c>
      <c r="O8" s="227" t="s">
        <v>338</v>
      </c>
    </row>
    <row r="9" spans="1:15">
      <c r="A9" s="227" t="s">
        <v>546</v>
      </c>
      <c r="B9" s="227" t="s">
        <v>1460</v>
      </c>
      <c r="C9" s="227" t="s">
        <v>497</v>
      </c>
      <c r="D9" s="227" t="s">
        <v>491</v>
      </c>
      <c r="E9" s="227" t="s">
        <v>491</v>
      </c>
      <c r="F9" s="227" t="str">
        <f>INDEX('Owner Mapped P&amp;L'!$F:$F,MATCH('Headcount &amp; Compensation'!$A9,'Owner Mapped P&amp;L'!$A:$A,0))</f>
        <v>Client Lead Wages</v>
      </c>
      <c r="G9" s="227" t="s">
        <v>1344</v>
      </c>
      <c r="H9" s="227" t="s">
        <v>731</v>
      </c>
      <c r="I9" s="227" t="s">
        <v>533</v>
      </c>
      <c r="J9" s="228">
        <v>2000</v>
      </c>
      <c r="K9" s="227" t="s">
        <v>595</v>
      </c>
      <c r="L9" s="228">
        <v>24000</v>
      </c>
      <c r="M9" s="227" t="s">
        <v>504</v>
      </c>
      <c r="N9" s="227" t="s">
        <v>504</v>
      </c>
      <c r="O9" s="227" t="s">
        <v>338</v>
      </c>
    </row>
    <row r="10" spans="1:15" ht="15.75" customHeight="1">
      <c r="A10" s="227" t="s">
        <v>1367</v>
      </c>
      <c r="B10" s="227" t="s">
        <v>1502</v>
      </c>
      <c r="C10" s="227" t="s">
        <v>497</v>
      </c>
      <c r="D10" s="227" t="s">
        <v>1503</v>
      </c>
      <c r="E10" s="227" t="s">
        <v>1503</v>
      </c>
      <c r="F10" s="227" t="str">
        <f>INDEX('Owner Mapped P&amp;L'!$F:$F,MATCH('Headcount &amp; Compensation'!$A10,'Owner Mapped P&amp;L'!$A:$A,0))</f>
        <v>Payroll Wages - Owner</v>
      </c>
      <c r="G10" s="227" t="s">
        <v>1365</v>
      </c>
      <c r="H10" s="227" t="s">
        <v>1366</v>
      </c>
      <c r="I10" s="227" t="s">
        <v>338</v>
      </c>
      <c r="J10" s="227"/>
      <c r="K10" s="227" t="s">
        <v>338</v>
      </c>
      <c r="L10" s="284">
        <v>228245</v>
      </c>
      <c r="M10" s="227" t="s">
        <v>504</v>
      </c>
      <c r="N10" s="227" t="s">
        <v>504</v>
      </c>
      <c r="O10" s="277" t="s">
        <v>1557</v>
      </c>
    </row>
    <row r="11" spans="1:15">
      <c r="A11" s="227" t="s">
        <v>608</v>
      </c>
      <c r="B11" s="227" t="s">
        <v>1474</v>
      </c>
      <c r="C11" s="227" t="s">
        <v>497</v>
      </c>
      <c r="D11" s="227" t="s">
        <v>1349</v>
      </c>
      <c r="E11" s="227" t="s">
        <v>490</v>
      </c>
      <c r="F11" s="227" t="str">
        <f>INDEX('Owner Mapped P&amp;L'!$F:$F,MATCH('Headcount &amp; Compensation'!$A11,'Owner Mapped P&amp;L'!$A:$A,0))</f>
        <v>Bookkeeper Wages</v>
      </c>
      <c r="G11" s="227" t="s">
        <v>1344</v>
      </c>
      <c r="H11" s="227" t="s">
        <v>731</v>
      </c>
      <c r="I11" s="227" t="s">
        <v>1381</v>
      </c>
      <c r="J11" s="228">
        <v>975</v>
      </c>
      <c r="K11" s="227" t="s">
        <v>595</v>
      </c>
      <c r="L11" s="228">
        <v>11700</v>
      </c>
      <c r="M11" s="227" t="s">
        <v>504</v>
      </c>
      <c r="N11" s="227" t="s">
        <v>504</v>
      </c>
      <c r="O11" s="227" t="s">
        <v>338</v>
      </c>
    </row>
    <row r="12" spans="1:15">
      <c r="A12" s="227" t="s">
        <v>1353</v>
      </c>
      <c r="B12" s="227" t="s">
        <v>1399</v>
      </c>
      <c r="C12" s="227" t="s">
        <v>497</v>
      </c>
      <c r="D12" s="227" t="s">
        <v>491</v>
      </c>
      <c r="E12" s="227" t="s">
        <v>491</v>
      </c>
      <c r="F12" s="227" t="str">
        <f>INDEX('Owner Mapped P&amp;L'!$F:$F,MATCH('Headcount &amp; Compensation'!$A12,'Owner Mapped P&amp;L'!$A:$A,0))</f>
        <v>Client Lead Wages</v>
      </c>
      <c r="G12" s="227" t="s">
        <v>1344</v>
      </c>
      <c r="H12" s="227" t="s">
        <v>731</v>
      </c>
      <c r="I12" s="227" t="s">
        <v>533</v>
      </c>
      <c r="J12" s="228">
        <v>1800</v>
      </c>
      <c r="K12" s="227" t="s">
        <v>595</v>
      </c>
      <c r="L12" s="228">
        <v>21600</v>
      </c>
      <c r="M12" s="227" t="s">
        <v>504</v>
      </c>
      <c r="N12" s="227" t="s">
        <v>504</v>
      </c>
      <c r="O12" s="227" t="s">
        <v>338</v>
      </c>
    </row>
    <row r="13" spans="1:15">
      <c r="A13" s="227" t="s">
        <v>1406</v>
      </c>
      <c r="B13" s="227" t="s">
        <v>1407</v>
      </c>
      <c r="C13" s="227" t="s">
        <v>497</v>
      </c>
      <c r="D13" s="227" t="s">
        <v>1408</v>
      </c>
      <c r="E13" s="227" t="s">
        <v>1511</v>
      </c>
      <c r="F13" s="227" t="str">
        <f>INDEX('Owner Mapped P&amp;L'!$F:$F,MATCH('Headcount &amp; Compensation'!$A13,'Owner Mapped P&amp;L'!$A:$A,0))</f>
        <v>Occupancy Tax Specialist</v>
      </c>
      <c r="G13" s="227" t="s">
        <v>1344</v>
      </c>
      <c r="H13" s="227" t="s">
        <v>731</v>
      </c>
      <c r="I13" s="227" t="s">
        <v>1345</v>
      </c>
      <c r="J13" s="228">
        <v>850</v>
      </c>
      <c r="K13" s="227" t="s">
        <v>595</v>
      </c>
      <c r="L13" s="228">
        <v>10200</v>
      </c>
      <c r="M13" s="227" t="s">
        <v>504</v>
      </c>
      <c r="N13" s="227" t="s">
        <v>504</v>
      </c>
      <c r="O13" s="227" t="s">
        <v>338</v>
      </c>
    </row>
    <row r="14" spans="1:15">
      <c r="A14" s="227" t="s">
        <v>521</v>
      </c>
      <c r="B14" s="227" t="s">
        <v>1495</v>
      </c>
      <c r="C14" s="227" t="s">
        <v>497</v>
      </c>
      <c r="D14" s="227" t="s">
        <v>1410</v>
      </c>
      <c r="E14" s="227" t="s">
        <v>490</v>
      </c>
      <c r="F14" s="227" t="str">
        <f>INDEX('Owner Mapped P&amp;L'!$F:$F,MATCH('Headcount &amp; Compensation'!$A14,'Owner Mapped P&amp;L'!$A:$A,0))</f>
        <v>Bookkeeper Wages</v>
      </c>
      <c r="G14" s="227" t="s">
        <v>1344</v>
      </c>
      <c r="H14" s="227" t="s">
        <v>731</v>
      </c>
      <c r="I14" s="227" t="s">
        <v>522</v>
      </c>
      <c r="J14" s="228">
        <v>1200</v>
      </c>
      <c r="K14" s="227" t="s">
        <v>595</v>
      </c>
      <c r="L14" s="228">
        <v>14400</v>
      </c>
      <c r="M14" s="227" t="s">
        <v>504</v>
      </c>
      <c r="N14" s="227" t="s">
        <v>504</v>
      </c>
      <c r="O14" s="227" t="s">
        <v>338</v>
      </c>
    </row>
    <row r="15" spans="1:15">
      <c r="A15" s="227" t="s">
        <v>553</v>
      </c>
      <c r="B15" s="227" t="s">
        <v>1490</v>
      </c>
      <c r="C15" s="227" t="s">
        <v>497</v>
      </c>
      <c r="D15" s="227" t="s">
        <v>1349</v>
      </c>
      <c r="E15" s="227" t="s">
        <v>490</v>
      </c>
      <c r="F15" s="227" t="str">
        <f>INDEX('Owner Mapped P&amp;L'!$F:$F,MATCH('Headcount &amp; Compensation'!$A15,'Owner Mapped P&amp;L'!$A:$A,0))</f>
        <v>Bookkeeper Wages</v>
      </c>
      <c r="G15" s="227" t="s">
        <v>1344</v>
      </c>
      <c r="H15" s="227" t="s">
        <v>731</v>
      </c>
      <c r="I15" s="227" t="s">
        <v>536</v>
      </c>
      <c r="J15" s="228">
        <v>1100</v>
      </c>
      <c r="K15" s="227" t="s">
        <v>595</v>
      </c>
      <c r="L15" s="228">
        <v>13200</v>
      </c>
      <c r="M15" s="227" t="s">
        <v>504</v>
      </c>
      <c r="N15" s="227" t="s">
        <v>504</v>
      </c>
      <c r="O15" s="227" t="s">
        <v>338</v>
      </c>
    </row>
    <row r="16" spans="1:15">
      <c r="A16" s="227" t="s">
        <v>648</v>
      </c>
      <c r="B16" s="227" t="s">
        <v>1393</v>
      </c>
      <c r="C16" s="227" t="s">
        <v>505</v>
      </c>
      <c r="D16" s="227" t="s">
        <v>491</v>
      </c>
      <c r="E16" s="227" t="s">
        <v>491</v>
      </c>
      <c r="F16" s="227" t="str">
        <f>INDEX('Owner Mapped P&amp;L'!$F:$F,MATCH('Headcount &amp; Compensation'!$A16,'Owner Mapped P&amp;L'!$A:$A,0))</f>
        <v>Client Lead Wages</v>
      </c>
      <c r="G16" s="227" t="s">
        <v>1344</v>
      </c>
      <c r="H16" s="227" t="s">
        <v>731</v>
      </c>
      <c r="I16" s="227" t="s">
        <v>338</v>
      </c>
      <c r="J16" s="227"/>
      <c r="K16" s="227" t="s">
        <v>338</v>
      </c>
      <c r="L16" s="227"/>
      <c r="M16" s="227" t="s">
        <v>504</v>
      </c>
      <c r="N16" s="227" t="s">
        <v>505</v>
      </c>
      <c r="O16" s="227" t="s">
        <v>1394</v>
      </c>
    </row>
    <row r="17" spans="1:15">
      <c r="A17" s="227" t="s">
        <v>1456</v>
      </c>
      <c r="B17" s="227" t="s">
        <v>1493</v>
      </c>
      <c r="C17" s="227" t="s">
        <v>497</v>
      </c>
      <c r="D17" s="227" t="s">
        <v>1494</v>
      </c>
      <c r="E17" s="227" t="s">
        <v>1510</v>
      </c>
      <c r="F17" s="227" t="str">
        <f>INDEX('Owner Mapped P&amp;L'!$F:$F,MATCH('Headcount &amp; Compensation'!$A17,'Owner Mapped P&amp;L'!$A:$A,0))</f>
        <v>Indirect Labor</v>
      </c>
      <c r="G17" s="227" t="s">
        <v>1344</v>
      </c>
      <c r="H17" s="227" t="s">
        <v>731</v>
      </c>
      <c r="I17" s="227" t="s">
        <v>1367</v>
      </c>
      <c r="J17" s="228">
        <v>2450</v>
      </c>
      <c r="K17" s="227" t="s">
        <v>595</v>
      </c>
      <c r="L17" s="228">
        <v>29400</v>
      </c>
      <c r="M17" s="227" t="s">
        <v>504</v>
      </c>
      <c r="N17" s="227" t="s">
        <v>504</v>
      </c>
      <c r="O17" s="227" t="s">
        <v>338</v>
      </c>
    </row>
    <row r="18" spans="1:15">
      <c r="A18" s="227" t="s">
        <v>1461</v>
      </c>
      <c r="B18" s="227" t="s">
        <v>1462</v>
      </c>
      <c r="C18" s="227" t="s">
        <v>497</v>
      </c>
      <c r="D18" s="227" t="s">
        <v>1370</v>
      </c>
      <c r="E18" s="227" t="s">
        <v>493</v>
      </c>
      <c r="F18" s="227" t="str">
        <f>INDEX('Owner Mapped P&amp;L'!$F:$F,MATCH('Headcount &amp; Compensation'!$A18,'Owner Mapped P&amp;L'!$A:$A,0))</f>
        <v>Indirect Labor</v>
      </c>
      <c r="G18" s="227" t="s">
        <v>1344</v>
      </c>
      <c r="H18" s="227" t="s">
        <v>731</v>
      </c>
      <c r="I18" s="227" t="s">
        <v>1371</v>
      </c>
      <c r="J18" s="228">
        <v>900</v>
      </c>
      <c r="K18" s="227" t="s">
        <v>595</v>
      </c>
      <c r="L18" s="228">
        <v>10800</v>
      </c>
      <c r="M18" s="227" t="s">
        <v>504</v>
      </c>
      <c r="N18" s="227" t="s">
        <v>504</v>
      </c>
      <c r="O18" s="227" t="s">
        <v>338</v>
      </c>
    </row>
    <row r="19" spans="1:15">
      <c r="A19" s="227" t="s">
        <v>1465</v>
      </c>
      <c r="B19" s="227" t="s">
        <v>1466</v>
      </c>
      <c r="C19" s="227" t="s">
        <v>497</v>
      </c>
      <c r="D19" s="227" t="s">
        <v>1467</v>
      </c>
      <c r="E19" s="227" t="s">
        <v>493</v>
      </c>
      <c r="F19" s="227" t="str">
        <f>INDEX('Owner Mapped P&amp;L'!$F:$F,MATCH('Headcount &amp; Compensation'!$A19,'Owner Mapped P&amp;L'!$A:$A,0))</f>
        <v>Indirect Labor</v>
      </c>
      <c r="G19" s="227" t="s">
        <v>1344</v>
      </c>
      <c r="H19" s="227" t="s">
        <v>731</v>
      </c>
      <c r="I19" s="227" t="s">
        <v>1456</v>
      </c>
      <c r="J19" s="228">
        <v>1800</v>
      </c>
      <c r="K19" s="227" t="s">
        <v>595</v>
      </c>
      <c r="L19" s="228">
        <v>21600</v>
      </c>
      <c r="M19" s="227" t="s">
        <v>504</v>
      </c>
      <c r="N19" s="227" t="s">
        <v>504</v>
      </c>
      <c r="O19" s="227" t="s">
        <v>338</v>
      </c>
    </row>
    <row r="20" spans="1:15">
      <c r="A20" s="227" t="s">
        <v>1347</v>
      </c>
      <c r="B20" s="227" t="s">
        <v>1348</v>
      </c>
      <c r="C20" s="227" t="s">
        <v>497</v>
      </c>
      <c r="D20" s="227" t="s">
        <v>1349</v>
      </c>
      <c r="E20" s="227" t="s">
        <v>490</v>
      </c>
      <c r="F20" s="227" t="str">
        <f>INDEX('Owner Mapped P&amp;L'!$F:$F,MATCH('Headcount &amp; Compensation'!$A20,'Owner Mapped P&amp;L'!$A:$A,0))</f>
        <v>Bookkeeper Wages</v>
      </c>
      <c r="G20" s="227" t="s">
        <v>1344</v>
      </c>
      <c r="H20" s="227" t="s">
        <v>731</v>
      </c>
      <c r="I20" s="227" t="s">
        <v>338</v>
      </c>
      <c r="J20" s="228">
        <v>950</v>
      </c>
      <c r="K20" s="227" t="s">
        <v>595</v>
      </c>
      <c r="L20" s="228">
        <v>11400</v>
      </c>
      <c r="M20" s="227" t="s">
        <v>505</v>
      </c>
      <c r="N20" s="227" t="s">
        <v>504</v>
      </c>
      <c r="O20" s="227" t="s">
        <v>1350</v>
      </c>
    </row>
    <row r="21" spans="1:15">
      <c r="A21" s="227" t="s">
        <v>1470</v>
      </c>
      <c r="B21" s="227" t="s">
        <v>1471</v>
      </c>
      <c r="C21" s="227" t="s">
        <v>497</v>
      </c>
      <c r="D21" s="227" t="s">
        <v>1370</v>
      </c>
      <c r="E21" s="227" t="s">
        <v>493</v>
      </c>
      <c r="F21" s="227" t="str">
        <f>INDEX('Owner Mapped P&amp;L'!$F:$F,MATCH('Headcount &amp; Compensation'!$A21,'Owner Mapped P&amp;L'!$A:$A,0))</f>
        <v>Indirect Labor</v>
      </c>
      <c r="G21" s="227" t="s">
        <v>1344</v>
      </c>
      <c r="H21" s="227" t="s">
        <v>731</v>
      </c>
      <c r="I21" s="227" t="s">
        <v>1371</v>
      </c>
      <c r="J21" s="228">
        <v>900</v>
      </c>
      <c r="K21" s="227" t="s">
        <v>595</v>
      </c>
      <c r="L21" s="228">
        <v>10800</v>
      </c>
      <c r="M21" s="227" t="s">
        <v>504</v>
      </c>
      <c r="N21" s="227" t="s">
        <v>504</v>
      </c>
      <c r="O21" s="227" t="s">
        <v>338</v>
      </c>
    </row>
    <row r="22" spans="1:15">
      <c r="A22" s="227" t="s">
        <v>902</v>
      </c>
      <c r="B22" s="227" t="s">
        <v>1360</v>
      </c>
      <c r="C22" s="227" t="s">
        <v>497</v>
      </c>
      <c r="D22" s="227" t="s">
        <v>490</v>
      </c>
      <c r="E22" s="227" t="s">
        <v>490</v>
      </c>
      <c r="F22" s="227" t="str">
        <f>INDEX('Owner Mapped P&amp;L'!$F:$F,MATCH('Headcount &amp; Compensation'!$A22,'Owner Mapped P&amp;L'!$A:$A,0))</f>
        <v>Bookkeeper Wages</v>
      </c>
      <c r="G22" s="227" t="s">
        <v>1344</v>
      </c>
      <c r="H22" s="227" t="s">
        <v>731</v>
      </c>
      <c r="I22" s="227" t="s">
        <v>533</v>
      </c>
      <c r="J22" s="228">
        <v>950</v>
      </c>
      <c r="K22" s="227" t="s">
        <v>595</v>
      </c>
      <c r="L22" s="228">
        <v>11400</v>
      </c>
      <c r="M22" s="227" t="s">
        <v>504</v>
      </c>
      <c r="N22" s="227" t="s">
        <v>504</v>
      </c>
      <c r="O22" s="227" t="s">
        <v>338</v>
      </c>
    </row>
    <row r="23" spans="1:15">
      <c r="A23" s="227" t="s">
        <v>1477</v>
      </c>
      <c r="B23" s="227" t="s">
        <v>1478</v>
      </c>
      <c r="C23" s="227" t="s">
        <v>497</v>
      </c>
      <c r="D23" s="227" t="s">
        <v>1349</v>
      </c>
      <c r="E23" s="227" t="s">
        <v>490</v>
      </c>
      <c r="F23" s="227" t="str">
        <f>INDEX('Owner Mapped P&amp;L'!$F:$F,MATCH('Headcount &amp; Compensation'!$A23,'Owner Mapped P&amp;L'!$A:$A,0))</f>
        <v>Bookkeeper Wages</v>
      </c>
      <c r="G23" s="227" t="s">
        <v>1344</v>
      </c>
      <c r="H23" s="227" t="s">
        <v>731</v>
      </c>
      <c r="I23" s="227" t="s">
        <v>550</v>
      </c>
      <c r="J23" s="228">
        <v>1025</v>
      </c>
      <c r="K23" s="227" t="s">
        <v>595</v>
      </c>
      <c r="L23" s="228">
        <v>12300</v>
      </c>
      <c r="M23" s="227" t="s">
        <v>504</v>
      </c>
      <c r="N23" s="227" t="s">
        <v>504</v>
      </c>
      <c r="O23" s="227" t="s">
        <v>338</v>
      </c>
    </row>
    <row r="24" spans="1:15">
      <c r="A24" s="227" t="s">
        <v>752</v>
      </c>
      <c r="B24" s="227" t="s">
        <v>1383</v>
      </c>
      <c r="C24" s="227" t="s">
        <v>497</v>
      </c>
      <c r="D24" s="227" t="s">
        <v>1349</v>
      </c>
      <c r="E24" s="227" t="s">
        <v>490</v>
      </c>
      <c r="F24" s="227" t="str">
        <f>INDEX('Owner Mapped P&amp;L'!$F:$F,MATCH('Headcount &amp; Compensation'!$A24,'Owner Mapped P&amp;L'!$A:$A,0))</f>
        <v>Bookkeeper Wages</v>
      </c>
      <c r="G24" s="227" t="s">
        <v>1344</v>
      </c>
      <c r="H24" s="227" t="s">
        <v>731</v>
      </c>
      <c r="I24" s="227" t="s">
        <v>522</v>
      </c>
      <c r="J24" s="228">
        <v>950</v>
      </c>
      <c r="K24" s="227" t="s">
        <v>595</v>
      </c>
      <c r="L24" s="228">
        <v>11400</v>
      </c>
      <c r="M24" s="227" t="s">
        <v>504</v>
      </c>
      <c r="N24" s="227" t="s">
        <v>504</v>
      </c>
      <c r="O24" s="227" t="s">
        <v>338</v>
      </c>
    </row>
    <row r="25" spans="1:15">
      <c r="A25" s="227" t="s">
        <v>1414</v>
      </c>
      <c r="B25" s="227" t="s">
        <v>1415</v>
      </c>
      <c r="C25" s="227" t="s">
        <v>497</v>
      </c>
      <c r="D25" s="227" t="s">
        <v>1416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1417</v>
      </c>
      <c r="H25" s="227" t="s">
        <v>731</v>
      </c>
      <c r="I25" s="227" t="s">
        <v>1367</v>
      </c>
      <c r="J25" s="228">
        <v>2350</v>
      </c>
      <c r="K25" s="227" t="s">
        <v>595</v>
      </c>
      <c r="L25" s="228">
        <v>28200</v>
      </c>
      <c r="M25" s="227" t="s">
        <v>504</v>
      </c>
      <c r="N25" s="227" t="s">
        <v>504</v>
      </c>
      <c r="O25" s="227" t="s">
        <v>338</v>
      </c>
    </row>
    <row r="26" spans="1:15">
      <c r="A26" s="227" t="s">
        <v>550</v>
      </c>
      <c r="B26" s="227" t="s">
        <v>1407</v>
      </c>
      <c r="C26" s="227" t="s">
        <v>497</v>
      </c>
      <c r="D26" s="227" t="s">
        <v>491</v>
      </c>
      <c r="E26" s="227" t="s">
        <v>491</v>
      </c>
      <c r="F26" s="227" t="str">
        <f>INDEX('Owner Mapped P&amp;L'!$F:$F,MATCH('Headcount &amp; Compensation'!$A26,'Owner Mapped P&amp;L'!$A:$A,0))</f>
        <v>Client Lead Wages</v>
      </c>
      <c r="G26" s="227" t="s">
        <v>1344</v>
      </c>
      <c r="H26" s="227" t="s">
        <v>731</v>
      </c>
      <c r="I26" s="227" t="s">
        <v>510</v>
      </c>
      <c r="J26" s="228">
        <v>1800</v>
      </c>
      <c r="K26" s="227" t="s">
        <v>595</v>
      </c>
      <c r="L26" s="228">
        <v>21600</v>
      </c>
      <c r="M26" s="227" t="s">
        <v>504</v>
      </c>
      <c r="N26" s="227" t="s">
        <v>504</v>
      </c>
      <c r="O26" s="227" t="s">
        <v>338</v>
      </c>
    </row>
    <row r="27" spans="1:15">
      <c r="A27" s="227" t="s">
        <v>545</v>
      </c>
      <c r="B27" s="227" t="s">
        <v>1452</v>
      </c>
      <c r="C27" s="227" t="s">
        <v>497</v>
      </c>
      <c r="D27" s="227" t="s">
        <v>1349</v>
      </c>
      <c r="E27" s="227" t="s">
        <v>490</v>
      </c>
      <c r="F27" s="227" t="str">
        <f>INDEX('Owner Mapped P&amp;L'!$F:$F,MATCH('Headcount &amp; Compensation'!$A27,'Owner Mapped P&amp;L'!$A:$A,0))</f>
        <v>Bookkeeper Wages</v>
      </c>
      <c r="G27" s="227" t="s">
        <v>1344</v>
      </c>
      <c r="H27" s="227" t="s">
        <v>731</v>
      </c>
      <c r="I27" s="227" t="s">
        <v>546</v>
      </c>
      <c r="J27" s="228">
        <v>1500</v>
      </c>
      <c r="K27" s="227" t="s">
        <v>595</v>
      </c>
      <c r="L27" s="228">
        <v>18000</v>
      </c>
      <c r="M27" s="227" t="s">
        <v>504</v>
      </c>
      <c r="N27" s="227" t="s">
        <v>504</v>
      </c>
      <c r="O27" s="227" t="s">
        <v>338</v>
      </c>
    </row>
    <row r="28" spans="1:15">
      <c r="A28" s="227" t="s">
        <v>522</v>
      </c>
      <c r="B28" s="227" t="s">
        <v>1361</v>
      </c>
      <c r="C28" s="227" t="s">
        <v>497</v>
      </c>
      <c r="D28" s="227" t="s">
        <v>491</v>
      </c>
      <c r="E28" s="227" t="s">
        <v>491</v>
      </c>
      <c r="F28" s="227" t="str">
        <f>INDEX('Owner Mapped P&amp;L'!$F:$F,MATCH('Headcount &amp; Compensation'!$A28,'Owner Mapped P&amp;L'!$A:$A,0))</f>
        <v>Client Lead Wages</v>
      </c>
      <c r="G28" s="227" t="s">
        <v>1344</v>
      </c>
      <c r="H28" s="227" t="s">
        <v>731</v>
      </c>
      <c r="I28" s="227" t="s">
        <v>510</v>
      </c>
      <c r="J28" s="228">
        <v>1800</v>
      </c>
      <c r="K28" s="227" t="s">
        <v>595</v>
      </c>
      <c r="L28" s="228">
        <v>21600</v>
      </c>
      <c r="M28" s="227" t="s">
        <v>504</v>
      </c>
      <c r="N28" s="227" t="s">
        <v>504</v>
      </c>
      <c r="O28" s="227" t="s">
        <v>338</v>
      </c>
    </row>
    <row r="29" spans="1:15">
      <c r="A29" s="227" t="s">
        <v>1418</v>
      </c>
      <c r="B29" s="227" t="s">
        <v>1419</v>
      </c>
      <c r="C29" s="227" t="s">
        <v>497</v>
      </c>
      <c r="D29" s="227" t="s">
        <v>1349</v>
      </c>
      <c r="E29" s="227" t="s">
        <v>490</v>
      </c>
      <c r="F29" s="227" t="str">
        <f>INDEX('Owner Mapped P&amp;L'!$F:$F,MATCH('Headcount &amp; Compensation'!$A29,'Owner Mapped P&amp;L'!$A:$A,0))</f>
        <v>Bookkeeper Wages</v>
      </c>
      <c r="G29" s="227" t="s">
        <v>1344</v>
      </c>
      <c r="H29" s="227" t="s">
        <v>731</v>
      </c>
      <c r="I29" s="227" t="s">
        <v>1392</v>
      </c>
      <c r="J29" s="228">
        <v>950</v>
      </c>
      <c r="K29" s="227" t="s">
        <v>595</v>
      </c>
      <c r="L29" s="228">
        <v>11400</v>
      </c>
      <c r="M29" s="227" t="s">
        <v>504</v>
      </c>
      <c r="N29" s="227" t="s">
        <v>504</v>
      </c>
      <c r="O29" s="227" t="s">
        <v>338</v>
      </c>
    </row>
    <row r="30" spans="1:15">
      <c r="A30" s="227" t="s">
        <v>1357</v>
      </c>
      <c r="B30" s="227" t="s">
        <v>1358</v>
      </c>
      <c r="C30" s="227" t="s">
        <v>497</v>
      </c>
      <c r="D30" s="227" t="s">
        <v>1349</v>
      </c>
      <c r="E30" s="227" t="s">
        <v>490</v>
      </c>
      <c r="F30" s="227" t="str">
        <f>INDEX('Owner Mapped P&amp;L'!$F:$F,MATCH('Headcount &amp; Compensation'!$A30,'Owner Mapped P&amp;L'!$A:$A,0))</f>
        <v>Bookkeeper Wages</v>
      </c>
      <c r="G30" s="227" t="s">
        <v>1344</v>
      </c>
      <c r="H30" s="227" t="s">
        <v>731</v>
      </c>
      <c r="I30" s="227" t="s">
        <v>1359</v>
      </c>
      <c r="J30" s="228">
        <v>950</v>
      </c>
      <c r="K30" s="227" t="s">
        <v>595</v>
      </c>
      <c r="L30" s="228">
        <v>11400</v>
      </c>
      <c r="M30" s="227" t="s">
        <v>504</v>
      </c>
      <c r="N30" s="227" t="s">
        <v>504</v>
      </c>
      <c r="O30" s="227" t="s">
        <v>338</v>
      </c>
    </row>
    <row r="31" spans="1:15">
      <c r="A31" s="227" t="s">
        <v>533</v>
      </c>
      <c r="B31" s="227" t="s">
        <v>1402</v>
      </c>
      <c r="C31" s="227" t="s">
        <v>497</v>
      </c>
      <c r="D31" s="227" t="s">
        <v>1364</v>
      </c>
      <c r="E31" s="227" t="s">
        <v>1364</v>
      </c>
      <c r="F31" s="227" t="str">
        <f>INDEX('Owner Mapped P&amp;L'!$F:$F,MATCH('Headcount &amp; Compensation'!$A31,'Owner Mapped P&amp;L'!$A:$A,0))</f>
        <v>Indirect Labor</v>
      </c>
      <c r="G31" s="227" t="s">
        <v>1365</v>
      </c>
      <c r="H31" s="227" t="s">
        <v>1366</v>
      </c>
      <c r="I31" s="227" t="s">
        <v>1367</v>
      </c>
      <c r="J31" s="228">
        <v>120000</v>
      </c>
      <c r="K31" s="227" t="s">
        <v>1368</v>
      </c>
      <c r="L31" s="228">
        <v>120000</v>
      </c>
      <c r="M31" s="227" t="s">
        <v>504</v>
      </c>
      <c r="N31" s="227" t="s">
        <v>504</v>
      </c>
      <c r="O31" s="227" t="s">
        <v>338</v>
      </c>
    </row>
    <row r="32" spans="1:15">
      <c r="A32" s="227" t="s">
        <v>560</v>
      </c>
      <c r="B32" s="227" t="s">
        <v>1451</v>
      </c>
      <c r="C32" s="227" t="s">
        <v>497</v>
      </c>
      <c r="D32" s="227" t="s">
        <v>1349</v>
      </c>
      <c r="E32" s="227" t="s">
        <v>490</v>
      </c>
      <c r="F32" s="227" t="str">
        <f>INDEX('Owner Mapped P&amp;L'!$F:$F,MATCH('Headcount &amp; Compensation'!$A32,'Owner Mapped P&amp;L'!$A:$A,0))</f>
        <v>Bookkeeper Wages</v>
      </c>
      <c r="G32" s="227" t="s">
        <v>1344</v>
      </c>
      <c r="H32" s="227" t="s">
        <v>731</v>
      </c>
      <c r="I32" s="227" t="s">
        <v>557</v>
      </c>
      <c r="J32" s="228">
        <v>975</v>
      </c>
      <c r="K32" s="227" t="s">
        <v>595</v>
      </c>
      <c r="L32" s="228">
        <v>11700</v>
      </c>
      <c r="M32" s="227" t="s">
        <v>504</v>
      </c>
      <c r="N32" s="227" t="s">
        <v>504</v>
      </c>
      <c r="O32" s="227" t="s">
        <v>338</v>
      </c>
    </row>
    <row r="33" spans="1:15">
      <c r="A33" s="227" t="s">
        <v>1491</v>
      </c>
      <c r="B33" s="227" t="s">
        <v>1492</v>
      </c>
      <c r="C33" s="227" t="s">
        <v>497</v>
      </c>
      <c r="D33" s="227" t="s">
        <v>1473</v>
      </c>
      <c r="E33" s="227" t="s">
        <v>1512</v>
      </c>
      <c r="F33" s="227" t="str">
        <f>INDEX('Owner Mapped P&amp;L'!$F:$F,MATCH('Headcount &amp; Compensation'!$A33,'Owner Mapped P&amp;L'!$A:$A,0))</f>
        <v>Onboarding Team Wages</v>
      </c>
      <c r="G33" s="227" t="s">
        <v>1344</v>
      </c>
      <c r="H33" s="227" t="s">
        <v>731</v>
      </c>
      <c r="I33" s="227" t="s">
        <v>1367</v>
      </c>
      <c r="J33" s="228">
        <v>2100</v>
      </c>
      <c r="K33" s="227" t="s">
        <v>595</v>
      </c>
      <c r="L33" s="228">
        <v>25200</v>
      </c>
      <c r="M33" s="227" t="s">
        <v>504</v>
      </c>
      <c r="N33" s="227" t="s">
        <v>504</v>
      </c>
      <c r="O33" s="227" t="s">
        <v>338</v>
      </c>
    </row>
    <row r="34" spans="1:15">
      <c r="A34" s="227" t="s">
        <v>1371</v>
      </c>
      <c r="B34" s="227" t="s">
        <v>1500</v>
      </c>
      <c r="C34" s="227" t="s">
        <v>497</v>
      </c>
      <c r="D34" s="227" t="s">
        <v>1501</v>
      </c>
      <c r="E34" s="227" t="s">
        <v>1510</v>
      </c>
      <c r="F34" s="227" t="str">
        <f>INDEX('Owner Mapped P&amp;L'!$F:$F,MATCH('Headcount &amp; Compensation'!$A34,'Owner Mapped P&amp;L'!$A:$A,0))</f>
        <v>Indirect Labor</v>
      </c>
      <c r="G34" s="227" t="s">
        <v>1344</v>
      </c>
      <c r="H34" s="227" t="s">
        <v>731</v>
      </c>
      <c r="I34" s="227" t="s">
        <v>1367</v>
      </c>
      <c r="J34" s="228">
        <v>2500</v>
      </c>
      <c r="K34" s="227" t="s">
        <v>595</v>
      </c>
      <c r="L34" s="228">
        <v>30000</v>
      </c>
      <c r="M34" s="227" t="s">
        <v>504</v>
      </c>
      <c r="N34" s="227" t="s">
        <v>504</v>
      </c>
      <c r="O34" s="227" t="s">
        <v>338</v>
      </c>
    </row>
    <row r="35" spans="1:15">
      <c r="A35" s="227" t="s">
        <v>769</v>
      </c>
      <c r="B35" s="227" t="s">
        <v>1479</v>
      </c>
      <c r="C35" s="227" t="s">
        <v>497</v>
      </c>
      <c r="D35" s="227" t="s">
        <v>1480</v>
      </c>
      <c r="E35" s="227" t="s">
        <v>491</v>
      </c>
      <c r="F35" s="227" t="str">
        <f>INDEX('Owner Mapped P&amp;L'!$F:$F,MATCH('Headcount &amp; Compensation'!$A35,'Owner Mapped P&amp;L'!$A:$A,0))</f>
        <v>Sr. Client Lead Wages</v>
      </c>
      <c r="G35" s="227" t="s">
        <v>1344</v>
      </c>
      <c r="H35" s="227" t="s">
        <v>731</v>
      </c>
      <c r="I35" s="227" t="s">
        <v>533</v>
      </c>
      <c r="J35" s="228">
        <v>2300</v>
      </c>
      <c r="K35" s="227" t="s">
        <v>595</v>
      </c>
      <c r="L35" s="228">
        <v>27600</v>
      </c>
      <c r="M35" s="227" t="s">
        <v>504</v>
      </c>
      <c r="N35" s="227" t="s">
        <v>504</v>
      </c>
      <c r="O35" s="227" t="s">
        <v>338</v>
      </c>
    </row>
    <row r="36" spans="1:15">
      <c r="A36" s="227" t="s">
        <v>1422</v>
      </c>
      <c r="B36" s="227" t="s">
        <v>1423</v>
      </c>
      <c r="C36" s="227" t="s">
        <v>497</v>
      </c>
      <c r="D36" s="227" t="s">
        <v>1349</v>
      </c>
      <c r="E36" s="227" t="s">
        <v>490</v>
      </c>
      <c r="F36" s="227" t="str">
        <f>INDEX('Owner Mapped P&amp;L'!$F:$F,MATCH('Headcount &amp; Compensation'!$A36,'Owner Mapped P&amp;L'!$A:$A,0))</f>
        <v>Bookkeeper Wages</v>
      </c>
      <c r="G36" s="227" t="s">
        <v>1344</v>
      </c>
      <c r="H36" s="227" t="s">
        <v>731</v>
      </c>
      <c r="I36" s="227" t="s">
        <v>1359</v>
      </c>
      <c r="J36" s="228">
        <v>950</v>
      </c>
      <c r="K36" s="227" t="s">
        <v>595</v>
      </c>
      <c r="L36" s="228">
        <v>11400</v>
      </c>
      <c r="M36" s="227" t="s">
        <v>504</v>
      </c>
      <c r="N36" s="227" t="s">
        <v>504</v>
      </c>
      <c r="O36" s="227" t="s">
        <v>338</v>
      </c>
    </row>
    <row r="37" spans="1:15">
      <c r="A37" s="227" t="s">
        <v>1497</v>
      </c>
      <c r="B37" s="227" t="s">
        <v>1498</v>
      </c>
      <c r="C37" s="227" t="s">
        <v>497</v>
      </c>
      <c r="D37" s="227" t="s">
        <v>1499</v>
      </c>
      <c r="E37" s="227" t="s">
        <v>1510</v>
      </c>
      <c r="F37" s="227" t="str">
        <f>INDEX('Owner Mapped P&amp;L'!$F:$F,MATCH('Headcount &amp; Compensation'!$A37,'Owner Mapped P&amp;L'!$A:$A,0))</f>
        <v>Indirect Labor</v>
      </c>
      <c r="G37" s="227" t="s">
        <v>1344</v>
      </c>
      <c r="H37" s="227" t="s">
        <v>731</v>
      </c>
      <c r="I37" s="227" t="s">
        <v>1367</v>
      </c>
      <c r="J37" s="228">
        <v>3700</v>
      </c>
      <c r="K37" s="227" t="s">
        <v>595</v>
      </c>
      <c r="L37" s="228">
        <v>44400</v>
      </c>
      <c r="M37" s="227" t="s">
        <v>504</v>
      </c>
      <c r="N37" s="227" t="s">
        <v>504</v>
      </c>
      <c r="O37" s="227" t="s">
        <v>338</v>
      </c>
    </row>
    <row r="38" spans="1:15">
      <c r="A38" s="227" t="s">
        <v>584</v>
      </c>
      <c r="B38" s="227" t="s">
        <v>1434</v>
      </c>
      <c r="C38" s="227" t="s">
        <v>497</v>
      </c>
      <c r="D38" s="227" t="s">
        <v>1349</v>
      </c>
      <c r="E38" s="227" t="s">
        <v>490</v>
      </c>
      <c r="F38" s="227" t="str">
        <f>INDEX('Owner Mapped P&amp;L'!$F:$F,MATCH('Headcount &amp; Compensation'!$A38,'Owner Mapped P&amp;L'!$A:$A,0))</f>
        <v>Bookkeeper Wages</v>
      </c>
      <c r="G38" s="227" t="s">
        <v>1344</v>
      </c>
      <c r="H38" s="227" t="s">
        <v>731</v>
      </c>
      <c r="I38" s="227" t="s">
        <v>581</v>
      </c>
      <c r="J38" s="228">
        <v>1025</v>
      </c>
      <c r="K38" s="227" t="s">
        <v>595</v>
      </c>
      <c r="L38" s="228">
        <v>12300</v>
      </c>
      <c r="M38" s="227" t="s">
        <v>504</v>
      </c>
      <c r="N38" s="227" t="s">
        <v>504</v>
      </c>
      <c r="O38" s="227" t="s">
        <v>338</v>
      </c>
    </row>
    <row r="39" spans="1:15">
      <c r="A39" s="227" t="s">
        <v>1397</v>
      </c>
      <c r="B39" s="227" t="s">
        <v>1398</v>
      </c>
      <c r="C39" s="227" t="s">
        <v>497</v>
      </c>
      <c r="D39" s="227" t="s">
        <v>1343</v>
      </c>
      <c r="E39" s="227" t="s">
        <v>1511</v>
      </c>
      <c r="F39" s="227" t="str">
        <f>INDEX('Owner Mapped P&amp;L'!$F:$F,MATCH('Headcount &amp; Compensation'!$A39,'Owner Mapped P&amp;L'!$A:$A,0))</f>
        <v>Occupancy Tax Specialist</v>
      </c>
      <c r="G39" s="227" t="s">
        <v>1344</v>
      </c>
      <c r="H39" s="227" t="s">
        <v>731</v>
      </c>
      <c r="I39" s="227" t="s">
        <v>1345</v>
      </c>
      <c r="J39" s="228">
        <v>1100</v>
      </c>
      <c r="K39" s="227" t="s">
        <v>595</v>
      </c>
      <c r="L39" s="228">
        <v>13200</v>
      </c>
      <c r="M39" s="227" t="s">
        <v>504</v>
      </c>
      <c r="N39" s="227" t="s">
        <v>504</v>
      </c>
      <c r="O39" s="227" t="s">
        <v>338</v>
      </c>
    </row>
    <row r="40" spans="1:15">
      <c r="A40" s="227" t="s">
        <v>1376</v>
      </c>
      <c r="B40" s="227" t="s">
        <v>1479</v>
      </c>
      <c r="C40" s="227" t="s">
        <v>497</v>
      </c>
      <c r="D40" s="227" t="s">
        <v>1374</v>
      </c>
      <c r="E40" s="227" t="s">
        <v>1512</v>
      </c>
      <c r="F40" s="227" t="str">
        <f>INDEX('Owner Mapped P&amp;L'!$F:$F,MATCH('Headcount &amp; Compensation'!$A40,'Owner Mapped P&amp;L'!$A:$A,0))</f>
        <v>Onboarding Team Wages</v>
      </c>
      <c r="G40" s="227" t="s">
        <v>1375</v>
      </c>
      <c r="H40" s="227" t="s">
        <v>731</v>
      </c>
      <c r="I40" s="227" t="s">
        <v>1367</v>
      </c>
      <c r="J40" s="228">
        <v>1800</v>
      </c>
      <c r="K40" s="227" t="s">
        <v>595</v>
      </c>
      <c r="L40" s="228">
        <v>21600</v>
      </c>
      <c r="M40" s="227" t="s">
        <v>504</v>
      </c>
      <c r="N40" s="227" t="s">
        <v>504</v>
      </c>
      <c r="O40" s="227" t="s">
        <v>338</v>
      </c>
    </row>
    <row r="41" spans="1:15">
      <c r="A41" s="227" t="s">
        <v>1439</v>
      </c>
      <c r="B41" s="227" t="s">
        <v>1440</v>
      </c>
      <c r="C41" s="227" t="s">
        <v>497</v>
      </c>
      <c r="D41" s="227" t="s">
        <v>1349</v>
      </c>
      <c r="E41" s="227" t="s">
        <v>490</v>
      </c>
      <c r="F41" s="227" t="str">
        <f>INDEX('Owner Mapped P&amp;L'!$F:$F,MATCH('Headcount &amp; Compensation'!$A41,'Owner Mapped P&amp;L'!$A:$A,0))</f>
        <v>Bookkeeper Wages</v>
      </c>
      <c r="G41" s="227" t="s">
        <v>1344</v>
      </c>
      <c r="H41" s="227" t="s">
        <v>731</v>
      </c>
      <c r="I41" s="227" t="s">
        <v>581</v>
      </c>
      <c r="J41" s="228">
        <v>1000</v>
      </c>
      <c r="K41" s="227" t="s">
        <v>595</v>
      </c>
      <c r="L41" s="228">
        <v>12000</v>
      </c>
      <c r="M41" s="227" t="s">
        <v>504</v>
      </c>
      <c r="N41" s="227" t="s">
        <v>504</v>
      </c>
      <c r="O41" s="227" t="s">
        <v>338</v>
      </c>
    </row>
    <row r="42" spans="1:15">
      <c r="A42" s="227" t="s">
        <v>766</v>
      </c>
      <c r="B42" s="227" t="s">
        <v>1415</v>
      </c>
      <c r="C42" s="227" t="s">
        <v>497</v>
      </c>
      <c r="D42" s="227" t="s">
        <v>1349</v>
      </c>
      <c r="E42" s="227" t="s">
        <v>490</v>
      </c>
      <c r="F42" s="227" t="str">
        <f>INDEX('Owner Mapped P&amp;L'!$F:$F,MATCH('Headcount &amp; Compensation'!$A42,'Owner Mapped P&amp;L'!$A:$A,0))</f>
        <v>Bookkeeper Wages</v>
      </c>
      <c r="G42" s="227" t="s">
        <v>1344</v>
      </c>
      <c r="H42" s="227" t="s">
        <v>731</v>
      </c>
      <c r="I42" s="227" t="s">
        <v>681</v>
      </c>
      <c r="J42" s="228">
        <v>950</v>
      </c>
      <c r="K42" s="227" t="s">
        <v>595</v>
      </c>
      <c r="L42" s="228">
        <v>11400</v>
      </c>
      <c r="M42" s="227" t="s">
        <v>504</v>
      </c>
      <c r="N42" s="227" t="s">
        <v>504</v>
      </c>
      <c r="O42" s="227" t="s">
        <v>338</v>
      </c>
    </row>
    <row r="43" spans="1:15">
      <c r="A43" s="227" t="s">
        <v>1437</v>
      </c>
      <c r="B43" s="227" t="s">
        <v>1438</v>
      </c>
      <c r="C43" s="227" t="s">
        <v>497</v>
      </c>
      <c r="D43" s="227" t="s">
        <v>1349</v>
      </c>
      <c r="E43" s="227" t="s">
        <v>490</v>
      </c>
      <c r="F43" s="227" t="str">
        <f>INDEX('Owner Mapped P&amp;L'!$F:$F,MATCH('Headcount &amp; Compensation'!$A43,'Owner Mapped P&amp;L'!$A:$A,0))</f>
        <v>Bookkeeper Wages</v>
      </c>
      <c r="G43" s="227" t="s">
        <v>1344</v>
      </c>
      <c r="H43" s="227" t="s">
        <v>731</v>
      </c>
      <c r="I43" s="227" t="s">
        <v>681</v>
      </c>
      <c r="J43" s="228">
        <v>1050</v>
      </c>
      <c r="K43" s="227" t="s">
        <v>595</v>
      </c>
      <c r="L43" s="228">
        <v>12600</v>
      </c>
      <c r="M43" s="227" t="s">
        <v>504</v>
      </c>
      <c r="N43" s="227" t="s">
        <v>504</v>
      </c>
      <c r="O43" s="227" t="s">
        <v>338</v>
      </c>
    </row>
    <row r="44" spans="1:15">
      <c r="A44" s="227" t="s">
        <v>1441</v>
      </c>
      <c r="B44" s="227" t="s">
        <v>1442</v>
      </c>
      <c r="C44" s="227" t="s">
        <v>497</v>
      </c>
      <c r="D44" s="227" t="s">
        <v>1349</v>
      </c>
      <c r="E44" s="227" t="s">
        <v>490</v>
      </c>
      <c r="F44" s="227" t="str">
        <f>INDEX('Owner Mapped P&amp;L'!$F:$F,MATCH('Headcount &amp; Compensation'!$A44,'Owner Mapped P&amp;L'!$A:$A,0))</f>
        <v>Bookkeeper Wages</v>
      </c>
      <c r="G44" s="227" t="s">
        <v>1344</v>
      </c>
      <c r="H44" s="227" t="s">
        <v>731</v>
      </c>
      <c r="I44" s="227" t="s">
        <v>557</v>
      </c>
      <c r="J44" s="228">
        <v>1025</v>
      </c>
      <c r="K44" s="227" t="s">
        <v>595</v>
      </c>
      <c r="L44" s="228">
        <v>12300</v>
      </c>
      <c r="M44" s="227" t="s">
        <v>504</v>
      </c>
      <c r="N44" s="227" t="s">
        <v>504</v>
      </c>
      <c r="O44" s="227" t="s">
        <v>338</v>
      </c>
    </row>
    <row r="45" spans="1:15">
      <c r="A45" s="227" t="s">
        <v>1483</v>
      </c>
      <c r="B45" s="227" t="s">
        <v>1484</v>
      </c>
      <c r="C45" s="227" t="s">
        <v>497</v>
      </c>
      <c r="D45" s="227" t="s">
        <v>1485</v>
      </c>
      <c r="E45" s="227" t="s">
        <v>493</v>
      </c>
      <c r="F45" s="227" t="str">
        <f>INDEX('Owner Mapped P&amp;L'!$F:$F,MATCH('Headcount &amp; Compensation'!$A45,'Owner Mapped P&amp;L'!$A:$A,0))</f>
        <v>Indirect Labor</v>
      </c>
      <c r="G45" s="227" t="s">
        <v>1344</v>
      </c>
      <c r="H45" s="227" t="s">
        <v>731</v>
      </c>
      <c r="I45" s="227" t="s">
        <v>1371</v>
      </c>
      <c r="J45" s="228">
        <v>1000</v>
      </c>
      <c r="K45" s="227" t="s">
        <v>595</v>
      </c>
      <c r="L45" s="228">
        <v>12000</v>
      </c>
      <c r="M45" s="227" t="s">
        <v>504</v>
      </c>
      <c r="N45" s="227" t="s">
        <v>504</v>
      </c>
      <c r="O45" s="227" t="s">
        <v>338</v>
      </c>
    </row>
    <row r="46" spans="1:15">
      <c r="A46" s="227" t="s">
        <v>1379</v>
      </c>
      <c r="B46" s="227" t="s">
        <v>1402</v>
      </c>
      <c r="C46" s="227" t="s">
        <v>497</v>
      </c>
      <c r="D46" s="227" t="s">
        <v>1364</v>
      </c>
      <c r="E46" s="227" t="s">
        <v>1364</v>
      </c>
      <c r="F46" s="227" t="str">
        <f>INDEX('Owner Mapped P&amp;L'!$F:$F,MATCH('Headcount &amp; Compensation'!$A46,'Owner Mapped P&amp;L'!$A:$A,0))</f>
        <v>Indirect Labor</v>
      </c>
      <c r="G46" s="227" t="s">
        <v>1365</v>
      </c>
      <c r="H46" s="227" t="s">
        <v>1366</v>
      </c>
      <c r="I46" s="227" t="s">
        <v>1367</v>
      </c>
      <c r="J46" s="228">
        <v>120000</v>
      </c>
      <c r="K46" s="227" t="s">
        <v>1368</v>
      </c>
      <c r="L46" s="228">
        <v>120000</v>
      </c>
      <c r="M46" s="227" t="s">
        <v>504</v>
      </c>
      <c r="N46" s="227" t="s">
        <v>504</v>
      </c>
      <c r="O46" s="227" t="s">
        <v>338</v>
      </c>
    </row>
    <row r="47" spans="1:15">
      <c r="A47" s="227" t="s">
        <v>557</v>
      </c>
      <c r="B47" s="227" t="s">
        <v>1463</v>
      </c>
      <c r="C47" s="227" t="s">
        <v>497</v>
      </c>
      <c r="D47" s="227" t="s">
        <v>491</v>
      </c>
      <c r="E47" s="227" t="s">
        <v>491</v>
      </c>
      <c r="F47" s="227" t="str">
        <f>INDEX('Owner Mapped P&amp;L'!$F:$F,MATCH('Headcount &amp; Compensation'!$A47,'Owner Mapped P&amp;L'!$A:$A,0))</f>
        <v>Client Lead Wages</v>
      </c>
      <c r="G47" s="227" t="s">
        <v>1344</v>
      </c>
      <c r="H47" s="227" t="s">
        <v>731</v>
      </c>
      <c r="I47" s="227" t="s">
        <v>510</v>
      </c>
      <c r="J47" s="228">
        <v>2000</v>
      </c>
      <c r="K47" s="227" t="s">
        <v>595</v>
      </c>
      <c r="L47" s="228">
        <v>24000</v>
      </c>
      <c r="M47" s="227" t="s">
        <v>504</v>
      </c>
      <c r="N47" s="227" t="s">
        <v>504</v>
      </c>
      <c r="O47" s="227" t="s">
        <v>338</v>
      </c>
    </row>
    <row r="48" spans="1:15">
      <c r="A48" s="227" t="s">
        <v>536</v>
      </c>
      <c r="B48" s="227" t="s">
        <v>1478</v>
      </c>
      <c r="C48" s="227" t="s">
        <v>497</v>
      </c>
      <c r="D48" s="227" t="s">
        <v>491</v>
      </c>
      <c r="E48" s="227" t="s">
        <v>491</v>
      </c>
      <c r="F48" s="227" t="str">
        <f>INDEX('Owner Mapped P&amp;L'!$F:$F,MATCH('Headcount &amp; Compensation'!$A48,'Owner Mapped P&amp;L'!$A:$A,0))</f>
        <v>Client Lead Wages</v>
      </c>
      <c r="G48" s="227" t="s">
        <v>1344</v>
      </c>
      <c r="H48" s="227" t="s">
        <v>731</v>
      </c>
      <c r="I48" s="227" t="s">
        <v>1379</v>
      </c>
      <c r="J48" s="228">
        <v>2150</v>
      </c>
      <c r="K48" s="227" t="s">
        <v>595</v>
      </c>
      <c r="L48" s="228">
        <v>25800</v>
      </c>
      <c r="M48" s="227" t="s">
        <v>504</v>
      </c>
      <c r="N48" s="227" t="s">
        <v>504</v>
      </c>
      <c r="O48" s="227" t="s">
        <v>338</v>
      </c>
    </row>
    <row r="49" spans="1:15">
      <c r="A49" s="227" t="s">
        <v>705</v>
      </c>
      <c r="B49" s="227" t="s">
        <v>1490</v>
      </c>
      <c r="C49" s="227" t="s">
        <v>497</v>
      </c>
      <c r="D49" s="227" t="s">
        <v>1410</v>
      </c>
      <c r="E49" s="227" t="s">
        <v>490</v>
      </c>
      <c r="F49" s="227" t="str">
        <f>INDEX('Owner Mapped P&amp;L'!$F:$F,MATCH('Headcount &amp; Compensation'!$A49,'Owner Mapped P&amp;L'!$A:$A,0))</f>
        <v>Bookkeeper Wages</v>
      </c>
      <c r="G49" s="227" t="s">
        <v>1344</v>
      </c>
      <c r="H49" s="227" t="s">
        <v>731</v>
      </c>
      <c r="I49" s="227" t="s">
        <v>681</v>
      </c>
      <c r="J49" s="228">
        <v>1250</v>
      </c>
      <c r="K49" s="227" t="s">
        <v>595</v>
      </c>
      <c r="L49" s="228">
        <v>15000</v>
      </c>
      <c r="M49" s="227" t="s">
        <v>504</v>
      </c>
      <c r="N49" s="227" t="s">
        <v>504</v>
      </c>
      <c r="O49" s="227" t="s">
        <v>338</v>
      </c>
    </row>
    <row r="50" spans="1:15">
      <c r="A50" s="227" t="s">
        <v>682</v>
      </c>
      <c r="B50" s="227" t="s">
        <v>1369</v>
      </c>
      <c r="C50" s="227" t="s">
        <v>497</v>
      </c>
      <c r="D50" s="227" t="s">
        <v>1370</v>
      </c>
      <c r="E50" s="227" t="s">
        <v>493</v>
      </c>
      <c r="F50" s="227" t="str">
        <f>INDEX('Owner Mapped P&amp;L'!$F:$F,MATCH('Headcount &amp; Compensation'!$A50,'Owner Mapped P&amp;L'!$A:$A,0))</f>
        <v>Indirect Labor</v>
      </c>
      <c r="G50" s="227" t="s">
        <v>1344</v>
      </c>
      <c r="H50" s="227" t="s">
        <v>731</v>
      </c>
      <c r="I50" s="227" t="s">
        <v>1371</v>
      </c>
      <c r="J50" s="228">
        <v>850</v>
      </c>
      <c r="K50" s="227" t="s">
        <v>595</v>
      </c>
      <c r="L50" s="228">
        <v>10200</v>
      </c>
      <c r="M50" s="227" t="s">
        <v>504</v>
      </c>
      <c r="N50" s="227" t="s">
        <v>504</v>
      </c>
      <c r="O50" s="227" t="s">
        <v>338</v>
      </c>
    </row>
    <row r="51" spans="1:15">
      <c r="A51" s="227" t="s">
        <v>1345</v>
      </c>
      <c r="B51" s="227" t="s">
        <v>1412</v>
      </c>
      <c r="C51" s="227" t="s">
        <v>497</v>
      </c>
      <c r="D51" s="227" t="s">
        <v>1413</v>
      </c>
      <c r="E51" s="227" t="s">
        <v>1511</v>
      </c>
      <c r="F51" s="227" t="str">
        <f>INDEX('Owner Mapped P&amp;L'!$F:$F,MATCH('Headcount &amp; Compensation'!$A51,'Owner Mapped P&amp;L'!$A:$A,0))</f>
        <v>Occupancy Tax Specialist</v>
      </c>
      <c r="G51" s="227" t="s">
        <v>1344</v>
      </c>
      <c r="H51" s="227" t="s">
        <v>731</v>
      </c>
      <c r="I51" s="227" t="s">
        <v>1362</v>
      </c>
      <c r="J51" s="228">
        <v>1800</v>
      </c>
      <c r="K51" s="227" t="s">
        <v>595</v>
      </c>
      <c r="L51" s="228">
        <v>21600</v>
      </c>
      <c r="M51" s="227" t="s">
        <v>504</v>
      </c>
      <c r="N51" s="227" t="s">
        <v>504</v>
      </c>
      <c r="O51" s="227" t="s">
        <v>338</v>
      </c>
    </row>
    <row r="52" spans="1:15">
      <c r="A52" s="227" t="s">
        <v>1425</v>
      </c>
      <c r="B52" s="227" t="s">
        <v>1459</v>
      </c>
      <c r="C52" s="227" t="s">
        <v>497</v>
      </c>
      <c r="D52" s="227" t="s">
        <v>491</v>
      </c>
      <c r="E52" s="227" t="s">
        <v>491</v>
      </c>
      <c r="F52" s="227" t="str">
        <f>INDEX('Owner Mapped P&amp;L'!$F:$F,MATCH('Headcount &amp; Compensation'!$A52,'Owner Mapped P&amp;L'!$A:$A,0))</f>
        <v>Client Lead Wages</v>
      </c>
      <c r="G52" s="227" t="s">
        <v>1344</v>
      </c>
      <c r="H52" s="227" t="s">
        <v>731</v>
      </c>
      <c r="I52" s="227" t="s">
        <v>1379</v>
      </c>
      <c r="J52" s="228">
        <v>2000</v>
      </c>
      <c r="K52" s="227" t="s">
        <v>595</v>
      </c>
      <c r="L52" s="228">
        <v>24000</v>
      </c>
      <c r="M52" s="227" t="s">
        <v>504</v>
      </c>
      <c r="N52" s="227" t="s">
        <v>504</v>
      </c>
      <c r="O52" s="227" t="s">
        <v>338</v>
      </c>
    </row>
    <row r="53" spans="1:15">
      <c r="A53" s="227" t="s">
        <v>1392</v>
      </c>
      <c r="B53" s="227" t="s">
        <v>1481</v>
      </c>
      <c r="C53" s="227" t="s">
        <v>497</v>
      </c>
      <c r="D53" s="227" t="s">
        <v>491</v>
      </c>
      <c r="E53" s="227" t="s">
        <v>491</v>
      </c>
      <c r="F53" s="227" t="str">
        <f>INDEX('Owner Mapped P&amp;L'!$F:$F,MATCH('Headcount &amp; Compensation'!$A53,'Owner Mapped P&amp;L'!$A:$A,0))</f>
        <v>Client Lead Wages</v>
      </c>
      <c r="G53" s="227" t="s">
        <v>1344</v>
      </c>
      <c r="H53" s="227" t="s">
        <v>731</v>
      </c>
      <c r="I53" s="227" t="s">
        <v>510</v>
      </c>
      <c r="J53" s="228">
        <v>1800</v>
      </c>
      <c r="K53" s="227" t="s">
        <v>595</v>
      </c>
      <c r="L53" s="228">
        <v>21600</v>
      </c>
      <c r="M53" s="227" t="s">
        <v>504</v>
      </c>
      <c r="N53" s="227" t="s">
        <v>504</v>
      </c>
      <c r="O53" s="227" t="s">
        <v>338</v>
      </c>
    </row>
    <row r="54" spans="1:15">
      <c r="A54" s="227" t="s">
        <v>626</v>
      </c>
      <c r="B54" s="227" t="s">
        <v>1391</v>
      </c>
      <c r="C54" s="227" t="s">
        <v>497</v>
      </c>
      <c r="D54" s="227" t="s">
        <v>1349</v>
      </c>
      <c r="E54" s="227" t="s">
        <v>490</v>
      </c>
      <c r="F54" s="227" t="str">
        <f>INDEX('Owner Mapped P&amp;L'!$F:$F,MATCH('Headcount &amp; Compensation'!$A54,'Owner Mapped P&amp;L'!$A:$A,0))</f>
        <v>Bookkeeper Wages</v>
      </c>
      <c r="G54" s="227" t="s">
        <v>1344</v>
      </c>
      <c r="H54" s="227" t="s">
        <v>731</v>
      </c>
      <c r="I54" s="227" t="s">
        <v>1392</v>
      </c>
      <c r="J54" s="228">
        <v>950</v>
      </c>
      <c r="K54" s="227" t="s">
        <v>595</v>
      </c>
      <c r="L54" s="228">
        <v>11400</v>
      </c>
      <c r="M54" s="227" t="s">
        <v>504</v>
      </c>
      <c r="N54" s="227" t="s">
        <v>504</v>
      </c>
      <c r="O54" s="227" t="s">
        <v>338</v>
      </c>
    </row>
    <row r="55" spans="1:15">
      <c r="A55" s="227" t="s">
        <v>1385</v>
      </c>
      <c r="B55" s="227" t="s">
        <v>1472</v>
      </c>
      <c r="C55" s="227" t="s">
        <v>497</v>
      </c>
      <c r="D55" s="227" t="s">
        <v>1473</v>
      </c>
      <c r="E55" s="227" t="s">
        <v>1512</v>
      </c>
      <c r="F55" s="227" t="str">
        <f>INDEX('Owner Mapped P&amp;L'!$F:$F,MATCH('Headcount &amp; Compensation'!$A55,'Owner Mapped P&amp;L'!$A:$A,0))</f>
        <v>Onboarding Team Wages</v>
      </c>
      <c r="G55" s="227" t="s">
        <v>1344</v>
      </c>
      <c r="H55" s="227" t="s">
        <v>731</v>
      </c>
      <c r="I55" s="227" t="s">
        <v>1367</v>
      </c>
      <c r="J55" s="228">
        <v>2000</v>
      </c>
      <c r="K55" s="227" t="s">
        <v>595</v>
      </c>
      <c r="L55" s="228">
        <v>24000</v>
      </c>
      <c r="M55" s="227" t="s">
        <v>504</v>
      </c>
      <c r="N55" s="227" t="s">
        <v>504</v>
      </c>
      <c r="O55" s="227" t="s">
        <v>338</v>
      </c>
    </row>
    <row r="56" spans="1:15">
      <c r="A56" s="227" t="s">
        <v>612</v>
      </c>
      <c r="B56" s="227" t="s">
        <v>1386</v>
      </c>
      <c r="C56" s="227" t="s">
        <v>497</v>
      </c>
      <c r="D56" s="227" t="s">
        <v>1349</v>
      </c>
      <c r="E56" s="227" t="s">
        <v>490</v>
      </c>
      <c r="F56" s="227" t="str">
        <f>INDEX('Owner Mapped P&amp;L'!$F:$F,MATCH('Headcount &amp; Compensation'!$A56,'Owner Mapped P&amp;L'!$A:$A,0))</f>
        <v>Bookkeeper Wages</v>
      </c>
      <c r="G56" s="227" t="s">
        <v>1344</v>
      </c>
      <c r="H56" s="227" t="s">
        <v>731</v>
      </c>
      <c r="I56" s="227" t="s">
        <v>1353</v>
      </c>
      <c r="J56" s="228">
        <v>950</v>
      </c>
      <c r="K56" s="227" t="s">
        <v>595</v>
      </c>
      <c r="L56" s="228">
        <v>11400</v>
      </c>
      <c r="M56" s="227" t="s">
        <v>504</v>
      </c>
      <c r="N56" s="227" t="s">
        <v>504</v>
      </c>
      <c r="O56" s="227" t="s">
        <v>338</v>
      </c>
    </row>
    <row r="57" spans="1:15">
      <c r="A57" s="227" t="s">
        <v>640</v>
      </c>
      <c r="B57" s="227" t="s">
        <v>1420</v>
      </c>
      <c r="C57" s="227" t="s">
        <v>497</v>
      </c>
      <c r="D57" s="227" t="s">
        <v>1349</v>
      </c>
      <c r="E57" s="227" t="s">
        <v>490</v>
      </c>
      <c r="F57" s="227" t="str">
        <f>INDEX('Owner Mapped P&amp;L'!$F:$F,MATCH('Headcount &amp; Compensation'!$A57,'Owner Mapped P&amp;L'!$A:$A,0))</f>
        <v>Bookkeeper Wages</v>
      </c>
      <c r="G57" s="227" t="s">
        <v>1344</v>
      </c>
      <c r="H57" s="227" t="s">
        <v>731</v>
      </c>
      <c r="I57" s="227" t="s">
        <v>536</v>
      </c>
      <c r="J57" s="228">
        <v>950</v>
      </c>
      <c r="K57" s="227" t="s">
        <v>595</v>
      </c>
      <c r="L57" s="228">
        <v>11400</v>
      </c>
      <c r="M57" s="227" t="s">
        <v>504</v>
      </c>
      <c r="N57" s="227" t="s">
        <v>504</v>
      </c>
      <c r="O57" s="227" t="s">
        <v>338</v>
      </c>
    </row>
    <row r="58" spans="1:15">
      <c r="A58" s="227" t="s">
        <v>1351</v>
      </c>
      <c r="B58" s="227" t="s">
        <v>1352</v>
      </c>
      <c r="C58" s="227" t="s">
        <v>497</v>
      </c>
      <c r="D58" s="227" t="s">
        <v>1349</v>
      </c>
      <c r="E58" s="227" t="s">
        <v>490</v>
      </c>
      <c r="F58" s="227" t="str">
        <f>INDEX('Owner Mapped P&amp;L'!$F:$F,MATCH('Headcount &amp; Compensation'!$A58,'Owner Mapped P&amp;L'!$A:$A,0))</f>
        <v>Bookkeeper Wages</v>
      </c>
      <c r="G58" s="227" t="s">
        <v>1344</v>
      </c>
      <c r="H58" s="227" t="s">
        <v>731</v>
      </c>
      <c r="I58" s="227" t="s">
        <v>1353</v>
      </c>
      <c r="J58" s="228">
        <v>950</v>
      </c>
      <c r="K58" s="227" t="s">
        <v>595</v>
      </c>
      <c r="L58" s="228">
        <v>11400</v>
      </c>
      <c r="M58" s="227" t="s">
        <v>505</v>
      </c>
      <c r="N58" s="227" t="s">
        <v>504</v>
      </c>
      <c r="O58" s="227" t="s">
        <v>1350</v>
      </c>
    </row>
    <row r="59" spans="1:15">
      <c r="A59" s="227" t="s">
        <v>510</v>
      </c>
      <c r="B59" s="227" t="s">
        <v>1426</v>
      </c>
      <c r="C59" s="227" t="s">
        <v>497</v>
      </c>
      <c r="D59" s="227" t="s">
        <v>1364</v>
      </c>
      <c r="E59" s="227" t="s">
        <v>1364</v>
      </c>
      <c r="F59" s="227" t="str">
        <f>INDEX('Owner Mapped P&amp;L'!$F:$F,MATCH('Headcount &amp; Compensation'!$A59,'Owner Mapped P&amp;L'!$A:$A,0))</f>
        <v>Indirect Labor</v>
      </c>
      <c r="G59" s="227" t="s">
        <v>1365</v>
      </c>
      <c r="H59" s="227" t="s">
        <v>1366</v>
      </c>
      <c r="I59" s="227" t="s">
        <v>1367</v>
      </c>
      <c r="J59" s="228">
        <v>115000</v>
      </c>
      <c r="K59" s="227" t="s">
        <v>1368</v>
      </c>
      <c r="L59" s="228">
        <v>115000</v>
      </c>
      <c r="M59" s="227" t="s">
        <v>504</v>
      </c>
      <c r="N59" s="227" t="s">
        <v>504</v>
      </c>
      <c r="O59" s="227" t="s">
        <v>338</v>
      </c>
    </row>
    <row r="60" spans="1:15">
      <c r="A60" s="227" t="s">
        <v>1488</v>
      </c>
      <c r="B60" s="227" t="s">
        <v>1489</v>
      </c>
      <c r="C60" s="227" t="s">
        <v>497</v>
      </c>
      <c r="D60" s="227" t="s">
        <v>1349</v>
      </c>
      <c r="E60" s="227" t="s">
        <v>493</v>
      </c>
      <c r="F60" s="227" t="str">
        <f>INDEX('Owner Mapped P&amp;L'!$F:$F,MATCH('Headcount &amp; Compensation'!$A60,'Owner Mapped P&amp;L'!$A:$A,0))</f>
        <v>Indirect Labor</v>
      </c>
      <c r="G60" s="227" t="s">
        <v>1344</v>
      </c>
      <c r="H60" s="227" t="s">
        <v>731</v>
      </c>
      <c r="I60" s="227" t="s">
        <v>1367</v>
      </c>
      <c r="J60" s="228">
        <v>1125</v>
      </c>
      <c r="K60" s="227" t="s">
        <v>595</v>
      </c>
      <c r="L60" s="228">
        <v>13500</v>
      </c>
      <c r="M60" s="227" t="s">
        <v>504</v>
      </c>
      <c r="N60" s="227" t="s">
        <v>504</v>
      </c>
      <c r="O60" s="227" t="s">
        <v>338</v>
      </c>
    </row>
    <row r="61" spans="1:15">
      <c r="A61" s="227" t="s">
        <v>1445</v>
      </c>
      <c r="B61" s="227" t="s">
        <v>1446</v>
      </c>
      <c r="C61" s="227" t="s">
        <v>497</v>
      </c>
      <c r="D61" s="227" t="s">
        <v>1447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1375</v>
      </c>
      <c r="H61" s="227" t="s">
        <v>731</v>
      </c>
      <c r="I61" s="227" t="s">
        <v>1367</v>
      </c>
      <c r="J61" s="228">
        <v>1500</v>
      </c>
      <c r="K61" s="227" t="s">
        <v>595</v>
      </c>
      <c r="L61" s="228">
        <v>18000</v>
      </c>
      <c r="M61" s="227" t="s">
        <v>504</v>
      </c>
      <c r="N61" s="227" t="s">
        <v>504</v>
      </c>
      <c r="O61" s="227" t="s">
        <v>338</v>
      </c>
    </row>
    <row r="62" spans="1:15">
      <c r="A62" s="227" t="s">
        <v>651</v>
      </c>
      <c r="B62" s="227" t="s">
        <v>1423</v>
      </c>
      <c r="C62" s="227" t="s">
        <v>497</v>
      </c>
      <c r="D62" s="227" t="s">
        <v>1401</v>
      </c>
      <c r="E62" s="227" t="s">
        <v>1513</v>
      </c>
      <c r="F62" s="227" t="str">
        <f>INDEX('Owner Mapped P&amp;L'!$F:$F,MATCH('Headcount &amp; Compensation'!$A62,'Owner Mapped P&amp;L'!$A:$A,0))</f>
        <v>Onboarding Team Wages</v>
      </c>
      <c r="G62" s="227" t="s">
        <v>1344</v>
      </c>
      <c r="H62" s="227" t="s">
        <v>731</v>
      </c>
      <c r="I62" s="227" t="s">
        <v>1385</v>
      </c>
      <c r="J62" s="228">
        <v>950</v>
      </c>
      <c r="K62" s="227" t="s">
        <v>595</v>
      </c>
      <c r="L62" s="228">
        <v>11400</v>
      </c>
      <c r="M62" s="227" t="s">
        <v>504</v>
      </c>
      <c r="N62" s="227" t="s">
        <v>504</v>
      </c>
      <c r="O62" s="227" t="s">
        <v>338</v>
      </c>
    </row>
    <row r="63" spans="1:15">
      <c r="A63" s="227" t="s">
        <v>580</v>
      </c>
      <c r="B63" s="227" t="s">
        <v>1464</v>
      </c>
      <c r="C63" s="227" t="s">
        <v>497</v>
      </c>
      <c r="D63" s="227" t="s">
        <v>1410</v>
      </c>
      <c r="E63" s="227" t="s">
        <v>490</v>
      </c>
      <c r="F63" s="227" t="str">
        <f>INDEX('Owner Mapped P&amp;L'!$F:$F,MATCH('Headcount &amp; Compensation'!$A63,'Owner Mapped P&amp;L'!$A:$A,0))</f>
        <v>Bookkeeper Wages</v>
      </c>
      <c r="G63" s="227" t="s">
        <v>1344</v>
      </c>
      <c r="H63" s="227" t="s">
        <v>731</v>
      </c>
      <c r="I63" s="227" t="s">
        <v>581</v>
      </c>
      <c r="J63" s="228">
        <v>1200</v>
      </c>
      <c r="K63" s="227" t="s">
        <v>595</v>
      </c>
      <c r="L63" s="228">
        <v>14400</v>
      </c>
      <c r="M63" s="227" t="s">
        <v>504</v>
      </c>
      <c r="N63" s="227" t="s">
        <v>504</v>
      </c>
      <c r="O63" s="227" t="s">
        <v>338</v>
      </c>
    </row>
    <row r="64" spans="1:15">
      <c r="A64" s="227" t="s">
        <v>716</v>
      </c>
      <c r="B64" s="227" t="s">
        <v>1487</v>
      </c>
      <c r="C64" s="227" t="s">
        <v>497</v>
      </c>
      <c r="D64" s="227" t="s">
        <v>1430</v>
      </c>
      <c r="E64" s="227" t="s">
        <v>1513</v>
      </c>
      <c r="F64" s="227" t="str">
        <f>INDEX('Owner Mapped P&amp;L'!$F:$F,MATCH('Headcount &amp; Compensation'!$A64,'Owner Mapped P&amp;L'!$A:$A,0))</f>
        <v>Onboarding Team Wages</v>
      </c>
      <c r="G64" s="227" t="s">
        <v>1344</v>
      </c>
      <c r="H64" s="227" t="s">
        <v>731</v>
      </c>
      <c r="I64" s="227" t="s">
        <v>1367</v>
      </c>
      <c r="J64" s="228">
        <v>950</v>
      </c>
      <c r="K64" s="227" t="s">
        <v>595</v>
      </c>
      <c r="L64" s="228">
        <v>11400</v>
      </c>
      <c r="M64" s="227" t="s">
        <v>504</v>
      </c>
      <c r="N64" s="227" t="s">
        <v>504</v>
      </c>
      <c r="O64" s="227" t="s">
        <v>338</v>
      </c>
    </row>
    <row r="65" spans="1:15">
      <c r="A65" s="227" t="s">
        <v>862</v>
      </c>
      <c r="B65" s="227" t="s">
        <v>1384</v>
      </c>
      <c r="C65" s="227" t="s">
        <v>497</v>
      </c>
      <c r="D65" s="227" t="s">
        <v>1349</v>
      </c>
      <c r="E65" s="227" t="s">
        <v>490</v>
      </c>
      <c r="F65" s="227" t="str">
        <f>INDEX('Owner Mapped P&amp;L'!$F:$F,MATCH('Headcount &amp; Compensation'!$A65,'Owner Mapped P&amp;L'!$A:$A,0))</f>
        <v>Bookkeeper Wages</v>
      </c>
      <c r="G65" s="227" t="s">
        <v>1344</v>
      </c>
      <c r="H65" s="227" t="s">
        <v>731</v>
      </c>
      <c r="I65" s="227" t="s">
        <v>1385</v>
      </c>
      <c r="J65" s="228">
        <v>950</v>
      </c>
      <c r="K65" s="227" t="s">
        <v>595</v>
      </c>
      <c r="L65" s="228">
        <v>11400</v>
      </c>
      <c r="M65" s="227" t="s">
        <v>504</v>
      </c>
      <c r="N65" s="227" t="s">
        <v>504</v>
      </c>
      <c r="O65" s="227" t="s">
        <v>338</v>
      </c>
    </row>
    <row r="66" spans="1:15">
      <c r="A66" s="227" t="s">
        <v>1341</v>
      </c>
      <c r="B66" s="227" t="s">
        <v>1342</v>
      </c>
      <c r="C66" s="227" t="s">
        <v>497</v>
      </c>
      <c r="D66" s="227" t="s">
        <v>1343</v>
      </c>
      <c r="E66" s="227" t="s">
        <v>1511</v>
      </c>
      <c r="F66" s="227" t="str">
        <f>INDEX('Owner Mapped P&amp;L'!$F:$F,MATCH('Headcount &amp; Compensation'!$A66,'Owner Mapped P&amp;L'!$A:$A,0))</f>
        <v>Occupancy Tax Specialist</v>
      </c>
      <c r="G66" s="227" t="s">
        <v>1344</v>
      </c>
      <c r="H66" s="227" t="s">
        <v>731</v>
      </c>
      <c r="I66" s="227" t="s">
        <v>1345</v>
      </c>
      <c r="J66" s="228">
        <v>1100</v>
      </c>
      <c r="K66" s="227" t="s">
        <v>595</v>
      </c>
      <c r="L66" s="228">
        <v>13200</v>
      </c>
      <c r="M66" s="227" t="s">
        <v>505</v>
      </c>
      <c r="N66" s="227" t="s">
        <v>504</v>
      </c>
      <c r="O66" s="227" t="s">
        <v>1346</v>
      </c>
    </row>
    <row r="67" spans="1:15">
      <c r="A67" s="227" t="s">
        <v>1372</v>
      </c>
      <c r="B67" s="227" t="s">
        <v>1373</v>
      </c>
      <c r="C67" s="227" t="s">
        <v>497</v>
      </c>
      <c r="D67" s="227" t="s">
        <v>1374</v>
      </c>
      <c r="E67" s="227" t="s">
        <v>1512</v>
      </c>
      <c r="F67" s="227" t="str">
        <f>INDEX('Owner Mapped P&amp;L'!$F:$F,MATCH('Headcount &amp; Compensation'!$A67,'Owner Mapped P&amp;L'!$A:$A,0))</f>
        <v>Onboarding Team Wages</v>
      </c>
      <c r="G67" s="227" t="s">
        <v>1375</v>
      </c>
      <c r="H67" s="227" t="s">
        <v>731</v>
      </c>
      <c r="I67" s="227" t="s">
        <v>1376</v>
      </c>
      <c r="J67" s="228">
        <v>1500</v>
      </c>
      <c r="K67" s="227" t="s">
        <v>595</v>
      </c>
      <c r="L67" s="228">
        <v>18000</v>
      </c>
      <c r="M67" s="227" t="s">
        <v>504</v>
      </c>
      <c r="N67" s="227" t="s">
        <v>504</v>
      </c>
      <c r="O67" s="227" t="s">
        <v>338</v>
      </c>
    </row>
    <row r="68" spans="1:15">
      <c r="A68" s="227" t="s">
        <v>1403</v>
      </c>
      <c r="B68" s="227" t="s">
        <v>1404</v>
      </c>
      <c r="C68" s="227" t="s">
        <v>505</v>
      </c>
      <c r="D68" s="227" t="s">
        <v>491</v>
      </c>
      <c r="E68" s="227" t="s">
        <v>491</v>
      </c>
      <c r="F68" s="227" t="str">
        <f>INDEX('Owner Mapped P&amp;L'!$F:$F,MATCH('Headcount &amp; Compensation'!$A68,'Owner Mapped P&amp;L'!$A:$A,0))</f>
        <v>Client Lead Wages</v>
      </c>
      <c r="G68" s="227" t="s">
        <v>1344</v>
      </c>
      <c r="H68" s="227" t="s">
        <v>731</v>
      </c>
      <c r="I68" s="227" t="s">
        <v>338</v>
      </c>
      <c r="J68" s="227"/>
      <c r="K68" s="227" t="s">
        <v>338</v>
      </c>
      <c r="L68" s="227"/>
      <c r="M68" s="227" t="s">
        <v>504</v>
      </c>
      <c r="N68" s="227" t="s">
        <v>505</v>
      </c>
      <c r="O68" s="227" t="s">
        <v>1405</v>
      </c>
    </row>
    <row r="69" spans="1:15">
      <c r="A69" s="227" t="s">
        <v>1435</v>
      </c>
      <c r="B69" s="227" t="s">
        <v>1436</v>
      </c>
      <c r="C69" s="227" t="s">
        <v>497</v>
      </c>
      <c r="D69" s="227" t="s">
        <v>1349</v>
      </c>
      <c r="E69" s="227" t="s">
        <v>490</v>
      </c>
      <c r="F69" s="227" t="str">
        <f>INDEX('Owner Mapped P&amp;L'!$F:$F,MATCH('Headcount &amp; Compensation'!$A69,'Owner Mapped P&amp;L'!$A:$A,0))</f>
        <v>Bookkeeper Wages</v>
      </c>
      <c r="G69" s="227" t="s">
        <v>1344</v>
      </c>
      <c r="H69" s="227" t="s">
        <v>731</v>
      </c>
      <c r="I69" s="227" t="s">
        <v>1425</v>
      </c>
      <c r="J69" s="228">
        <v>1025</v>
      </c>
      <c r="K69" s="227" t="s">
        <v>595</v>
      </c>
      <c r="L69" s="228">
        <v>12300</v>
      </c>
      <c r="M69" s="227" t="s">
        <v>504</v>
      </c>
      <c r="N69" s="227" t="s">
        <v>504</v>
      </c>
      <c r="O69" s="227" t="s">
        <v>338</v>
      </c>
    </row>
    <row r="70" spans="1:15">
      <c r="A70" s="227" t="s">
        <v>681</v>
      </c>
      <c r="B70" s="227" t="s">
        <v>1421</v>
      </c>
      <c r="C70" s="227" t="s">
        <v>497</v>
      </c>
      <c r="D70" s="227" t="s">
        <v>491</v>
      </c>
      <c r="E70" s="227" t="s">
        <v>491</v>
      </c>
      <c r="F70" s="227" t="str">
        <f>INDEX('Owner Mapped P&amp;L'!$F:$F,MATCH('Headcount &amp; Compensation'!$A70,'Owner Mapped P&amp;L'!$A:$A,0))</f>
        <v>Client Lead Wages</v>
      </c>
      <c r="G70" s="227" t="s">
        <v>1344</v>
      </c>
      <c r="H70" s="227" t="s">
        <v>731</v>
      </c>
      <c r="I70" s="227" t="s">
        <v>1362</v>
      </c>
      <c r="J70" s="228">
        <v>1800</v>
      </c>
      <c r="K70" s="227" t="s">
        <v>595</v>
      </c>
      <c r="L70" s="228">
        <v>21600</v>
      </c>
      <c r="M70" s="227" t="s">
        <v>504</v>
      </c>
      <c r="N70" s="227" t="s">
        <v>504</v>
      </c>
      <c r="O70" s="227" t="s">
        <v>338</v>
      </c>
    </row>
    <row r="71" spans="1:15">
      <c r="A71" s="227" t="s">
        <v>715</v>
      </c>
      <c r="B71" s="227" t="s">
        <v>1400</v>
      </c>
      <c r="C71" s="227" t="s">
        <v>497</v>
      </c>
      <c r="D71" s="227" t="s">
        <v>1401</v>
      </c>
      <c r="E71" s="227" t="s">
        <v>1513</v>
      </c>
      <c r="F71" s="227" t="str">
        <f>INDEX('Owner Mapped P&amp;L'!$F:$F,MATCH('Headcount &amp; Compensation'!$A71,'Owner Mapped P&amp;L'!$A:$A,0))</f>
        <v>Onboarding Team Wages</v>
      </c>
      <c r="G71" s="227" t="s">
        <v>1344</v>
      </c>
      <c r="H71" s="227" t="s">
        <v>731</v>
      </c>
      <c r="I71" s="227" t="s">
        <v>1385</v>
      </c>
      <c r="J71" s="228">
        <v>950</v>
      </c>
      <c r="K71" s="227" t="s">
        <v>595</v>
      </c>
      <c r="L71" s="228">
        <v>11400</v>
      </c>
      <c r="M71" s="227" t="s">
        <v>504</v>
      </c>
      <c r="N71" s="227" t="s">
        <v>504</v>
      </c>
      <c r="O71" s="227" t="s">
        <v>338</v>
      </c>
    </row>
    <row r="72" spans="1:15">
      <c r="A72" s="227" t="s">
        <v>1381</v>
      </c>
      <c r="B72" s="227" t="s">
        <v>1458</v>
      </c>
      <c r="C72" s="227" t="s">
        <v>497</v>
      </c>
      <c r="D72" s="227" t="s">
        <v>491</v>
      </c>
      <c r="E72" s="227" t="s">
        <v>491</v>
      </c>
      <c r="F72" s="227" t="str">
        <f>INDEX('Owner Mapped P&amp;L'!$F:$F,MATCH('Headcount &amp; Compensation'!$A72,'Owner Mapped P&amp;L'!$A:$A,0))</f>
        <v>Client Lead Wages</v>
      </c>
      <c r="G72" s="227" t="s">
        <v>1344</v>
      </c>
      <c r="H72" s="227" t="s">
        <v>731</v>
      </c>
      <c r="I72" s="227" t="s">
        <v>533</v>
      </c>
      <c r="J72" s="228">
        <v>1800</v>
      </c>
      <c r="K72" s="227" t="s">
        <v>595</v>
      </c>
      <c r="L72" s="228">
        <v>21600</v>
      </c>
      <c r="M72" s="227" t="s">
        <v>504</v>
      </c>
      <c r="N72" s="227" t="s">
        <v>504</v>
      </c>
      <c r="O72" s="227" t="s">
        <v>338</v>
      </c>
    </row>
    <row r="73" spans="1:15">
      <c r="A73" s="227" t="s">
        <v>602</v>
      </c>
      <c r="B73" s="227" t="s">
        <v>1409</v>
      </c>
      <c r="C73" s="227" t="s">
        <v>497</v>
      </c>
      <c r="D73" s="227" t="s">
        <v>1410</v>
      </c>
      <c r="E73" s="227" t="s">
        <v>490</v>
      </c>
      <c r="F73" s="227" t="str">
        <f>INDEX('Owner Mapped P&amp;L'!$F:$F,MATCH('Headcount &amp; Compensation'!$A73,'Owner Mapped P&amp;L'!$A:$A,0))</f>
        <v>Bookkeeper Wages</v>
      </c>
      <c r="G73" s="227" t="s">
        <v>1344</v>
      </c>
      <c r="H73" s="227" t="s">
        <v>731</v>
      </c>
      <c r="I73" s="227" t="s">
        <v>536</v>
      </c>
      <c r="J73" s="228">
        <v>1200</v>
      </c>
      <c r="K73" s="227" t="s">
        <v>595</v>
      </c>
      <c r="L73" s="228">
        <v>14400</v>
      </c>
      <c r="M73" s="227" t="s">
        <v>504</v>
      </c>
      <c r="N73" s="227" t="s">
        <v>504</v>
      </c>
      <c r="O73" s="227" t="s">
        <v>1411</v>
      </c>
    </row>
    <row r="74" spans="1:15">
      <c r="A74" s="227" t="s">
        <v>1443</v>
      </c>
      <c r="B74" s="227" t="s">
        <v>1444</v>
      </c>
      <c r="C74" s="227" t="s">
        <v>497</v>
      </c>
      <c r="D74" s="227" t="s">
        <v>1349</v>
      </c>
      <c r="E74" s="227" t="s">
        <v>490</v>
      </c>
      <c r="F74" s="227" t="str">
        <f>INDEX('Owner Mapped P&amp;L'!$F:$F,MATCH('Headcount &amp; Compensation'!$A74,'Owner Mapped P&amp;L'!$A:$A,0))</f>
        <v>Bookkeeper Wages</v>
      </c>
      <c r="G74" s="227" t="s">
        <v>1344</v>
      </c>
      <c r="H74" s="227" t="s">
        <v>731</v>
      </c>
      <c r="I74" s="227" t="s">
        <v>546</v>
      </c>
      <c r="J74" s="228">
        <v>950</v>
      </c>
      <c r="K74" s="227" t="s">
        <v>595</v>
      </c>
      <c r="L74" s="228">
        <v>11400</v>
      </c>
      <c r="M74" s="227" t="s">
        <v>504</v>
      </c>
      <c r="N74" s="227" t="s">
        <v>504</v>
      </c>
      <c r="O74" s="227" t="s">
        <v>338</v>
      </c>
    </row>
    <row r="75" spans="1:15">
      <c r="A75" s="227" t="s">
        <v>1354</v>
      </c>
      <c r="B75" s="227" t="s">
        <v>1355</v>
      </c>
      <c r="C75" s="227" t="s">
        <v>505</v>
      </c>
      <c r="D75" s="227" t="s">
        <v>1349</v>
      </c>
      <c r="E75" s="227" t="s">
        <v>490</v>
      </c>
      <c r="F75" s="227" t="str">
        <f>INDEX('Owner Mapped P&amp;L'!$F:$F,MATCH('Headcount &amp; Compensation'!$A75,'Owner Mapped P&amp;L'!$A:$A,0))</f>
        <v>Bookkeeper Wages</v>
      </c>
      <c r="G75" s="227" t="s">
        <v>1344</v>
      </c>
      <c r="H75" s="227" t="s">
        <v>731</v>
      </c>
      <c r="I75" s="227" t="s">
        <v>338</v>
      </c>
      <c r="J75" s="227"/>
      <c r="K75" s="227" t="s">
        <v>338</v>
      </c>
      <c r="L75" s="227"/>
      <c r="M75" s="227" t="s">
        <v>504</v>
      </c>
      <c r="N75" s="227" t="s">
        <v>505</v>
      </c>
      <c r="O75" s="227" t="s">
        <v>1356</v>
      </c>
    </row>
    <row r="76" spans="1:15">
      <c r="A76" s="227" t="s">
        <v>1448</v>
      </c>
      <c r="B76" s="227" t="s">
        <v>1449</v>
      </c>
      <c r="C76" s="227" t="s">
        <v>497</v>
      </c>
      <c r="D76" s="227" t="s">
        <v>1450</v>
      </c>
      <c r="E76" s="227" t="s">
        <v>493</v>
      </c>
      <c r="F76" s="227" t="str">
        <f>INDEX('Owner Mapped P&amp;L'!$F:$F,MATCH('Headcount &amp; Compensation'!$A76,'Owner Mapped P&amp;L'!$A:$A,0))</f>
        <v>Indirect Labor</v>
      </c>
      <c r="G76" s="227" t="s">
        <v>1344</v>
      </c>
      <c r="H76" s="227" t="s">
        <v>731</v>
      </c>
      <c r="I76" s="227" t="s">
        <v>1371</v>
      </c>
      <c r="J76" s="228">
        <v>1950</v>
      </c>
      <c r="K76" s="227" t="s">
        <v>595</v>
      </c>
      <c r="L76" s="228">
        <v>23400</v>
      </c>
      <c r="M76" s="227" t="s">
        <v>504</v>
      </c>
      <c r="N76" s="227" t="s">
        <v>504</v>
      </c>
      <c r="O76" s="227" t="s">
        <v>338</v>
      </c>
    </row>
    <row r="77" spans="1:15">
      <c r="A77" s="227" t="s">
        <v>624</v>
      </c>
      <c r="B77" s="227" t="s">
        <v>1398</v>
      </c>
      <c r="C77" s="227" t="s">
        <v>497</v>
      </c>
      <c r="D77" s="227" t="s">
        <v>1349</v>
      </c>
      <c r="E77" s="227" t="s">
        <v>490</v>
      </c>
      <c r="F77" s="227" t="str">
        <f>INDEX('Owner Mapped P&amp;L'!$F:$F,MATCH('Headcount &amp; Compensation'!$A77,'Owner Mapped P&amp;L'!$A:$A,0))</f>
        <v>Bookkeeper Wages</v>
      </c>
      <c r="G77" s="227" t="s">
        <v>1344</v>
      </c>
      <c r="H77" s="227" t="s">
        <v>731</v>
      </c>
      <c r="I77" s="227" t="s">
        <v>550</v>
      </c>
      <c r="J77" s="228">
        <v>950</v>
      </c>
      <c r="K77" s="227" t="s">
        <v>595</v>
      </c>
      <c r="L77" s="228">
        <v>11400</v>
      </c>
      <c r="M77" s="227" t="s">
        <v>504</v>
      </c>
      <c r="N77" s="227" t="s">
        <v>504</v>
      </c>
      <c r="O77" s="227" t="s">
        <v>338</v>
      </c>
    </row>
    <row r="78" spans="1:15">
      <c r="A78" s="227" t="s">
        <v>1389</v>
      </c>
      <c r="B78" s="227" t="s">
        <v>1390</v>
      </c>
      <c r="C78" s="227" t="s">
        <v>497</v>
      </c>
      <c r="D78" s="227" t="s">
        <v>1349</v>
      </c>
      <c r="E78" s="227" t="s">
        <v>490</v>
      </c>
      <c r="F78" s="227" t="str">
        <f>INDEX('Owner Mapped P&amp;L'!$F:$F,MATCH('Headcount &amp; Compensation'!$A78,'Owner Mapped P&amp;L'!$A:$A,0))</f>
        <v>Bookkeeper Wages</v>
      </c>
      <c r="G78" s="227" t="s">
        <v>1344</v>
      </c>
      <c r="H78" s="227" t="s">
        <v>731</v>
      </c>
      <c r="I78" s="227" t="s">
        <v>522</v>
      </c>
      <c r="J78" s="228">
        <v>950</v>
      </c>
      <c r="K78" s="227" t="s">
        <v>595</v>
      </c>
      <c r="L78" s="228">
        <v>11400</v>
      </c>
      <c r="M78" s="227" t="s">
        <v>504</v>
      </c>
      <c r="N78" s="227" t="s">
        <v>504</v>
      </c>
      <c r="O78" s="227" t="s">
        <v>338</v>
      </c>
    </row>
    <row r="79" spans="1:15">
      <c r="A79" s="227" t="s">
        <v>565</v>
      </c>
      <c r="B79" s="227" t="s">
        <v>1427</v>
      </c>
      <c r="C79" s="227" t="s">
        <v>497</v>
      </c>
      <c r="D79" s="227" t="s">
        <v>1410</v>
      </c>
      <c r="E79" s="227" t="s">
        <v>490</v>
      </c>
      <c r="F79" s="227" t="str">
        <f>INDEX('Owner Mapped P&amp;L'!$F:$F,MATCH('Headcount &amp; Compensation'!$A79,'Owner Mapped P&amp;L'!$A:$A,0))</f>
        <v>Bookkeeper Wages</v>
      </c>
      <c r="G79" s="227" t="s">
        <v>1344</v>
      </c>
      <c r="H79" s="227" t="s">
        <v>731</v>
      </c>
      <c r="I79" s="227" t="s">
        <v>546</v>
      </c>
      <c r="J79" s="228">
        <v>1100</v>
      </c>
      <c r="K79" s="227" t="s">
        <v>595</v>
      </c>
      <c r="L79" s="228">
        <v>13200</v>
      </c>
      <c r="M79" s="227" t="s">
        <v>504</v>
      </c>
      <c r="N79" s="227" t="s">
        <v>504</v>
      </c>
      <c r="O79" s="227" t="s">
        <v>1428</v>
      </c>
    </row>
    <row r="80" spans="1:15">
      <c r="A80" s="227" t="s">
        <v>576</v>
      </c>
      <c r="B80" s="227" t="s">
        <v>1382</v>
      </c>
      <c r="C80" s="227" t="s">
        <v>497</v>
      </c>
      <c r="D80" s="227" t="s">
        <v>1349</v>
      </c>
      <c r="E80" s="227" t="s">
        <v>490</v>
      </c>
      <c r="F80" s="227" t="str">
        <f>INDEX('Owner Mapped P&amp;L'!$F:$F,MATCH('Headcount &amp; Compensation'!$A80,'Owner Mapped P&amp;L'!$A:$A,0))</f>
        <v>Bookkeeper Wages</v>
      </c>
      <c r="G80" s="227" t="s">
        <v>1344</v>
      </c>
      <c r="H80" s="227" t="s">
        <v>731</v>
      </c>
      <c r="I80" s="227" t="s">
        <v>550</v>
      </c>
      <c r="J80" s="228">
        <v>950</v>
      </c>
      <c r="K80" s="227" t="s">
        <v>595</v>
      </c>
      <c r="L80" s="228">
        <v>11400</v>
      </c>
      <c r="M80" s="227" t="s">
        <v>504</v>
      </c>
      <c r="N80" s="227" t="s">
        <v>504</v>
      </c>
      <c r="O80" s="227" t="s">
        <v>338</v>
      </c>
    </row>
    <row r="81" spans="1:15">
      <c r="A81" s="227" t="s">
        <v>556</v>
      </c>
      <c r="B81" s="227" t="s">
        <v>1421</v>
      </c>
      <c r="C81" s="227" t="s">
        <v>497</v>
      </c>
      <c r="D81" s="227" t="s">
        <v>1349</v>
      </c>
      <c r="E81" s="227" t="s">
        <v>490</v>
      </c>
      <c r="F81" s="227" t="str">
        <f>INDEX('Owner Mapped P&amp;L'!$F:$F,MATCH('Headcount &amp; Compensation'!$A81,'Owner Mapped P&amp;L'!$A:$A,0))</f>
        <v>Bookkeeper Wages</v>
      </c>
      <c r="G81" s="227" t="s">
        <v>1344</v>
      </c>
      <c r="H81" s="227" t="s">
        <v>731</v>
      </c>
      <c r="I81" s="227" t="s">
        <v>557</v>
      </c>
      <c r="J81" s="228">
        <v>950</v>
      </c>
      <c r="K81" s="227" t="s">
        <v>595</v>
      </c>
      <c r="L81" s="228">
        <v>11400</v>
      </c>
      <c r="M81" s="227" t="s">
        <v>504</v>
      </c>
      <c r="N81" s="227" t="s">
        <v>504</v>
      </c>
      <c r="O81" s="227" t="s">
        <v>338</v>
      </c>
    </row>
    <row r="82" spans="1:15">
      <c r="A82" s="227" t="s">
        <v>1429</v>
      </c>
      <c r="B82" s="227" t="s">
        <v>1427</v>
      </c>
      <c r="C82" s="227" t="s">
        <v>497</v>
      </c>
      <c r="D82" s="227" t="s">
        <v>1430</v>
      </c>
      <c r="E82" s="227" t="s">
        <v>1513</v>
      </c>
      <c r="F82" s="227" t="str">
        <f>INDEX('Owner Mapped P&amp;L'!$F:$F,MATCH('Headcount &amp; Compensation'!$A82,'Owner Mapped P&amp;L'!$A:$A,0))</f>
        <v>Onboarding Team Wages</v>
      </c>
      <c r="G82" s="227" t="s">
        <v>1344</v>
      </c>
      <c r="H82" s="227" t="s">
        <v>731</v>
      </c>
      <c r="I82" s="227" t="s">
        <v>1367</v>
      </c>
      <c r="J82" s="228">
        <v>925</v>
      </c>
      <c r="K82" s="227" t="s">
        <v>595</v>
      </c>
      <c r="L82" s="228">
        <v>11100</v>
      </c>
      <c r="M82" s="227" t="s">
        <v>504</v>
      </c>
      <c r="N82" s="227" t="s">
        <v>504</v>
      </c>
      <c r="O82" s="227" t="s">
        <v>338</v>
      </c>
    </row>
    <row r="83" spans="1:15">
      <c r="A83" s="227" t="s">
        <v>877</v>
      </c>
      <c r="B83" s="227" t="s">
        <v>1482</v>
      </c>
      <c r="C83" s="227" t="s">
        <v>497</v>
      </c>
      <c r="D83" s="227" t="s">
        <v>1480</v>
      </c>
      <c r="E83" s="227" t="s">
        <v>491</v>
      </c>
      <c r="F83" s="227" t="str">
        <f>INDEX('Owner Mapped P&amp;L'!$F:$F,MATCH('Headcount &amp; Compensation'!$A83,'Owner Mapped P&amp;L'!$A:$A,0))</f>
        <v>Sr. Client Lead Wages</v>
      </c>
      <c r="G83" s="227" t="s">
        <v>1344</v>
      </c>
      <c r="H83" s="227" t="s">
        <v>731</v>
      </c>
      <c r="I83" s="227" t="s">
        <v>510</v>
      </c>
      <c r="J83" s="228">
        <v>2300</v>
      </c>
      <c r="K83" s="227" t="s">
        <v>595</v>
      </c>
      <c r="L83" s="228">
        <v>27600</v>
      </c>
      <c r="M83" s="227" t="s">
        <v>504</v>
      </c>
      <c r="N83" s="227" t="s">
        <v>504</v>
      </c>
      <c r="O83" s="227" t="s">
        <v>338</v>
      </c>
    </row>
    <row r="84" spans="1:15">
      <c r="A84" s="227" t="s">
        <v>581</v>
      </c>
      <c r="B84" s="227" t="s">
        <v>1495</v>
      </c>
      <c r="C84" s="227" t="s">
        <v>497</v>
      </c>
      <c r="D84" s="227" t="s">
        <v>491</v>
      </c>
      <c r="E84" s="227" t="s">
        <v>491</v>
      </c>
      <c r="F84" s="227" t="str">
        <f>INDEX('Owner Mapped P&amp;L'!$F:$F,MATCH('Headcount &amp; Compensation'!$A84,'Owner Mapped P&amp;L'!$A:$A,0))</f>
        <v>Client Lead Wages</v>
      </c>
      <c r="G84" s="227" t="s">
        <v>1344</v>
      </c>
      <c r="H84" s="227" t="s">
        <v>731</v>
      </c>
      <c r="I84" s="227" t="s">
        <v>510</v>
      </c>
      <c r="J84" s="228">
        <v>1925</v>
      </c>
      <c r="K84" s="227" t="s">
        <v>595</v>
      </c>
      <c r="L84" s="228">
        <v>23100</v>
      </c>
      <c r="M84" s="227" t="s">
        <v>504</v>
      </c>
      <c r="N84" s="227" t="s">
        <v>504</v>
      </c>
      <c r="O84" s="227" t="s">
        <v>338</v>
      </c>
    </row>
    <row r="85" spans="1:15">
      <c r="A85" s="227" t="s">
        <v>1388</v>
      </c>
      <c r="B85" s="227" t="s">
        <v>1424</v>
      </c>
      <c r="C85" s="227" t="s">
        <v>497</v>
      </c>
      <c r="D85" s="227" t="s">
        <v>1349</v>
      </c>
      <c r="E85" s="227" t="s">
        <v>490</v>
      </c>
      <c r="F85" s="227" t="str">
        <f>INDEX('Owner Mapped P&amp;L'!$F:$F,MATCH('Headcount &amp; Compensation'!$A85,'Owner Mapped P&amp;L'!$A:$A,0))</f>
        <v>Bookkeeper Wages</v>
      </c>
      <c r="G85" s="227" t="s">
        <v>1344</v>
      </c>
      <c r="H85" s="227" t="s">
        <v>731</v>
      </c>
      <c r="I85" s="227" t="s">
        <v>1425</v>
      </c>
      <c r="J85" s="228">
        <v>950</v>
      </c>
      <c r="K85" s="227" t="s">
        <v>595</v>
      </c>
      <c r="L85" s="228">
        <v>11400</v>
      </c>
      <c r="M85" s="227" t="s">
        <v>504</v>
      </c>
      <c r="N85" s="227" t="s">
        <v>504</v>
      </c>
      <c r="O85" s="227" t="s">
        <v>338</v>
      </c>
    </row>
    <row r="86" spans="1:15">
      <c r="A86" s="227" t="s">
        <v>1362</v>
      </c>
      <c r="B86" s="227" t="s">
        <v>1363</v>
      </c>
      <c r="C86" s="227" t="s">
        <v>497</v>
      </c>
      <c r="D86" s="227" t="s">
        <v>1364</v>
      </c>
      <c r="E86" s="227" t="s">
        <v>1364</v>
      </c>
      <c r="F86" s="227" t="str">
        <f>INDEX('Owner Mapped P&amp;L'!$F:$F,MATCH('Headcount &amp; Compensation'!$A86,'Owner Mapped P&amp;L'!$A:$A,0))</f>
        <v>Indirect Labor</v>
      </c>
      <c r="G86" s="227" t="s">
        <v>1365</v>
      </c>
      <c r="H86" s="227" t="s">
        <v>1366</v>
      </c>
      <c r="I86" s="227" t="s">
        <v>1367</v>
      </c>
      <c r="J86" s="228">
        <v>110000</v>
      </c>
      <c r="K86" s="227" t="s">
        <v>1368</v>
      </c>
      <c r="L86" s="228">
        <v>110000</v>
      </c>
      <c r="M86" s="227" t="s">
        <v>504</v>
      </c>
      <c r="N86" s="227" t="s">
        <v>504</v>
      </c>
      <c r="O86" s="227" t="s">
        <v>338</v>
      </c>
    </row>
    <row r="87" spans="1:15">
      <c r="A87" s="227" t="s">
        <v>1380</v>
      </c>
      <c r="B87" s="227" t="s">
        <v>1378</v>
      </c>
      <c r="C87" s="227" t="s">
        <v>497</v>
      </c>
      <c r="D87" s="227" t="s">
        <v>1349</v>
      </c>
      <c r="E87" s="227" t="s">
        <v>490</v>
      </c>
      <c r="F87" s="227" t="str">
        <f>INDEX('Owner Mapped P&amp;L'!$F:$F,MATCH('Headcount &amp; Compensation'!$A87,'Owner Mapped P&amp;L'!$A:$A,0))</f>
        <v>Bookkeeper Wages</v>
      </c>
      <c r="G87" s="227" t="s">
        <v>1344</v>
      </c>
      <c r="H87" s="227" t="s">
        <v>731</v>
      </c>
      <c r="I87" s="227" t="s">
        <v>1381</v>
      </c>
      <c r="J87" s="228">
        <v>950</v>
      </c>
      <c r="K87" s="227" t="s">
        <v>595</v>
      </c>
      <c r="L87" s="228">
        <v>11400</v>
      </c>
      <c r="M87" s="227" t="s">
        <v>504</v>
      </c>
      <c r="N87" s="227" t="s">
        <v>504</v>
      </c>
      <c r="O87" s="227" t="s">
        <v>338</v>
      </c>
    </row>
    <row r="88" spans="1:15">
      <c r="A88" s="227" t="s">
        <v>1468</v>
      </c>
      <c r="B88" s="227" t="s">
        <v>1469</v>
      </c>
      <c r="C88" s="227" t="s">
        <v>497</v>
      </c>
      <c r="D88" s="227" t="s">
        <v>1349</v>
      </c>
      <c r="E88" s="227" t="s">
        <v>490</v>
      </c>
      <c r="F88" s="227" t="str">
        <f>INDEX('Owner Mapped P&amp;L'!$F:$F,MATCH('Headcount &amp; Compensation'!$A88,'Owner Mapped P&amp;L'!$A:$A,0))</f>
        <v>Bookkeeper Wages</v>
      </c>
      <c r="G88" s="227" t="s">
        <v>1344</v>
      </c>
      <c r="H88" s="227" t="s">
        <v>731</v>
      </c>
      <c r="I88" s="227" t="s">
        <v>1425</v>
      </c>
      <c r="J88" s="228">
        <v>1000</v>
      </c>
      <c r="K88" s="227" t="s">
        <v>595</v>
      </c>
      <c r="L88" s="228">
        <v>12000</v>
      </c>
      <c r="M88" s="227" t="s">
        <v>504</v>
      </c>
      <c r="N88" s="227" t="s">
        <v>504</v>
      </c>
      <c r="O88" s="227" t="s">
        <v>338</v>
      </c>
    </row>
    <row r="89" spans="1:15">
      <c r="A89" s="227" t="s">
        <v>523</v>
      </c>
      <c r="B89" s="227" t="s">
        <v>1415</v>
      </c>
      <c r="C89" s="227" t="s">
        <v>497</v>
      </c>
      <c r="D89" s="227" t="s">
        <v>1370</v>
      </c>
      <c r="E89" s="227" t="s">
        <v>493</v>
      </c>
      <c r="F89" s="227" t="str">
        <f>INDEX('Owner Mapped P&amp;L'!$F:$F,MATCH('Headcount &amp; Compensation'!$A89,'Owner Mapped P&amp;L'!$A:$A,0))</f>
        <v>Indirect Labor</v>
      </c>
      <c r="G89" s="227" t="s">
        <v>1344</v>
      </c>
      <c r="H89" s="227" t="s">
        <v>731</v>
      </c>
      <c r="I89" s="227" t="s">
        <v>1371</v>
      </c>
      <c r="J89" s="228">
        <v>850</v>
      </c>
      <c r="K89" s="227" t="s">
        <v>595</v>
      </c>
      <c r="L89" s="228">
        <v>10200</v>
      </c>
      <c r="M89" s="227" t="s">
        <v>504</v>
      </c>
      <c r="N89" s="227" t="s">
        <v>504</v>
      </c>
      <c r="O89" s="227" t="s">
        <v>338</v>
      </c>
    </row>
    <row r="90" spans="1:15">
      <c r="A90" s="227" t="s">
        <v>1475</v>
      </c>
      <c r="B90" s="227" t="s">
        <v>1476</v>
      </c>
      <c r="C90" s="227" t="s">
        <v>497</v>
      </c>
      <c r="D90" s="227" t="s">
        <v>1410</v>
      </c>
      <c r="E90" s="227" t="s">
        <v>490</v>
      </c>
      <c r="F90" s="227" t="str">
        <f>INDEX('Owner Mapped P&amp;L'!$F:$F,MATCH('Headcount &amp; Compensation'!$A90,'Owner Mapped P&amp;L'!$A:$A,0))</f>
        <v>Bookkeeper Wages</v>
      </c>
      <c r="G90" s="227" t="s">
        <v>1344</v>
      </c>
      <c r="H90" s="227" t="s">
        <v>731</v>
      </c>
      <c r="I90" s="227" t="s">
        <v>536</v>
      </c>
      <c r="J90" s="228">
        <v>1100</v>
      </c>
      <c r="K90" s="227" t="s">
        <v>595</v>
      </c>
      <c r="L90" s="228">
        <v>13200</v>
      </c>
      <c r="M90" s="227" t="s">
        <v>504</v>
      </c>
      <c r="N90" s="227" t="s">
        <v>504</v>
      </c>
      <c r="O90" s="227" t="s">
        <v>338</v>
      </c>
    </row>
    <row r="92" spans="1:15">
      <c r="L92" s="215"/>
    </row>
    <row r="93" spans="1:15">
      <c r="L93" s="219"/>
    </row>
    <row r="98" spans="1:15">
      <c r="A98" s="227" t="s">
        <v>1453</v>
      </c>
      <c r="B98" s="227" t="s">
        <v>1454</v>
      </c>
      <c r="C98" s="276" t="s">
        <v>1583</v>
      </c>
      <c r="D98" s="227" t="s">
        <v>1455</v>
      </c>
      <c r="E98" s="227"/>
      <c r="F98" s="279" t="s">
        <v>1572</v>
      </c>
      <c r="G98" s="227" t="s">
        <v>1344</v>
      </c>
      <c r="H98" s="227" t="s">
        <v>731</v>
      </c>
      <c r="I98" s="227" t="s">
        <v>1456</v>
      </c>
      <c r="J98" s="228">
        <v>950</v>
      </c>
      <c r="K98" s="227" t="s">
        <v>595</v>
      </c>
      <c r="L98" s="228">
        <v>11400</v>
      </c>
      <c r="M98" s="227" t="s">
        <v>505</v>
      </c>
      <c r="N98" s="227" t="s">
        <v>504</v>
      </c>
      <c r="O98" s="227" t="s">
        <v>1457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6" t="s">
        <v>1331</v>
      </c>
      <c r="B1" s="286" t="s">
        <v>1604</v>
      </c>
      <c r="C1" s="286" t="s">
        <v>1332</v>
      </c>
      <c r="D1" s="286" t="s">
        <v>1605</v>
      </c>
      <c r="E1" s="286" t="s">
        <v>1606</v>
      </c>
      <c r="F1" s="286" t="s">
        <v>1607</v>
      </c>
      <c r="G1" s="286" t="s">
        <v>1509</v>
      </c>
      <c r="H1" s="286" t="s">
        <v>1518</v>
      </c>
      <c r="I1" s="286" t="s">
        <v>1608</v>
      </c>
      <c r="J1" s="286" t="s">
        <v>1336</v>
      </c>
      <c r="K1" s="286" t="s">
        <v>1337</v>
      </c>
      <c r="L1" s="286" t="s">
        <v>1338</v>
      </c>
      <c r="M1" s="286" t="s">
        <v>1609</v>
      </c>
      <c r="N1" s="286" t="s">
        <v>1185</v>
      </c>
      <c r="O1" s="286" t="s">
        <v>1843</v>
      </c>
      <c r="P1" s="286" t="s">
        <v>1610</v>
      </c>
      <c r="Q1" s="286" t="s">
        <v>1245</v>
      </c>
      <c r="R1" s="286" t="s">
        <v>1611</v>
      </c>
      <c r="S1" s="286" t="s">
        <v>1334</v>
      </c>
      <c r="T1" s="286" t="s">
        <v>1612</v>
      </c>
    </row>
    <row r="2" spans="1:20">
      <c r="A2" s="145" t="s">
        <v>638</v>
      </c>
      <c r="B2" s="145" t="s">
        <v>1294</v>
      </c>
      <c r="C2" s="145" t="s">
        <v>1634</v>
      </c>
      <c r="D2" s="145" t="s">
        <v>1363</v>
      </c>
      <c r="E2" s="145">
        <v>1337</v>
      </c>
      <c r="F2" s="145" t="s">
        <v>1364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1635</v>
      </c>
      <c r="J2" s="215">
        <v>88000</v>
      </c>
      <c r="K2" s="145" t="s">
        <v>1368</v>
      </c>
      <c r="L2" s="215">
        <v>88000</v>
      </c>
      <c r="M2" s="145" t="s">
        <v>1636</v>
      </c>
      <c r="N2" s="145" t="s">
        <v>1621</v>
      </c>
      <c r="O2" s="145" t="str">
        <f>IF(N2="Resignation (Voluntary)","Resignation","Termination")</f>
        <v>Resignation</v>
      </c>
      <c r="P2" s="145" t="s">
        <v>1637</v>
      </c>
      <c r="Q2" s="145" t="s">
        <v>1623</v>
      </c>
      <c r="R2" s="145" t="s">
        <v>1632</v>
      </c>
      <c r="S2" s="145" t="s">
        <v>1365</v>
      </c>
      <c r="T2" s="145" t="s">
        <v>1638</v>
      </c>
    </row>
    <row r="3" spans="1:20">
      <c r="A3" s="145" t="s">
        <v>1639</v>
      </c>
      <c r="B3" s="145" t="s">
        <v>1294</v>
      </c>
      <c r="C3" s="145" t="s">
        <v>1492</v>
      </c>
      <c r="D3" s="145" t="s">
        <v>1363</v>
      </c>
      <c r="E3" s="145">
        <v>1074</v>
      </c>
      <c r="F3" s="145" t="s">
        <v>1349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1616</v>
      </c>
      <c r="J3" s="215">
        <v>1200</v>
      </c>
      <c r="K3" s="145" t="s">
        <v>595</v>
      </c>
      <c r="L3" s="215">
        <v>14400</v>
      </c>
      <c r="M3" s="145" t="s">
        <v>1640</v>
      </c>
      <c r="N3" s="145" t="s">
        <v>1621</v>
      </c>
      <c r="O3" s="145" t="str">
        <f t="shared" ref="O3:O52" si="0">IF(N3="Resignation (Voluntary)","Resignation","Termination")</f>
        <v>Resignation</v>
      </c>
      <c r="P3" s="145" t="s">
        <v>1637</v>
      </c>
      <c r="Q3" s="145" t="s">
        <v>1623</v>
      </c>
      <c r="R3" s="145" t="s">
        <v>1632</v>
      </c>
      <c r="S3" s="145" t="s">
        <v>1344</v>
      </c>
      <c r="T3" s="145" t="s">
        <v>1641</v>
      </c>
    </row>
    <row r="4" spans="1:20">
      <c r="A4" s="145" t="s">
        <v>1642</v>
      </c>
      <c r="B4" s="145" t="s">
        <v>1294</v>
      </c>
      <c r="C4" s="145" t="s">
        <v>1492</v>
      </c>
      <c r="D4" s="145" t="s">
        <v>1363</v>
      </c>
      <c r="E4" s="145">
        <v>1074</v>
      </c>
      <c r="F4" s="145" t="s">
        <v>1410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1616</v>
      </c>
      <c r="J4" s="215">
        <v>1100</v>
      </c>
      <c r="K4" s="145" t="s">
        <v>595</v>
      </c>
      <c r="L4" s="215">
        <v>13200</v>
      </c>
      <c r="M4" s="145" t="s">
        <v>1640</v>
      </c>
      <c r="N4" s="145" t="s">
        <v>1621</v>
      </c>
      <c r="O4" s="145" t="str">
        <f t="shared" si="0"/>
        <v>Resignation</v>
      </c>
      <c r="P4" s="145" t="s">
        <v>1637</v>
      </c>
      <c r="Q4" s="145" t="s">
        <v>1623</v>
      </c>
      <c r="R4" s="145" t="s">
        <v>1632</v>
      </c>
      <c r="S4" s="145" t="s">
        <v>1344</v>
      </c>
      <c r="T4" s="145" t="s">
        <v>1641</v>
      </c>
    </row>
    <row r="5" spans="1:20">
      <c r="A5" s="145" t="s">
        <v>1740</v>
      </c>
      <c r="B5" s="145" t="s">
        <v>1614</v>
      </c>
      <c r="C5" s="145" t="s">
        <v>1741</v>
      </c>
      <c r="D5" s="145" t="s">
        <v>1742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1616</v>
      </c>
      <c r="J5" s="215">
        <v>1300</v>
      </c>
      <c r="K5" s="145" t="s">
        <v>595</v>
      </c>
      <c r="L5" s="215">
        <v>15600</v>
      </c>
      <c r="M5" s="145" t="s">
        <v>1621</v>
      </c>
      <c r="N5" s="145" t="s">
        <v>1621</v>
      </c>
      <c r="O5" s="145" t="str">
        <f t="shared" si="0"/>
        <v>Resignation</v>
      </c>
      <c r="P5" s="145" t="s">
        <v>1622</v>
      </c>
      <c r="Q5" s="145" t="s">
        <v>1623</v>
      </c>
      <c r="R5" s="145" t="s">
        <v>1632</v>
      </c>
      <c r="S5" s="145" t="s">
        <v>1344</v>
      </c>
      <c r="T5" s="145" t="s">
        <v>1731</v>
      </c>
    </row>
    <row r="6" spans="1:20">
      <c r="A6" s="145" t="s">
        <v>1728</v>
      </c>
      <c r="B6" s="145" t="s">
        <v>1614</v>
      </c>
      <c r="C6" s="145" t="s">
        <v>1729</v>
      </c>
      <c r="D6" s="145" t="s">
        <v>1730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1616</v>
      </c>
      <c r="J6" s="215">
        <v>900</v>
      </c>
      <c r="K6" s="145" t="s">
        <v>595</v>
      </c>
      <c r="L6" s="215">
        <v>10800</v>
      </c>
      <c r="M6" s="145" t="s">
        <v>1617</v>
      </c>
      <c r="N6" s="145" t="s">
        <v>1617</v>
      </c>
      <c r="O6" s="145" t="str">
        <f t="shared" si="0"/>
        <v>Termination</v>
      </c>
      <c r="P6" s="145" t="s">
        <v>1627</v>
      </c>
      <c r="Q6" s="145" t="s">
        <v>338</v>
      </c>
      <c r="R6" s="145" t="s">
        <v>1632</v>
      </c>
      <c r="S6" s="145" t="s">
        <v>1344</v>
      </c>
      <c r="T6" s="145" t="s">
        <v>1731</v>
      </c>
    </row>
    <row r="7" spans="1:20">
      <c r="A7" s="145" t="s">
        <v>1719</v>
      </c>
      <c r="B7" s="145" t="s">
        <v>1614</v>
      </c>
      <c r="C7" s="145" t="s">
        <v>1720</v>
      </c>
      <c r="D7" s="145" t="s">
        <v>1721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1616</v>
      </c>
      <c r="J7" s="215">
        <v>1000</v>
      </c>
      <c r="K7" s="145" t="s">
        <v>595</v>
      </c>
      <c r="L7" s="215">
        <v>12000</v>
      </c>
      <c r="M7" s="145" t="s">
        <v>1617</v>
      </c>
      <c r="N7" s="145" t="s">
        <v>1617</v>
      </c>
      <c r="O7" s="145" t="str">
        <f t="shared" si="0"/>
        <v>Termination</v>
      </c>
      <c r="P7" s="145" t="s">
        <v>1627</v>
      </c>
      <c r="Q7" s="145" t="s">
        <v>338</v>
      </c>
      <c r="R7" s="145" t="s">
        <v>1632</v>
      </c>
      <c r="S7" s="145" t="s">
        <v>1344</v>
      </c>
      <c r="T7" s="145" t="s">
        <v>1722</v>
      </c>
    </row>
    <row r="8" spans="1:20">
      <c r="A8" s="145" t="s">
        <v>1753</v>
      </c>
      <c r="B8" s="145" t="s">
        <v>1614</v>
      </c>
      <c r="C8" s="145" t="s">
        <v>1754</v>
      </c>
      <c r="D8" s="145" t="s">
        <v>1750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1616</v>
      </c>
      <c r="J8" s="215">
        <v>1750</v>
      </c>
      <c r="K8" s="145" t="s">
        <v>595</v>
      </c>
      <c r="L8" s="215">
        <v>21000</v>
      </c>
      <c r="M8" s="145" t="s">
        <v>1621</v>
      </c>
      <c r="N8" s="145" t="s">
        <v>1621</v>
      </c>
      <c r="O8" s="145" t="str">
        <f t="shared" si="0"/>
        <v>Resignation</v>
      </c>
      <c r="P8" s="145" t="s">
        <v>1622</v>
      </c>
      <c r="Q8" s="145" t="s">
        <v>1245</v>
      </c>
      <c r="R8" s="145" t="s">
        <v>1632</v>
      </c>
      <c r="S8" s="145" t="s">
        <v>1344</v>
      </c>
      <c r="T8" s="145" t="s">
        <v>1722</v>
      </c>
    </row>
    <row r="9" spans="1:20">
      <c r="A9" s="145" t="s">
        <v>1765</v>
      </c>
      <c r="B9" s="145" t="s">
        <v>19</v>
      </c>
      <c r="C9" s="145" t="s">
        <v>1766</v>
      </c>
      <c r="D9" s="145" t="s">
        <v>1767</v>
      </c>
      <c r="E9" s="145">
        <v>417</v>
      </c>
      <c r="F9" s="145" t="s">
        <v>1768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1616</v>
      </c>
      <c r="J9" s="215">
        <v>950</v>
      </c>
      <c r="K9" s="145" t="s">
        <v>595</v>
      </c>
      <c r="L9" s="215">
        <v>11400</v>
      </c>
      <c r="M9" s="145" t="s">
        <v>1617</v>
      </c>
      <c r="N9" s="145" t="s">
        <v>1617</v>
      </c>
      <c r="O9" s="145" t="str">
        <f t="shared" si="0"/>
        <v>Termination</v>
      </c>
      <c r="P9" s="145" t="s">
        <v>1627</v>
      </c>
      <c r="Q9" s="145" t="s">
        <v>338</v>
      </c>
      <c r="R9" s="145" t="s">
        <v>1632</v>
      </c>
      <c r="S9" s="145" t="s">
        <v>1344</v>
      </c>
      <c r="T9" s="145" t="s">
        <v>1722</v>
      </c>
    </row>
    <row r="10" spans="1:20">
      <c r="A10" s="145" t="s">
        <v>1698</v>
      </c>
      <c r="B10" s="145" t="s">
        <v>483</v>
      </c>
      <c r="C10" s="145" t="s">
        <v>1699</v>
      </c>
      <c r="D10" s="145" t="s">
        <v>1700</v>
      </c>
      <c r="E10" s="145">
        <v>399</v>
      </c>
      <c r="F10" s="145" t="s">
        <v>1701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1616</v>
      </c>
      <c r="J10" s="215">
        <v>1800</v>
      </c>
      <c r="K10" s="145" t="s">
        <v>595</v>
      </c>
      <c r="L10" s="215">
        <v>21600</v>
      </c>
      <c r="M10" s="145" t="s">
        <v>1621</v>
      </c>
      <c r="N10" s="145" t="s">
        <v>1621</v>
      </c>
      <c r="O10" s="145" t="str">
        <f t="shared" si="0"/>
        <v>Resignation</v>
      </c>
      <c r="P10" s="145" t="s">
        <v>1618</v>
      </c>
      <c r="Q10" s="145" t="s">
        <v>1245</v>
      </c>
      <c r="R10" s="145" t="s">
        <v>1632</v>
      </c>
      <c r="S10" s="145" t="s">
        <v>1344</v>
      </c>
      <c r="T10" s="145" t="s">
        <v>1702</v>
      </c>
    </row>
    <row r="11" spans="1:20">
      <c r="A11" s="145" t="s">
        <v>1630</v>
      </c>
      <c r="B11" s="145" t="s">
        <v>1614</v>
      </c>
      <c r="C11" s="145" t="s">
        <v>1434</v>
      </c>
      <c r="D11" s="145" t="s">
        <v>1361</v>
      </c>
      <c r="E11" s="145">
        <v>380</v>
      </c>
      <c r="F11" s="145" t="s">
        <v>1631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1616</v>
      </c>
      <c r="J11" s="215">
        <v>1400</v>
      </c>
      <c r="K11" s="145" t="s">
        <v>595</v>
      </c>
      <c r="L11" s="215">
        <v>16800</v>
      </c>
      <c r="M11" s="145" t="s">
        <v>1621</v>
      </c>
      <c r="N11" s="145" t="s">
        <v>1621</v>
      </c>
      <c r="O11" s="145" t="str">
        <f t="shared" si="0"/>
        <v>Resignation</v>
      </c>
      <c r="P11" s="145" t="s">
        <v>1622</v>
      </c>
      <c r="Q11" s="145" t="s">
        <v>1623</v>
      </c>
      <c r="R11" s="145" t="s">
        <v>1632</v>
      </c>
      <c r="S11" s="145" t="s">
        <v>1344</v>
      </c>
      <c r="T11" s="145" t="s">
        <v>1633</v>
      </c>
    </row>
    <row r="12" spans="1:20">
      <c r="A12" s="145" t="s">
        <v>1685</v>
      </c>
      <c r="B12" s="145" t="s">
        <v>1614</v>
      </c>
      <c r="C12" s="145" t="s">
        <v>1686</v>
      </c>
      <c r="D12" s="145" t="s">
        <v>1660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1616</v>
      </c>
      <c r="J12" s="215">
        <v>900</v>
      </c>
      <c r="K12" s="145" t="s">
        <v>595</v>
      </c>
      <c r="L12" s="215">
        <v>10800</v>
      </c>
      <c r="M12" s="145" t="s">
        <v>1621</v>
      </c>
      <c r="N12" s="145" t="s">
        <v>1621</v>
      </c>
      <c r="O12" s="145" t="str">
        <f t="shared" si="0"/>
        <v>Resignation</v>
      </c>
      <c r="P12" s="145" t="s">
        <v>1622</v>
      </c>
      <c r="Q12" s="145" t="s">
        <v>1623</v>
      </c>
      <c r="R12" s="145" t="s">
        <v>1624</v>
      </c>
      <c r="S12" s="145" t="s">
        <v>1344</v>
      </c>
      <c r="T12" s="145" t="s">
        <v>1669</v>
      </c>
    </row>
    <row r="13" spans="1:20">
      <c r="A13" s="145" t="s">
        <v>876</v>
      </c>
      <c r="B13" s="145" t="s">
        <v>1614</v>
      </c>
      <c r="C13" s="145" t="s">
        <v>1440</v>
      </c>
      <c r="D13" s="145" t="s">
        <v>1386</v>
      </c>
      <c r="E13" s="145">
        <v>353</v>
      </c>
      <c r="F13" s="145" t="s">
        <v>1349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1616</v>
      </c>
      <c r="J13" s="215">
        <v>950</v>
      </c>
      <c r="K13" s="145" t="s">
        <v>595</v>
      </c>
      <c r="L13" s="215">
        <v>11400</v>
      </c>
      <c r="M13" s="145" t="s">
        <v>1621</v>
      </c>
      <c r="N13" s="145" t="s">
        <v>1621</v>
      </c>
      <c r="O13" s="145" t="str">
        <f t="shared" si="0"/>
        <v>Resignation</v>
      </c>
      <c r="P13" s="145" t="s">
        <v>1622</v>
      </c>
      <c r="Q13" s="145" t="s">
        <v>1623</v>
      </c>
      <c r="R13" s="145" t="s">
        <v>1624</v>
      </c>
      <c r="S13" s="145" t="s">
        <v>1344</v>
      </c>
      <c r="T13" s="145" t="s">
        <v>1669</v>
      </c>
    </row>
    <row r="14" spans="1:20">
      <c r="A14" s="145" t="s">
        <v>1695</v>
      </c>
      <c r="B14" s="145" t="s">
        <v>1294</v>
      </c>
      <c r="C14" s="145" t="s">
        <v>1696</v>
      </c>
      <c r="D14" s="145" t="s">
        <v>1697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1616</v>
      </c>
      <c r="J14" s="215">
        <v>1800</v>
      </c>
      <c r="K14" s="145" t="s">
        <v>595</v>
      </c>
      <c r="L14" s="215">
        <v>21600</v>
      </c>
      <c r="M14" s="145" t="s">
        <v>1617</v>
      </c>
      <c r="N14" s="145" t="s">
        <v>1617</v>
      </c>
      <c r="O14" s="145" t="str">
        <f t="shared" si="0"/>
        <v>Termination</v>
      </c>
      <c r="P14" s="145" t="s">
        <v>1627</v>
      </c>
      <c r="Q14" s="145" t="s">
        <v>338</v>
      </c>
      <c r="R14" s="145" t="s">
        <v>1624</v>
      </c>
      <c r="S14" s="145" t="s">
        <v>1665</v>
      </c>
      <c r="T14" s="145" t="s">
        <v>1684</v>
      </c>
    </row>
    <row r="15" spans="1:20">
      <c r="A15" s="145" t="s">
        <v>1689</v>
      </c>
      <c r="B15" s="145" t="s">
        <v>1614</v>
      </c>
      <c r="C15" s="145" t="s">
        <v>1690</v>
      </c>
      <c r="D15" s="145" t="s">
        <v>1691</v>
      </c>
      <c r="E15" s="145">
        <v>336</v>
      </c>
      <c r="F15" s="145" t="s">
        <v>1401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1616</v>
      </c>
      <c r="J15" s="215">
        <v>1000</v>
      </c>
      <c r="K15" s="145" t="s">
        <v>595</v>
      </c>
      <c r="L15" s="215">
        <v>12000</v>
      </c>
      <c r="M15" s="145" t="s">
        <v>1621</v>
      </c>
      <c r="N15" s="145" t="s">
        <v>1621</v>
      </c>
      <c r="O15" s="145" t="str">
        <f t="shared" si="0"/>
        <v>Resignation</v>
      </c>
      <c r="P15" s="145" t="s">
        <v>1622</v>
      </c>
      <c r="Q15" s="145" t="s">
        <v>1623</v>
      </c>
      <c r="R15" s="145" t="s">
        <v>1624</v>
      </c>
      <c r="S15" s="145" t="s">
        <v>1344</v>
      </c>
      <c r="T15" s="145" t="s">
        <v>1684</v>
      </c>
    </row>
    <row r="16" spans="1:20">
      <c r="A16" s="145" t="s">
        <v>1682</v>
      </c>
      <c r="B16" s="145" t="s">
        <v>1614</v>
      </c>
      <c r="C16" s="145" t="s">
        <v>1442</v>
      </c>
      <c r="D16" s="145" t="s">
        <v>1683</v>
      </c>
      <c r="E16" s="145">
        <v>333</v>
      </c>
      <c r="F16" s="145" t="s">
        <v>1349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1616</v>
      </c>
      <c r="J16" s="215">
        <v>950</v>
      </c>
      <c r="K16" s="145" t="s">
        <v>595</v>
      </c>
      <c r="L16" s="215">
        <v>11400</v>
      </c>
      <c r="M16" s="145" t="s">
        <v>1621</v>
      </c>
      <c r="N16" s="145" t="s">
        <v>1621</v>
      </c>
      <c r="O16" s="145" t="str">
        <f t="shared" si="0"/>
        <v>Resignation</v>
      </c>
      <c r="P16" s="145" t="s">
        <v>1622</v>
      </c>
      <c r="Q16" s="145" t="s">
        <v>338</v>
      </c>
      <c r="R16" s="145" t="s">
        <v>1624</v>
      </c>
      <c r="S16" s="145" t="s">
        <v>1344</v>
      </c>
      <c r="T16" s="145" t="s">
        <v>1684</v>
      </c>
    </row>
    <row r="17" spans="1:20">
      <c r="A17" s="145" t="s">
        <v>1713</v>
      </c>
      <c r="B17" s="145" t="s">
        <v>19</v>
      </c>
      <c r="C17" s="145" t="s">
        <v>1454</v>
      </c>
      <c r="D17" s="145" t="s">
        <v>1714</v>
      </c>
      <c r="E17" s="145">
        <v>312</v>
      </c>
      <c r="F17" s="145" t="s">
        <v>1401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1616</v>
      </c>
      <c r="J17" s="215">
        <v>950</v>
      </c>
      <c r="K17" s="145" t="s">
        <v>595</v>
      </c>
      <c r="L17" s="215">
        <v>11400</v>
      </c>
      <c r="M17" s="145" t="s">
        <v>1621</v>
      </c>
      <c r="N17" s="145" t="s">
        <v>1621</v>
      </c>
      <c r="O17" s="145" t="str">
        <f t="shared" si="0"/>
        <v>Resignation</v>
      </c>
      <c r="P17" s="145" t="s">
        <v>1622</v>
      </c>
      <c r="Q17" s="145" t="s">
        <v>1623</v>
      </c>
      <c r="R17" s="145" t="s">
        <v>1624</v>
      </c>
      <c r="S17" s="145" t="s">
        <v>1344</v>
      </c>
      <c r="T17" s="145" t="s">
        <v>1715</v>
      </c>
    </row>
    <row r="18" spans="1:20">
      <c r="A18" s="145" t="s">
        <v>1707</v>
      </c>
      <c r="B18" s="145" t="s">
        <v>1614</v>
      </c>
      <c r="C18" s="145" t="s">
        <v>1708</v>
      </c>
      <c r="D18" s="145" t="s">
        <v>1705</v>
      </c>
      <c r="E18" s="145">
        <v>267</v>
      </c>
      <c r="F18" s="145" t="s">
        <v>1364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1635</v>
      </c>
      <c r="J18" s="215">
        <v>115000</v>
      </c>
      <c r="K18" s="145" t="s">
        <v>1368</v>
      </c>
      <c r="L18" s="215">
        <v>115000</v>
      </c>
      <c r="M18" s="145" t="s">
        <v>1621</v>
      </c>
      <c r="N18" s="145" t="s">
        <v>1621</v>
      </c>
      <c r="O18" s="145" t="str">
        <f t="shared" si="0"/>
        <v>Resignation</v>
      </c>
      <c r="P18" s="145" t="s">
        <v>1622</v>
      </c>
      <c r="Q18" s="145" t="s">
        <v>1245</v>
      </c>
      <c r="R18" s="145" t="s">
        <v>1624</v>
      </c>
      <c r="S18" s="145" t="s">
        <v>1365</v>
      </c>
      <c r="T18" s="145" t="s">
        <v>1709</v>
      </c>
    </row>
    <row r="19" spans="1:20">
      <c r="A19" s="145" t="s">
        <v>1757</v>
      </c>
      <c r="B19" s="145" t="s">
        <v>1614</v>
      </c>
      <c r="C19" s="145" t="s">
        <v>1758</v>
      </c>
      <c r="D19" s="145" t="s">
        <v>1756</v>
      </c>
      <c r="E19" s="145">
        <v>264</v>
      </c>
      <c r="F19" s="145" t="s">
        <v>1759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1635</v>
      </c>
      <c r="J19" s="215">
        <v>130000</v>
      </c>
      <c r="K19" s="145" t="s">
        <v>1368</v>
      </c>
      <c r="L19" s="215">
        <v>130000</v>
      </c>
      <c r="M19" s="145" t="s">
        <v>1617</v>
      </c>
      <c r="N19" s="145" t="s">
        <v>1617</v>
      </c>
      <c r="O19" s="145" t="str">
        <f t="shared" si="0"/>
        <v>Termination</v>
      </c>
      <c r="P19" s="145" t="s">
        <v>1627</v>
      </c>
      <c r="Q19" s="145" t="s">
        <v>338</v>
      </c>
      <c r="R19" s="145" t="s">
        <v>1624</v>
      </c>
      <c r="S19" s="145" t="s">
        <v>1365</v>
      </c>
      <c r="T19" s="145" t="s">
        <v>1709</v>
      </c>
    </row>
    <row r="20" spans="1:20">
      <c r="A20" s="145" t="s">
        <v>1403</v>
      </c>
      <c r="B20" s="145" t="s">
        <v>1294</v>
      </c>
      <c r="C20" s="145" t="s">
        <v>1404</v>
      </c>
      <c r="D20" s="145" t="s">
        <v>1615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1616</v>
      </c>
      <c r="J20" s="215">
        <v>1800</v>
      </c>
      <c r="K20" s="145" t="s">
        <v>595</v>
      </c>
      <c r="L20" s="215">
        <v>21600</v>
      </c>
      <c r="M20" s="145" t="s">
        <v>1621</v>
      </c>
      <c r="N20" s="145" t="s">
        <v>1621</v>
      </c>
      <c r="O20" s="145" t="str">
        <f t="shared" si="0"/>
        <v>Resignation</v>
      </c>
      <c r="P20" s="145" t="s">
        <v>1622</v>
      </c>
      <c r="Q20" s="145" t="s">
        <v>1623</v>
      </c>
      <c r="R20" s="145" t="s">
        <v>1624</v>
      </c>
      <c r="S20" s="145" t="s">
        <v>1344</v>
      </c>
      <c r="T20" s="145" t="s">
        <v>1625</v>
      </c>
    </row>
    <row r="21" spans="1:20">
      <c r="A21" s="145" t="s">
        <v>852</v>
      </c>
      <c r="B21" s="145" t="s">
        <v>19</v>
      </c>
      <c r="C21" s="145" t="s">
        <v>1674</v>
      </c>
      <c r="D21" s="145" t="s">
        <v>1672</v>
      </c>
      <c r="E21" s="145">
        <v>172</v>
      </c>
      <c r="F21" s="145" t="s">
        <v>1473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1616</v>
      </c>
      <c r="J21" s="215">
        <v>1800</v>
      </c>
      <c r="K21" s="145" t="s">
        <v>595</v>
      </c>
      <c r="L21" s="215">
        <v>21600</v>
      </c>
      <c r="M21" s="145" t="s">
        <v>1617</v>
      </c>
      <c r="N21" s="145" t="s">
        <v>1617</v>
      </c>
      <c r="O21" s="145" t="str">
        <f t="shared" si="0"/>
        <v>Termination</v>
      </c>
      <c r="P21" s="145" t="s">
        <v>1627</v>
      </c>
      <c r="Q21" s="145" t="s">
        <v>338</v>
      </c>
      <c r="R21" s="145" t="s">
        <v>1624</v>
      </c>
      <c r="S21" s="145" t="s">
        <v>1344</v>
      </c>
      <c r="T21" s="145" t="s">
        <v>1673</v>
      </c>
    </row>
    <row r="22" spans="1:20">
      <c r="A22" s="145" t="s">
        <v>851</v>
      </c>
      <c r="B22" s="145" t="s">
        <v>19</v>
      </c>
      <c r="C22" s="145" t="s">
        <v>1671</v>
      </c>
      <c r="D22" s="145" t="s">
        <v>1672</v>
      </c>
      <c r="E22" s="145">
        <v>169</v>
      </c>
      <c r="F22" s="145" t="s">
        <v>1401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1616</v>
      </c>
      <c r="J22" s="215">
        <v>950</v>
      </c>
      <c r="K22" s="145" t="s">
        <v>595</v>
      </c>
      <c r="L22" s="215">
        <v>11400</v>
      </c>
      <c r="M22" s="145" t="s">
        <v>1617</v>
      </c>
      <c r="N22" s="145" t="s">
        <v>1617</v>
      </c>
      <c r="O22" s="145" t="str">
        <f t="shared" si="0"/>
        <v>Termination</v>
      </c>
      <c r="P22" s="145" t="s">
        <v>1627</v>
      </c>
      <c r="Q22" s="145" t="s">
        <v>338</v>
      </c>
      <c r="R22" s="145" t="s">
        <v>1624</v>
      </c>
      <c r="S22" s="145" t="s">
        <v>1344</v>
      </c>
      <c r="T22" s="145" t="s">
        <v>1673</v>
      </c>
    </row>
    <row r="23" spans="1:20">
      <c r="A23" s="145" t="s">
        <v>1763</v>
      </c>
      <c r="B23" s="145" t="s">
        <v>1614</v>
      </c>
      <c r="C23" s="145" t="s">
        <v>1764</v>
      </c>
      <c r="D23" s="145" t="s">
        <v>1761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1616</v>
      </c>
      <c r="J23" s="215">
        <v>1800</v>
      </c>
      <c r="K23" s="145" t="s">
        <v>595</v>
      </c>
      <c r="L23" s="215">
        <v>21600</v>
      </c>
      <c r="M23" s="145" t="s">
        <v>1617</v>
      </c>
      <c r="N23" s="145" t="s">
        <v>1617</v>
      </c>
      <c r="O23" s="145" t="str">
        <f t="shared" si="0"/>
        <v>Termination</v>
      </c>
      <c r="P23" s="145" t="s">
        <v>1627</v>
      </c>
      <c r="Q23" s="145" t="s">
        <v>338</v>
      </c>
      <c r="R23" s="145" t="s">
        <v>1624</v>
      </c>
      <c r="S23" s="145" t="s">
        <v>1344</v>
      </c>
      <c r="T23" s="145" t="s">
        <v>1666</v>
      </c>
    </row>
    <row r="24" spans="1:20">
      <c r="A24" s="145" t="s">
        <v>1662</v>
      </c>
      <c r="B24" s="145" t="s">
        <v>19</v>
      </c>
      <c r="C24" s="145" t="s">
        <v>1663</v>
      </c>
      <c r="D24" s="145" t="s">
        <v>1664</v>
      </c>
      <c r="E24" s="145">
        <v>139</v>
      </c>
      <c r="F24" s="145" t="s">
        <v>1401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1616</v>
      </c>
      <c r="J24" s="215">
        <v>1200</v>
      </c>
      <c r="K24" s="145" t="s">
        <v>595</v>
      </c>
      <c r="L24" s="215">
        <v>14400</v>
      </c>
      <c r="M24" s="145" t="s">
        <v>1617</v>
      </c>
      <c r="N24" s="145" t="s">
        <v>1617</v>
      </c>
      <c r="O24" s="145" t="str">
        <f t="shared" si="0"/>
        <v>Termination</v>
      </c>
      <c r="P24" s="145" t="s">
        <v>1627</v>
      </c>
      <c r="Q24" s="145" t="s">
        <v>338</v>
      </c>
      <c r="R24" s="145" t="s">
        <v>1624</v>
      </c>
      <c r="S24" s="145" t="s">
        <v>1665</v>
      </c>
      <c r="T24" s="145" t="s">
        <v>1666</v>
      </c>
    </row>
    <row r="25" spans="1:20">
      <c r="A25" s="145" t="s">
        <v>1675</v>
      </c>
      <c r="B25" s="145" t="s">
        <v>1676</v>
      </c>
      <c r="C25" s="145" t="s">
        <v>1677</v>
      </c>
      <c r="D25" s="145" t="s">
        <v>1678</v>
      </c>
      <c r="E25" s="145">
        <v>139</v>
      </c>
      <c r="F25" s="145" t="s">
        <v>1679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1616</v>
      </c>
      <c r="J25" s="215">
        <v>2300</v>
      </c>
      <c r="K25" s="145" t="s">
        <v>595</v>
      </c>
      <c r="L25" s="215">
        <v>27600</v>
      </c>
      <c r="M25" s="145" t="s">
        <v>1617</v>
      </c>
      <c r="N25" s="145" t="s">
        <v>1617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1624</v>
      </c>
      <c r="S25" s="145" t="s">
        <v>1665</v>
      </c>
      <c r="T25" s="145" t="s">
        <v>1666</v>
      </c>
    </row>
    <row r="26" spans="1:20">
      <c r="A26" s="145" t="s">
        <v>1645</v>
      </c>
      <c r="B26" s="145" t="s">
        <v>483</v>
      </c>
      <c r="C26" s="145" t="s">
        <v>1646</v>
      </c>
      <c r="D26" s="145" t="s">
        <v>1647</v>
      </c>
      <c r="E26" s="145">
        <v>121</v>
      </c>
      <c r="F26" s="145" t="s">
        <v>1343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1616</v>
      </c>
      <c r="J26" s="215">
        <v>1100</v>
      </c>
      <c r="K26" s="145" t="s">
        <v>595</v>
      </c>
      <c r="L26" s="215">
        <v>13200</v>
      </c>
      <c r="M26" s="145" t="s">
        <v>1621</v>
      </c>
      <c r="N26" s="145" t="s">
        <v>1621</v>
      </c>
      <c r="O26" s="145" t="str">
        <f t="shared" si="0"/>
        <v>Resignation</v>
      </c>
      <c r="P26" s="145" t="s">
        <v>1627</v>
      </c>
      <c r="Q26" s="145" t="s">
        <v>1623</v>
      </c>
      <c r="R26" s="145" t="s">
        <v>1624</v>
      </c>
      <c r="S26" s="145" t="s">
        <v>1344</v>
      </c>
      <c r="T26" s="145" t="s">
        <v>1648</v>
      </c>
    </row>
    <row r="27" spans="1:20">
      <c r="A27" s="145" t="s">
        <v>648</v>
      </c>
      <c r="B27" s="145" t="s">
        <v>1614</v>
      </c>
      <c r="C27" s="145" t="s">
        <v>1393</v>
      </c>
      <c r="D27" s="145" t="s">
        <v>1626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1616</v>
      </c>
      <c r="J27" s="215">
        <v>1800</v>
      </c>
      <c r="K27" s="145" t="s">
        <v>595</v>
      </c>
      <c r="L27" s="215">
        <v>21600</v>
      </c>
      <c r="M27" s="145" t="s">
        <v>1621</v>
      </c>
      <c r="N27" s="145" t="s">
        <v>1621</v>
      </c>
      <c r="O27" s="145" t="str">
        <f t="shared" si="0"/>
        <v>Resignation</v>
      </c>
      <c r="P27" s="145" t="s">
        <v>1627</v>
      </c>
      <c r="Q27" s="145" t="s">
        <v>1623</v>
      </c>
      <c r="R27" s="145" t="s">
        <v>1624</v>
      </c>
      <c r="S27" s="145" t="s">
        <v>1344</v>
      </c>
      <c r="T27" s="145" t="s">
        <v>1628</v>
      </c>
    </row>
    <row r="28" spans="1:20">
      <c r="A28" s="145" t="s">
        <v>1734</v>
      </c>
      <c r="B28" s="145" t="s">
        <v>1614</v>
      </c>
      <c r="C28" s="145" t="s">
        <v>1452</v>
      </c>
      <c r="D28" s="145" t="s">
        <v>1735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1616</v>
      </c>
      <c r="J28" s="215">
        <v>1800</v>
      </c>
      <c r="K28" s="145" t="s">
        <v>595</v>
      </c>
      <c r="L28" s="215">
        <v>21600</v>
      </c>
      <c r="M28" s="145" t="s">
        <v>1617</v>
      </c>
      <c r="N28" s="145" t="s">
        <v>1617</v>
      </c>
      <c r="O28" s="145" t="str">
        <f t="shared" si="0"/>
        <v>Termination</v>
      </c>
      <c r="P28" s="145" t="s">
        <v>1627</v>
      </c>
      <c r="Q28" s="145" t="s">
        <v>338</v>
      </c>
      <c r="R28" s="145" t="s">
        <v>1624</v>
      </c>
      <c r="S28" s="145" t="s">
        <v>1344</v>
      </c>
      <c r="T28" s="145" t="s">
        <v>1628</v>
      </c>
    </row>
    <row r="29" spans="1:20">
      <c r="A29" s="145" t="s">
        <v>1716</v>
      </c>
      <c r="B29" s="145" t="s">
        <v>483</v>
      </c>
      <c r="C29" s="145" t="s">
        <v>1717</v>
      </c>
      <c r="D29" s="145" t="s">
        <v>1718</v>
      </c>
      <c r="E29" s="145">
        <v>101</v>
      </c>
      <c r="F29" s="145" t="s">
        <v>1694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1616</v>
      </c>
      <c r="J29" s="215">
        <v>900</v>
      </c>
      <c r="K29" s="145" t="s">
        <v>595</v>
      </c>
      <c r="L29" s="215">
        <v>10800</v>
      </c>
      <c r="M29" s="145" t="s">
        <v>1621</v>
      </c>
      <c r="N29" s="145" t="s">
        <v>1621</v>
      </c>
      <c r="O29" s="145" t="str">
        <f t="shared" si="0"/>
        <v>Resignation</v>
      </c>
      <c r="P29" s="145" t="s">
        <v>1622</v>
      </c>
      <c r="Q29" s="145" t="s">
        <v>1623</v>
      </c>
      <c r="R29" s="145" t="s">
        <v>1624</v>
      </c>
      <c r="S29" s="145" t="s">
        <v>1344</v>
      </c>
      <c r="T29" s="145" t="s">
        <v>1628</v>
      </c>
    </row>
    <row r="30" spans="1:20">
      <c r="A30" s="145" t="s">
        <v>1751</v>
      </c>
      <c r="B30" s="145" t="s">
        <v>1294</v>
      </c>
      <c r="C30" s="145" t="s">
        <v>1459</v>
      </c>
      <c r="D30" s="145" t="s">
        <v>1752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1616</v>
      </c>
      <c r="J30" s="215">
        <v>2500</v>
      </c>
      <c r="K30" s="145" t="s">
        <v>595</v>
      </c>
      <c r="L30" s="215">
        <v>30000</v>
      </c>
      <c r="M30" s="145" t="s">
        <v>1621</v>
      </c>
      <c r="N30" s="145" t="s">
        <v>1621</v>
      </c>
      <c r="O30" s="145" t="str">
        <f t="shared" si="0"/>
        <v>Resignation</v>
      </c>
      <c r="P30" s="145" t="s">
        <v>1622</v>
      </c>
      <c r="Q30" s="145" t="s">
        <v>1245</v>
      </c>
      <c r="R30" s="145" t="s">
        <v>1624</v>
      </c>
      <c r="S30" s="145" t="s">
        <v>1665</v>
      </c>
      <c r="T30" s="145" t="s">
        <v>1628</v>
      </c>
    </row>
    <row r="31" spans="1:20">
      <c r="A31" s="145" t="s">
        <v>833</v>
      </c>
      <c r="B31" s="145" t="s">
        <v>1614</v>
      </c>
      <c r="C31" s="145" t="s">
        <v>1667</v>
      </c>
      <c r="D31" s="145" t="s">
        <v>1668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1616</v>
      </c>
      <c r="J31" s="215">
        <v>1800</v>
      </c>
      <c r="K31" s="145" t="s">
        <v>595</v>
      </c>
      <c r="L31" s="215">
        <v>21600</v>
      </c>
      <c r="M31" s="145" t="s">
        <v>338</v>
      </c>
      <c r="N31" s="145" t="s">
        <v>1534</v>
      </c>
      <c r="O31" s="145" t="s">
        <v>1534</v>
      </c>
      <c r="P31" s="145" t="s">
        <v>338</v>
      </c>
      <c r="Q31" s="145" t="s">
        <v>338</v>
      </c>
      <c r="R31" s="145" t="s">
        <v>1655</v>
      </c>
      <c r="S31" s="145" t="s">
        <v>1344</v>
      </c>
      <c r="T31" s="145" t="s">
        <v>1628</v>
      </c>
    </row>
    <row r="32" spans="1:20">
      <c r="A32" s="145" t="s">
        <v>1738</v>
      </c>
      <c r="B32" s="145" t="s">
        <v>1614</v>
      </c>
      <c r="C32" s="145" t="s">
        <v>1739</v>
      </c>
      <c r="D32" s="145" t="s">
        <v>1446</v>
      </c>
      <c r="E32" s="145">
        <v>67</v>
      </c>
      <c r="F32" s="145" t="s">
        <v>1410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1616</v>
      </c>
      <c r="J32" s="215">
        <v>1100</v>
      </c>
      <c r="K32" s="145" t="s">
        <v>595</v>
      </c>
      <c r="L32" s="215">
        <v>13200</v>
      </c>
      <c r="M32" s="145" t="s">
        <v>1621</v>
      </c>
      <c r="N32" s="145" t="s">
        <v>1621</v>
      </c>
      <c r="O32" s="145" t="str">
        <f t="shared" si="0"/>
        <v>Resignation</v>
      </c>
      <c r="P32" s="145" t="s">
        <v>1622</v>
      </c>
      <c r="Q32" s="145" t="s">
        <v>1623</v>
      </c>
      <c r="R32" s="145" t="s">
        <v>1655</v>
      </c>
      <c r="S32" s="145" t="s">
        <v>1344</v>
      </c>
      <c r="T32" s="145" t="s">
        <v>1656</v>
      </c>
    </row>
    <row r="33" spans="1:20">
      <c r="A33" s="145" t="s">
        <v>574</v>
      </c>
      <c r="B33" s="145" t="s">
        <v>1614</v>
      </c>
      <c r="C33" s="145" t="s">
        <v>1660</v>
      </c>
      <c r="D33" s="145" t="s">
        <v>1661</v>
      </c>
      <c r="E33" s="145">
        <v>64</v>
      </c>
      <c r="F33" s="145" t="s">
        <v>1349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1616</v>
      </c>
      <c r="J33" s="215">
        <v>950</v>
      </c>
      <c r="K33" s="145" t="s">
        <v>595</v>
      </c>
      <c r="L33" s="215">
        <v>11400</v>
      </c>
      <c r="M33" s="145" t="s">
        <v>338</v>
      </c>
      <c r="N33" s="145" t="s">
        <v>1534</v>
      </c>
      <c r="O33" s="145" t="s">
        <v>1534</v>
      </c>
      <c r="P33" s="145" t="s">
        <v>1622</v>
      </c>
      <c r="Q33" s="145" t="s">
        <v>338</v>
      </c>
      <c r="R33" s="145" t="s">
        <v>1655</v>
      </c>
      <c r="S33" s="145" t="s">
        <v>1344</v>
      </c>
      <c r="T33" s="145" t="s">
        <v>1656</v>
      </c>
    </row>
    <row r="34" spans="1:20">
      <c r="A34" s="145" t="s">
        <v>1725</v>
      </c>
      <c r="B34" s="145" t="s">
        <v>1614</v>
      </c>
      <c r="C34" s="145" t="s">
        <v>1726</v>
      </c>
      <c r="D34" s="145" t="s">
        <v>1727</v>
      </c>
      <c r="E34" s="145">
        <v>58</v>
      </c>
      <c r="F34" s="145" t="s">
        <v>1349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1616</v>
      </c>
      <c r="J34" s="215">
        <v>950</v>
      </c>
      <c r="K34" s="145" t="s">
        <v>595</v>
      </c>
      <c r="L34" s="215">
        <v>11400</v>
      </c>
      <c r="M34" s="145" t="s">
        <v>1617</v>
      </c>
      <c r="N34" s="145" t="s">
        <v>1617</v>
      </c>
      <c r="O34" s="145" t="str">
        <f t="shared" si="0"/>
        <v>Termination</v>
      </c>
      <c r="P34" s="145" t="s">
        <v>1627</v>
      </c>
      <c r="Q34" s="145" t="s">
        <v>338</v>
      </c>
      <c r="R34" s="145" t="s">
        <v>1655</v>
      </c>
      <c r="S34" s="145" t="s">
        <v>1344</v>
      </c>
      <c r="T34" s="145" t="s">
        <v>1656</v>
      </c>
    </row>
    <row r="35" spans="1:20">
      <c r="A35" s="145" t="s">
        <v>1652</v>
      </c>
      <c r="B35" s="145" t="s">
        <v>19</v>
      </c>
      <c r="C35" s="145" t="s">
        <v>1653</v>
      </c>
      <c r="D35" s="145" t="s">
        <v>1654</v>
      </c>
      <c r="E35" s="145">
        <v>57</v>
      </c>
      <c r="F35" s="145" t="s">
        <v>1401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1616</v>
      </c>
      <c r="J35" s="215">
        <v>950</v>
      </c>
      <c r="K35" s="145" t="s">
        <v>595</v>
      </c>
      <c r="L35" s="215">
        <v>11400</v>
      </c>
      <c r="M35" s="145" t="s">
        <v>1621</v>
      </c>
      <c r="N35" s="145" t="s">
        <v>1621</v>
      </c>
      <c r="O35" s="145" t="str">
        <f t="shared" si="0"/>
        <v>Resignation</v>
      </c>
      <c r="P35" s="145" t="s">
        <v>1622</v>
      </c>
      <c r="Q35" s="145" t="s">
        <v>1623</v>
      </c>
      <c r="R35" s="145" t="s">
        <v>1655</v>
      </c>
      <c r="S35" s="145" t="s">
        <v>1344</v>
      </c>
      <c r="T35" s="145" t="s">
        <v>1656</v>
      </c>
    </row>
    <row r="36" spans="1:20">
      <c r="A36" s="145" t="s">
        <v>1687</v>
      </c>
      <c r="B36" s="145" t="s">
        <v>1614</v>
      </c>
      <c r="C36" s="145" t="s">
        <v>1400</v>
      </c>
      <c r="D36" s="145" t="s">
        <v>1688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1616</v>
      </c>
      <c r="J36" s="215">
        <v>1800</v>
      </c>
      <c r="K36" s="145" t="s">
        <v>595</v>
      </c>
      <c r="L36" s="215">
        <v>21600</v>
      </c>
      <c r="M36" s="145" t="s">
        <v>1621</v>
      </c>
      <c r="N36" s="145" t="s">
        <v>1621</v>
      </c>
      <c r="O36" s="145" t="str">
        <f t="shared" si="0"/>
        <v>Resignation</v>
      </c>
      <c r="P36" s="145" t="s">
        <v>1622</v>
      </c>
      <c r="Q36" s="145" t="s">
        <v>338</v>
      </c>
      <c r="R36" s="145" t="s">
        <v>1655</v>
      </c>
      <c r="S36" s="145" t="s">
        <v>1344</v>
      </c>
      <c r="T36" s="145" t="s">
        <v>1656</v>
      </c>
    </row>
    <row r="37" spans="1:20">
      <c r="A37" s="145" t="s">
        <v>1703</v>
      </c>
      <c r="B37" s="145" t="s">
        <v>483</v>
      </c>
      <c r="C37" s="145" t="s">
        <v>1704</v>
      </c>
      <c r="D37" s="145" t="s">
        <v>1705</v>
      </c>
      <c r="E37" s="145">
        <v>36</v>
      </c>
      <c r="F37" s="145" t="s">
        <v>1694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1616</v>
      </c>
      <c r="J37" s="215">
        <v>1800</v>
      </c>
      <c r="K37" s="145" t="s">
        <v>595</v>
      </c>
      <c r="L37" s="215">
        <v>21600</v>
      </c>
      <c r="M37" s="145" t="s">
        <v>1617</v>
      </c>
      <c r="N37" s="145" t="s">
        <v>1617</v>
      </c>
      <c r="O37" s="145" t="str">
        <f t="shared" si="0"/>
        <v>Termination</v>
      </c>
      <c r="P37" s="145" t="s">
        <v>1627</v>
      </c>
      <c r="Q37" s="145" t="s">
        <v>338</v>
      </c>
      <c r="R37" s="145" t="s">
        <v>1655</v>
      </c>
      <c r="S37" s="145" t="s">
        <v>1665</v>
      </c>
      <c r="T37" s="145" t="s">
        <v>1706</v>
      </c>
    </row>
    <row r="38" spans="1:20">
      <c r="A38" s="145" t="s">
        <v>1723</v>
      </c>
      <c r="B38" s="145" t="s">
        <v>1614</v>
      </c>
      <c r="C38" s="145" t="s">
        <v>1424</v>
      </c>
      <c r="D38" s="145" t="s">
        <v>1724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1616</v>
      </c>
      <c r="J38" s="215">
        <v>1800</v>
      </c>
      <c r="K38" s="145" t="s">
        <v>595</v>
      </c>
      <c r="L38" s="215">
        <v>21600</v>
      </c>
      <c r="M38" s="145" t="s">
        <v>1617</v>
      </c>
      <c r="N38" s="145" t="s">
        <v>1617</v>
      </c>
      <c r="O38" s="145" t="str">
        <f t="shared" si="0"/>
        <v>Termination</v>
      </c>
      <c r="P38" s="145" t="s">
        <v>1627</v>
      </c>
      <c r="Q38" s="145" t="s">
        <v>338</v>
      </c>
      <c r="R38" s="145" t="s">
        <v>1655</v>
      </c>
      <c r="S38" s="145" t="s">
        <v>1344</v>
      </c>
      <c r="T38" s="145" t="s">
        <v>1706</v>
      </c>
    </row>
    <row r="39" spans="1:20">
      <c r="A39" s="145" t="s">
        <v>1710</v>
      </c>
      <c r="B39" s="145" t="s">
        <v>19</v>
      </c>
      <c r="C39" s="145" t="s">
        <v>1415</v>
      </c>
      <c r="D39" s="145" t="s">
        <v>1711</v>
      </c>
      <c r="E39" s="145">
        <v>18</v>
      </c>
      <c r="F39" s="145" t="s">
        <v>1374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1616</v>
      </c>
      <c r="J39" s="215">
        <v>1350</v>
      </c>
      <c r="K39" s="145" t="s">
        <v>595</v>
      </c>
      <c r="L39" s="215">
        <v>16200</v>
      </c>
      <c r="M39" s="145" t="s">
        <v>1617</v>
      </c>
      <c r="N39" s="145" t="s">
        <v>1617</v>
      </c>
      <c r="O39" s="145" t="str">
        <f t="shared" si="0"/>
        <v>Termination</v>
      </c>
      <c r="P39" s="145" t="s">
        <v>1627</v>
      </c>
      <c r="Q39" s="145" t="s">
        <v>338</v>
      </c>
      <c r="R39" s="145" t="s">
        <v>1712</v>
      </c>
      <c r="S39" s="145" t="s">
        <v>1344</v>
      </c>
      <c r="T39" s="145" t="s">
        <v>1620</v>
      </c>
    </row>
    <row r="40" spans="1:20">
      <c r="A40" s="145" t="s">
        <v>1749</v>
      </c>
      <c r="B40" s="145" t="s">
        <v>1614</v>
      </c>
      <c r="C40" s="145" t="s">
        <v>1750</v>
      </c>
      <c r="D40" s="145" t="s">
        <v>1452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1616</v>
      </c>
      <c r="J40" s="215">
        <v>900</v>
      </c>
      <c r="K40" s="145" t="s">
        <v>595</v>
      </c>
      <c r="L40" s="215">
        <v>10800</v>
      </c>
      <c r="M40" s="145" t="s">
        <v>1617</v>
      </c>
      <c r="N40" s="145" t="s">
        <v>1617</v>
      </c>
      <c r="O40" s="145" t="str">
        <f t="shared" si="0"/>
        <v>Termination</v>
      </c>
      <c r="P40" s="145" t="s">
        <v>1627</v>
      </c>
      <c r="Q40" s="145" t="s">
        <v>338</v>
      </c>
      <c r="R40" s="145" t="s">
        <v>1619</v>
      </c>
      <c r="S40" s="145" t="s">
        <v>1344</v>
      </c>
      <c r="T40" s="145" t="s">
        <v>1620</v>
      </c>
    </row>
    <row r="41" spans="1:20">
      <c r="A41" s="145" t="s">
        <v>1755</v>
      </c>
      <c r="B41" s="145" t="s">
        <v>1614</v>
      </c>
      <c r="C41" s="145" t="s">
        <v>1756</v>
      </c>
      <c r="D41" s="145" t="s">
        <v>1750</v>
      </c>
      <c r="E41" s="145">
        <v>14</v>
      </c>
      <c r="F41" s="145" t="s">
        <v>1631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1616</v>
      </c>
      <c r="J41" s="215">
        <v>1400</v>
      </c>
      <c r="K41" s="145" t="s">
        <v>595</v>
      </c>
      <c r="L41" s="215">
        <v>16800</v>
      </c>
      <c r="M41" s="145" t="s">
        <v>1617</v>
      </c>
      <c r="N41" s="145" t="s">
        <v>1617</v>
      </c>
      <c r="O41" s="145" t="str">
        <f t="shared" si="0"/>
        <v>Termination</v>
      </c>
      <c r="P41" s="145" t="s">
        <v>1627</v>
      </c>
      <c r="Q41" s="145" t="s">
        <v>338</v>
      </c>
      <c r="R41" s="145" t="s">
        <v>1619</v>
      </c>
      <c r="S41" s="145" t="s">
        <v>1344</v>
      </c>
      <c r="T41" s="145" t="s">
        <v>1620</v>
      </c>
    </row>
    <row r="42" spans="1:20">
      <c r="A42" s="145" t="s">
        <v>1680</v>
      </c>
      <c r="B42" s="145" t="s">
        <v>19</v>
      </c>
      <c r="C42" s="145" t="s">
        <v>1681</v>
      </c>
      <c r="D42" s="145" t="s">
        <v>1393</v>
      </c>
      <c r="E42" s="145">
        <v>13</v>
      </c>
      <c r="F42" s="145" t="s">
        <v>1401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1616</v>
      </c>
      <c r="J42" s="215">
        <v>950</v>
      </c>
      <c r="K42" s="145" t="s">
        <v>595</v>
      </c>
      <c r="L42" s="215">
        <v>11400</v>
      </c>
      <c r="M42" s="145" t="s">
        <v>1617</v>
      </c>
      <c r="N42" s="145" t="s">
        <v>1617</v>
      </c>
      <c r="O42" s="145" t="str">
        <f t="shared" si="0"/>
        <v>Termination</v>
      </c>
      <c r="P42" s="145" t="s">
        <v>1637</v>
      </c>
      <c r="Q42" s="145" t="s">
        <v>338</v>
      </c>
      <c r="R42" s="145" t="s">
        <v>1619</v>
      </c>
      <c r="S42" s="145" t="s">
        <v>1344</v>
      </c>
      <c r="T42" s="145" t="s">
        <v>1620</v>
      </c>
    </row>
    <row r="43" spans="1:20">
      <c r="A43" s="145" t="s">
        <v>1746</v>
      </c>
      <c r="B43" s="145" t="s">
        <v>1614</v>
      </c>
      <c r="C43" s="145" t="s">
        <v>1747</v>
      </c>
      <c r="D43" s="145" t="s">
        <v>1452</v>
      </c>
      <c r="E43" s="145">
        <v>12</v>
      </c>
      <c r="F43" s="145" t="s">
        <v>1364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1635</v>
      </c>
      <c r="J43" s="215">
        <v>108000</v>
      </c>
      <c r="K43" s="145" t="s">
        <v>1368</v>
      </c>
      <c r="L43" s="215">
        <v>108000</v>
      </c>
      <c r="M43" s="145" t="s">
        <v>1617</v>
      </c>
      <c r="N43" s="145" t="s">
        <v>1617</v>
      </c>
      <c r="O43" s="145" t="str">
        <f t="shared" si="0"/>
        <v>Termination</v>
      </c>
      <c r="P43" s="145" t="s">
        <v>1627</v>
      </c>
      <c r="Q43" s="145" t="s">
        <v>338</v>
      </c>
      <c r="R43" s="145" t="s">
        <v>1748</v>
      </c>
      <c r="S43" s="145" t="s">
        <v>1365</v>
      </c>
      <c r="T43" s="145" t="s">
        <v>1620</v>
      </c>
    </row>
    <row r="44" spans="1:20">
      <c r="A44" s="145" t="s">
        <v>1354</v>
      </c>
      <c r="B44" s="145" t="s">
        <v>1614</v>
      </c>
      <c r="C44" s="145" t="s">
        <v>1355</v>
      </c>
      <c r="D44" s="145" t="s">
        <v>1629</v>
      </c>
      <c r="E44" s="145">
        <v>11</v>
      </c>
      <c r="F44" s="145" t="s">
        <v>1349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1616</v>
      </c>
      <c r="J44" s="215">
        <v>950</v>
      </c>
      <c r="K44" s="145" t="s">
        <v>595</v>
      </c>
      <c r="L44" s="215">
        <v>11400</v>
      </c>
      <c r="M44" s="145" t="s">
        <v>1617</v>
      </c>
      <c r="N44" s="145" t="s">
        <v>1617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1619</v>
      </c>
      <c r="S44" s="145" t="s">
        <v>1344</v>
      </c>
      <c r="T44" s="145" t="s">
        <v>1620</v>
      </c>
    </row>
    <row r="45" spans="1:20">
      <c r="A45" s="145" t="s">
        <v>1743</v>
      </c>
      <c r="B45" s="145" t="s">
        <v>1614</v>
      </c>
      <c r="C45" s="145" t="s">
        <v>1744</v>
      </c>
      <c r="D45" s="145" t="s">
        <v>1745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1616</v>
      </c>
      <c r="J45" s="215">
        <v>900</v>
      </c>
      <c r="K45" s="145" t="s">
        <v>595</v>
      </c>
      <c r="L45" s="215">
        <v>10800</v>
      </c>
      <c r="M45" s="145" t="s">
        <v>1617</v>
      </c>
      <c r="N45" s="145" t="s">
        <v>1617</v>
      </c>
      <c r="O45" s="145" t="str">
        <f t="shared" si="0"/>
        <v>Termination</v>
      </c>
      <c r="P45" s="145" t="s">
        <v>1627</v>
      </c>
      <c r="Q45" s="145" t="s">
        <v>338</v>
      </c>
      <c r="R45" s="145" t="s">
        <v>1619</v>
      </c>
      <c r="S45" s="145" t="s">
        <v>1344</v>
      </c>
      <c r="T45" s="145" t="s">
        <v>1620</v>
      </c>
    </row>
    <row r="46" spans="1:20">
      <c r="A46" s="145" t="s">
        <v>1649</v>
      </c>
      <c r="B46" s="145" t="s">
        <v>1614</v>
      </c>
      <c r="C46" s="145" t="s">
        <v>1650</v>
      </c>
      <c r="D46" s="145" t="s">
        <v>1651</v>
      </c>
      <c r="E46" s="145">
        <v>9</v>
      </c>
      <c r="F46" s="145" t="s">
        <v>1349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1616</v>
      </c>
      <c r="J46" s="215">
        <v>950</v>
      </c>
      <c r="K46" s="145" t="s">
        <v>595</v>
      </c>
      <c r="L46" s="215">
        <v>11400</v>
      </c>
      <c r="M46" s="145" t="s">
        <v>338</v>
      </c>
      <c r="N46" s="145" t="s">
        <v>1534</v>
      </c>
      <c r="O46" s="145" t="s">
        <v>1534</v>
      </c>
      <c r="P46" s="145" t="s">
        <v>338</v>
      </c>
      <c r="Q46" s="145" t="s">
        <v>338</v>
      </c>
      <c r="R46" s="145" t="s">
        <v>1619</v>
      </c>
      <c r="S46" s="145" t="s">
        <v>1344</v>
      </c>
      <c r="T46" s="145" t="s">
        <v>1620</v>
      </c>
    </row>
    <row r="47" spans="1:20">
      <c r="A47" s="145" t="s">
        <v>1732</v>
      </c>
      <c r="B47" s="145" t="s">
        <v>1614</v>
      </c>
      <c r="C47" s="145" t="s">
        <v>1433</v>
      </c>
      <c r="D47" s="145" t="s">
        <v>1733</v>
      </c>
      <c r="E47" s="145">
        <v>9</v>
      </c>
      <c r="F47" s="145" t="s">
        <v>1349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1616</v>
      </c>
      <c r="J47" s="215">
        <v>950</v>
      </c>
      <c r="K47" s="145" t="s">
        <v>595</v>
      </c>
      <c r="L47" s="215">
        <v>11400</v>
      </c>
      <c r="M47" s="145" t="s">
        <v>1617</v>
      </c>
      <c r="N47" s="145" t="s">
        <v>1617</v>
      </c>
      <c r="O47" s="145" t="str">
        <f t="shared" si="0"/>
        <v>Termination</v>
      </c>
      <c r="P47" s="145" t="s">
        <v>1627</v>
      </c>
      <c r="Q47" s="145" t="s">
        <v>338</v>
      </c>
      <c r="R47" s="145" t="s">
        <v>1619</v>
      </c>
      <c r="S47" s="145" t="s">
        <v>1344</v>
      </c>
      <c r="T47" s="145" t="s">
        <v>1620</v>
      </c>
    </row>
    <row r="48" spans="1:20">
      <c r="A48" s="145" t="s">
        <v>1657</v>
      </c>
      <c r="B48" s="145" t="s">
        <v>19</v>
      </c>
      <c r="C48" s="145" t="s">
        <v>1658</v>
      </c>
      <c r="D48" s="145" t="s">
        <v>1659</v>
      </c>
      <c r="E48" s="145">
        <v>6</v>
      </c>
      <c r="F48" s="145" t="s">
        <v>1473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1616</v>
      </c>
      <c r="J48" s="215">
        <v>1300</v>
      </c>
      <c r="K48" s="145" t="s">
        <v>595</v>
      </c>
      <c r="L48" s="215">
        <v>15600</v>
      </c>
      <c r="M48" s="145" t="s">
        <v>1621</v>
      </c>
      <c r="N48" s="145" t="s">
        <v>1621</v>
      </c>
      <c r="O48" s="145" t="str">
        <f t="shared" si="0"/>
        <v>Resignation</v>
      </c>
      <c r="P48" s="145" t="s">
        <v>1622</v>
      </c>
      <c r="Q48" s="145" t="s">
        <v>1623</v>
      </c>
      <c r="R48" s="145" t="s">
        <v>1619</v>
      </c>
      <c r="S48" s="145" t="s">
        <v>1344</v>
      </c>
      <c r="T48" s="145" t="s">
        <v>1620</v>
      </c>
    </row>
    <row r="49" spans="1:20">
      <c r="A49" s="145" t="s">
        <v>1613</v>
      </c>
      <c r="B49" s="145" t="s">
        <v>1614</v>
      </c>
      <c r="C49" s="145" t="s">
        <v>1352</v>
      </c>
      <c r="D49" s="145" t="s">
        <v>1615</v>
      </c>
      <c r="E49" s="145">
        <v>4</v>
      </c>
      <c r="F49" s="145" t="s">
        <v>1349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1616</v>
      </c>
      <c r="J49" s="215">
        <v>950</v>
      </c>
      <c r="K49" s="145" t="s">
        <v>595</v>
      </c>
      <c r="L49" s="215">
        <v>11400</v>
      </c>
      <c r="M49" s="145" t="s">
        <v>1617</v>
      </c>
      <c r="N49" s="145" t="s">
        <v>1617</v>
      </c>
      <c r="O49" s="145" t="str">
        <f t="shared" si="0"/>
        <v>Termination</v>
      </c>
      <c r="P49" s="145" t="s">
        <v>1618</v>
      </c>
      <c r="Q49" s="145" t="s">
        <v>338</v>
      </c>
      <c r="R49" s="145" t="s">
        <v>1619</v>
      </c>
      <c r="S49" s="145" t="s">
        <v>1344</v>
      </c>
      <c r="T49" s="145" t="s">
        <v>1620</v>
      </c>
    </row>
    <row r="50" spans="1:20">
      <c r="A50" s="145" t="s">
        <v>1760</v>
      </c>
      <c r="B50" s="145" t="s">
        <v>1614</v>
      </c>
      <c r="C50" s="145" t="s">
        <v>1761</v>
      </c>
      <c r="D50" s="145" t="s">
        <v>1762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1616</v>
      </c>
      <c r="J50" s="215">
        <v>900</v>
      </c>
      <c r="K50" s="145" t="s">
        <v>595</v>
      </c>
      <c r="L50" s="215">
        <v>10800</v>
      </c>
      <c r="M50" s="145" t="s">
        <v>1617</v>
      </c>
      <c r="N50" s="145" t="s">
        <v>1617</v>
      </c>
      <c r="O50" s="145" t="str">
        <f t="shared" si="0"/>
        <v>Termination</v>
      </c>
      <c r="P50" s="145" t="s">
        <v>1622</v>
      </c>
      <c r="Q50" s="145" t="s">
        <v>338</v>
      </c>
      <c r="R50" s="145" t="s">
        <v>1619</v>
      </c>
      <c r="S50" s="145" t="s">
        <v>1344</v>
      </c>
      <c r="T50" s="145" t="s">
        <v>1620</v>
      </c>
    </row>
    <row r="51" spans="1:20">
      <c r="A51" s="145" t="s">
        <v>1736</v>
      </c>
      <c r="B51" s="145" t="s">
        <v>1614</v>
      </c>
      <c r="C51" s="145" t="s">
        <v>1446</v>
      </c>
      <c r="D51" s="145" t="s">
        <v>1737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1616</v>
      </c>
      <c r="J51" s="215">
        <v>900</v>
      </c>
      <c r="K51" s="145" t="s">
        <v>595</v>
      </c>
      <c r="L51" s="215">
        <v>10800</v>
      </c>
      <c r="M51" s="145" t="s">
        <v>1617</v>
      </c>
      <c r="N51" s="145" t="s">
        <v>1617</v>
      </c>
      <c r="O51" s="145" t="str">
        <f t="shared" si="0"/>
        <v>Termination</v>
      </c>
      <c r="P51" s="145" t="s">
        <v>1618</v>
      </c>
      <c r="Q51" s="145" t="s">
        <v>338</v>
      </c>
      <c r="R51" s="145" t="s">
        <v>1619</v>
      </c>
      <c r="S51" s="145" t="s">
        <v>1344</v>
      </c>
      <c r="T51" s="145" t="s">
        <v>1620</v>
      </c>
    </row>
    <row r="52" spans="1:20">
      <c r="A52" s="145" t="s">
        <v>1670</v>
      </c>
      <c r="B52" s="145" t="s">
        <v>1614</v>
      </c>
      <c r="C52" s="145" t="s">
        <v>1390</v>
      </c>
      <c r="D52" s="145" t="s">
        <v>1390</v>
      </c>
      <c r="E52" s="145">
        <v>0</v>
      </c>
      <c r="F52" s="145" t="s">
        <v>1349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1616</v>
      </c>
      <c r="J52" s="215">
        <v>950</v>
      </c>
      <c r="K52" s="145" t="s">
        <v>595</v>
      </c>
      <c r="L52" s="215">
        <v>11400</v>
      </c>
      <c r="M52" s="145" t="s">
        <v>1617</v>
      </c>
      <c r="N52" s="145" t="s">
        <v>1617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1619</v>
      </c>
      <c r="S52" s="145" t="s">
        <v>1344</v>
      </c>
      <c r="T52" s="145" t="s">
        <v>1620</v>
      </c>
    </row>
    <row r="53" spans="1:20">
      <c r="J53" s="215"/>
      <c r="L53" s="215"/>
    </row>
    <row r="54" spans="1:20">
      <c r="J54" s="215"/>
      <c r="L54" s="215"/>
    </row>
    <row r="55" spans="1:20">
      <c r="J55" s="215"/>
      <c r="L55" s="215"/>
    </row>
    <row r="56" spans="1:20">
      <c r="A56" s="145" t="s">
        <v>1643</v>
      </c>
      <c r="B56" s="145" t="s">
        <v>1614</v>
      </c>
      <c r="C56" s="145" t="s">
        <v>1363</v>
      </c>
      <c r="D56" s="304"/>
      <c r="E56" s="145">
        <v>-3</v>
      </c>
      <c r="F56" s="145" t="s">
        <v>1349</v>
      </c>
      <c r="I56" s="145" t="s">
        <v>1616</v>
      </c>
      <c r="J56" s="215">
        <v>950</v>
      </c>
      <c r="K56" s="145" t="s">
        <v>595</v>
      </c>
      <c r="L56" s="215">
        <v>11400</v>
      </c>
      <c r="M56" s="304" t="s">
        <v>1803</v>
      </c>
      <c r="N56" s="304"/>
      <c r="O56" s="304"/>
      <c r="P56" s="145" t="s">
        <v>338</v>
      </c>
      <c r="Q56" s="145" t="s">
        <v>338</v>
      </c>
      <c r="R56" s="145" t="s">
        <v>1644</v>
      </c>
      <c r="S56" s="145" t="s">
        <v>1344</v>
      </c>
      <c r="T56" s="145" t="s">
        <v>1620</v>
      </c>
    </row>
    <row r="57" spans="1:20">
      <c r="A57" s="145" t="s">
        <v>1692</v>
      </c>
      <c r="B57" s="145" t="s">
        <v>483</v>
      </c>
      <c r="C57" s="145" t="s">
        <v>1693</v>
      </c>
      <c r="D57" s="304"/>
      <c r="E57" s="145">
        <v>-260</v>
      </c>
      <c r="F57" s="145" t="s">
        <v>1694</v>
      </c>
      <c r="I57" s="145" t="s">
        <v>1616</v>
      </c>
      <c r="J57" s="215">
        <v>900</v>
      </c>
      <c r="K57" s="145" t="s">
        <v>595</v>
      </c>
      <c r="L57" s="215">
        <v>10800</v>
      </c>
      <c r="M57" s="304" t="s">
        <v>1803</v>
      </c>
      <c r="N57" s="304"/>
      <c r="O57" s="304"/>
      <c r="P57" s="145" t="s">
        <v>1627</v>
      </c>
      <c r="Q57" s="145" t="s">
        <v>338</v>
      </c>
      <c r="R57" s="145" t="s">
        <v>1644</v>
      </c>
      <c r="S57" s="145" t="s">
        <v>1344</v>
      </c>
      <c r="T57" s="145" t="s">
        <v>1628</v>
      </c>
    </row>
    <row r="60" spans="1:20">
      <c r="B60" s="30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5" customWidth="1"/>
    <col min="2" max="2" width="40.140625" style="305" bestFit="1" customWidth="1"/>
    <col min="3" max="3" width="18.7109375" style="305" bestFit="1" customWidth="1"/>
    <col min="4" max="4" width="23.42578125" style="305" bestFit="1" customWidth="1"/>
    <col min="5" max="16384" width="9.140625" style="305"/>
  </cols>
  <sheetData>
    <row r="2" spans="2:8" ht="16.5">
      <c r="B2" s="37" t="str">
        <f>+'Employee Overview'!B2</f>
        <v>Keystone Bookkeepers</v>
      </c>
    </row>
    <row r="3" spans="2:8">
      <c r="B3" s="38" t="s">
        <v>1804</v>
      </c>
      <c r="C3" s="306"/>
      <c r="D3" s="306"/>
      <c r="E3" s="306"/>
      <c r="F3" s="306"/>
      <c r="G3" s="306"/>
      <c r="H3" s="306"/>
    </row>
    <row r="5" spans="2:8">
      <c r="B5" s="286" t="s">
        <v>1333</v>
      </c>
      <c r="C5" s="286" t="s">
        <v>1509</v>
      </c>
      <c r="D5" s="286" t="s">
        <v>1518</v>
      </c>
    </row>
    <row r="6" spans="2:8">
      <c r="B6" s="227" t="s">
        <v>1349</v>
      </c>
      <c r="C6" s="227" t="s">
        <v>490</v>
      </c>
      <c r="D6" s="227" t="s">
        <v>34</v>
      </c>
    </row>
    <row r="7" spans="2:8">
      <c r="B7" s="227" t="s">
        <v>491</v>
      </c>
      <c r="C7" s="227" t="s">
        <v>491</v>
      </c>
      <c r="D7" s="227" t="s">
        <v>35</v>
      </c>
    </row>
    <row r="8" spans="2:8">
      <c r="B8" s="227" t="s">
        <v>1410</v>
      </c>
      <c r="C8" s="227" t="s">
        <v>490</v>
      </c>
      <c r="D8" s="227" t="s">
        <v>34</v>
      </c>
    </row>
    <row r="9" spans="2:8">
      <c r="B9" s="227" t="s">
        <v>1480</v>
      </c>
      <c r="C9" s="227" t="s">
        <v>491</v>
      </c>
      <c r="D9" s="227" t="s">
        <v>38</v>
      </c>
    </row>
    <row r="10" spans="2:8">
      <c r="B10" s="227" t="s">
        <v>1503</v>
      </c>
      <c r="C10" s="227" t="s">
        <v>1503</v>
      </c>
      <c r="D10" s="227" t="s">
        <v>80</v>
      </c>
    </row>
    <row r="11" spans="2:8">
      <c r="B11" s="227" t="s">
        <v>1408</v>
      </c>
      <c r="C11" s="227" t="s">
        <v>1511</v>
      </c>
      <c r="D11" s="227" t="s">
        <v>36</v>
      </c>
    </row>
    <row r="12" spans="2:8">
      <c r="B12" s="227" t="s">
        <v>1494</v>
      </c>
      <c r="C12" s="227" t="s">
        <v>1510</v>
      </c>
      <c r="D12" s="227" t="s">
        <v>63</v>
      </c>
    </row>
    <row r="13" spans="2:8">
      <c r="B13" s="227" t="s">
        <v>1370</v>
      </c>
      <c r="C13" s="227" t="s">
        <v>493</v>
      </c>
      <c r="D13" s="227" t="s">
        <v>63</v>
      </c>
    </row>
    <row r="14" spans="2:8">
      <c r="B14" s="227" t="s">
        <v>1467</v>
      </c>
      <c r="C14" s="227" t="s">
        <v>493</v>
      </c>
      <c r="D14" s="227" t="s">
        <v>63</v>
      </c>
    </row>
    <row r="15" spans="2:8">
      <c r="B15" s="227" t="s">
        <v>490</v>
      </c>
      <c r="C15" s="227" t="s">
        <v>490</v>
      </c>
      <c r="D15" s="227" t="s">
        <v>34</v>
      </c>
    </row>
    <row r="16" spans="2:8">
      <c r="B16" s="227" t="s">
        <v>1416</v>
      </c>
      <c r="C16" s="227" t="s">
        <v>81</v>
      </c>
      <c r="D16" s="227" t="s">
        <v>87</v>
      </c>
    </row>
    <row r="17" spans="2:4">
      <c r="B17" s="227" t="s">
        <v>1364</v>
      </c>
      <c r="C17" s="227" t="s">
        <v>1364</v>
      </c>
      <c r="D17" s="227" t="s">
        <v>63</v>
      </c>
    </row>
    <row r="18" spans="2:4">
      <c r="B18" s="227" t="s">
        <v>1473</v>
      </c>
      <c r="C18" s="227" t="s">
        <v>1512</v>
      </c>
      <c r="D18" s="227" t="s">
        <v>37</v>
      </c>
    </row>
    <row r="19" spans="2:4">
      <c r="B19" s="227" t="s">
        <v>1501</v>
      </c>
      <c r="C19" s="227" t="s">
        <v>1510</v>
      </c>
      <c r="D19" s="227" t="s">
        <v>63</v>
      </c>
    </row>
    <row r="20" spans="2:4">
      <c r="B20" s="227" t="s">
        <v>1499</v>
      </c>
      <c r="C20" s="227" t="s">
        <v>1510</v>
      </c>
      <c r="D20" s="227" t="s">
        <v>63</v>
      </c>
    </row>
    <row r="21" spans="2:4">
      <c r="B21" s="227" t="s">
        <v>1343</v>
      </c>
      <c r="C21" s="227" t="s">
        <v>1511</v>
      </c>
      <c r="D21" s="227" t="s">
        <v>36</v>
      </c>
    </row>
    <row r="22" spans="2:4" s="227" customFormat="1">
      <c r="B22" s="227" t="s">
        <v>1374</v>
      </c>
      <c r="C22" s="227" t="s">
        <v>1512</v>
      </c>
      <c r="D22" s="227" t="s">
        <v>37</v>
      </c>
    </row>
    <row r="23" spans="2:4" s="227" customFormat="1">
      <c r="B23" s="227" t="s">
        <v>1485</v>
      </c>
      <c r="C23" s="227" t="s">
        <v>493</v>
      </c>
      <c r="D23" s="227" t="s">
        <v>63</v>
      </c>
    </row>
    <row r="24" spans="2:4" s="227" customFormat="1">
      <c r="B24" s="227" t="s">
        <v>1413</v>
      </c>
      <c r="C24" s="227" t="s">
        <v>1511</v>
      </c>
      <c r="D24" s="227" t="s">
        <v>36</v>
      </c>
    </row>
    <row r="25" spans="2:4" s="227" customFormat="1">
      <c r="B25" s="227" t="s">
        <v>1447</v>
      </c>
      <c r="C25" s="227" t="s">
        <v>81</v>
      </c>
      <c r="D25" s="227" t="s">
        <v>87</v>
      </c>
    </row>
    <row r="26" spans="2:4" s="227" customFormat="1">
      <c r="B26" s="227" t="s">
        <v>1401</v>
      </c>
      <c r="C26" s="227" t="s">
        <v>1513</v>
      </c>
      <c r="D26" s="227" t="s">
        <v>37</v>
      </c>
    </row>
    <row r="27" spans="2:4" s="227" customFormat="1">
      <c r="B27" s="227" t="s">
        <v>1430</v>
      </c>
      <c r="C27" s="227" t="s">
        <v>1513</v>
      </c>
      <c r="D27" s="227" t="s">
        <v>37</v>
      </c>
    </row>
    <row r="28" spans="2:4" s="227" customFormat="1">
      <c r="B28" s="227" t="s">
        <v>1450</v>
      </c>
      <c r="C28" s="227" t="s">
        <v>493</v>
      </c>
      <c r="D28" s="227" t="s">
        <v>63</v>
      </c>
    </row>
    <row r="29" spans="2:4" s="227" customFormat="1">
      <c r="B29" s="227" t="s">
        <v>1768</v>
      </c>
      <c r="C29" s="227" t="s">
        <v>1512</v>
      </c>
      <c r="D29" s="227" t="s">
        <v>37</v>
      </c>
    </row>
    <row r="30" spans="2:4" s="227" customFormat="1">
      <c r="B30" s="227" t="s">
        <v>1701</v>
      </c>
      <c r="C30" s="227" t="s">
        <v>1511</v>
      </c>
      <c r="D30" s="227" t="s">
        <v>36</v>
      </c>
    </row>
    <row r="31" spans="2:4" s="227" customFormat="1">
      <c r="B31" s="227" t="s">
        <v>1631</v>
      </c>
      <c r="C31" s="227" t="s">
        <v>490</v>
      </c>
      <c r="D31" s="227" t="s">
        <v>34</v>
      </c>
    </row>
    <row r="32" spans="2:4" s="227" customFormat="1">
      <c r="B32" s="227" t="s">
        <v>1759</v>
      </c>
      <c r="C32" s="227" t="s">
        <v>1510</v>
      </c>
      <c r="D32" s="227" t="s">
        <v>63</v>
      </c>
    </row>
    <row r="33" spans="2:4" s="227" customFormat="1">
      <c r="B33" s="227" t="s">
        <v>1679</v>
      </c>
      <c r="C33" s="227" t="s">
        <v>493</v>
      </c>
      <c r="D33" s="227" t="s">
        <v>63</v>
      </c>
    </row>
    <row r="34" spans="2:4" s="227" customFormat="1">
      <c r="B34" s="227" t="s">
        <v>1694</v>
      </c>
      <c r="C34" s="227" t="s">
        <v>1511</v>
      </c>
      <c r="D34" s="227" t="s">
        <v>36</v>
      </c>
    </row>
    <row r="35" spans="2:4" s="227" customFormat="1"/>
    <row r="36" spans="2:4" s="227" customFormat="1"/>
    <row r="37" spans="2:4" s="227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1769</v>
      </c>
    </row>
    <row r="2" spans="1:3">
      <c r="A2" s="145" t="s">
        <v>1770</v>
      </c>
      <c r="B2" s="145">
        <v>70</v>
      </c>
    </row>
    <row r="3" spans="1:3">
      <c r="A3" s="145" t="s">
        <v>1771</v>
      </c>
      <c r="B3" s="145">
        <v>55</v>
      </c>
    </row>
    <row r="4" spans="1:3">
      <c r="A4" s="145" t="s">
        <v>1772</v>
      </c>
      <c r="B4" s="145">
        <v>15</v>
      </c>
    </row>
    <row r="5" spans="1:3">
      <c r="A5" s="145" t="s">
        <v>1773</v>
      </c>
      <c r="B5" s="145" t="s">
        <v>1458</v>
      </c>
    </row>
    <row r="6" spans="1:3">
      <c r="A6" s="145" t="s">
        <v>1774</v>
      </c>
      <c r="B6" s="145" t="s">
        <v>1615</v>
      </c>
    </row>
    <row r="8" spans="1:3">
      <c r="A8" s="145" t="s">
        <v>1775</v>
      </c>
      <c r="B8" s="145" t="s">
        <v>1064</v>
      </c>
      <c r="C8" s="145" t="s">
        <v>1776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1349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1401</v>
      </c>
      <c r="B12" s="145">
        <v>6</v>
      </c>
      <c r="C12" s="170">
        <v>8.5714285714285715E-2</v>
      </c>
    </row>
    <row r="13" spans="1:3">
      <c r="A13" s="145" t="s">
        <v>1777</v>
      </c>
      <c r="B13" s="145">
        <v>5</v>
      </c>
      <c r="C13" s="170">
        <v>7.1428571428571425E-2</v>
      </c>
    </row>
    <row r="14" spans="1:3">
      <c r="A14" s="145" t="s">
        <v>1364</v>
      </c>
      <c r="B14" s="145">
        <v>4</v>
      </c>
      <c r="C14" s="170">
        <v>5.7142857142857141E-2</v>
      </c>
    </row>
    <row r="15" spans="1:3">
      <c r="A15" s="145" t="s">
        <v>1694</v>
      </c>
      <c r="B15" s="145">
        <v>3</v>
      </c>
      <c r="C15" s="170">
        <v>4.2857142857142858E-2</v>
      </c>
    </row>
    <row r="16" spans="1:3">
      <c r="A16" s="145" t="s">
        <v>1374</v>
      </c>
      <c r="B16" s="145">
        <v>3</v>
      </c>
      <c r="C16" s="170">
        <v>4.2857142857142858E-2</v>
      </c>
    </row>
    <row r="17" spans="1:3">
      <c r="A17" s="145" t="s">
        <v>1631</v>
      </c>
      <c r="B17" s="145">
        <v>2</v>
      </c>
      <c r="C17" s="170">
        <v>2.8571428571428571E-2</v>
      </c>
    </row>
    <row r="18" spans="1:3">
      <c r="A18" s="145" t="s">
        <v>1410</v>
      </c>
      <c r="B18" s="145">
        <v>2</v>
      </c>
      <c r="C18" s="170">
        <v>2.8571428571428571E-2</v>
      </c>
    </row>
    <row r="19" spans="1:3">
      <c r="A19" s="145" t="s">
        <v>1473</v>
      </c>
      <c r="B19" s="145">
        <v>2</v>
      </c>
      <c r="C19" s="170">
        <v>2.8571428571428571E-2</v>
      </c>
    </row>
    <row r="20" spans="1:3">
      <c r="A20" s="145" t="s">
        <v>1343</v>
      </c>
      <c r="B20" s="145">
        <v>1</v>
      </c>
      <c r="C20" s="170">
        <v>1.4285714285714285E-2</v>
      </c>
    </row>
    <row r="21" spans="1:3">
      <c r="A21" s="145" t="s">
        <v>1679</v>
      </c>
      <c r="B21" s="145">
        <v>1</v>
      </c>
      <c r="C21" s="170">
        <v>1.4285714285714285E-2</v>
      </c>
    </row>
    <row r="22" spans="1:3">
      <c r="A22" s="145" t="s">
        <v>1701</v>
      </c>
      <c r="B22" s="145">
        <v>1</v>
      </c>
      <c r="C22" s="170">
        <v>1.4285714285714285E-2</v>
      </c>
    </row>
    <row r="23" spans="1:3">
      <c r="A23" s="145" t="s">
        <v>1759</v>
      </c>
      <c r="B23" s="145">
        <v>1</v>
      </c>
      <c r="C23" s="170">
        <v>1.4285714285714285E-2</v>
      </c>
    </row>
    <row r="24" spans="1:3">
      <c r="A24" s="145" t="s">
        <v>1768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1778</v>
      </c>
      <c r="B27" s="145" t="s">
        <v>1064</v>
      </c>
      <c r="C27" s="145" t="s">
        <v>1776</v>
      </c>
    </row>
    <row r="28" spans="1:3">
      <c r="A28" s="145" t="s">
        <v>1616</v>
      </c>
      <c r="B28" s="145">
        <v>64</v>
      </c>
      <c r="C28" s="170">
        <v>0.91428571428571426</v>
      </c>
    </row>
    <row r="29" spans="1:3">
      <c r="A29" s="145" t="s">
        <v>1635</v>
      </c>
      <c r="B29" s="145">
        <v>5</v>
      </c>
      <c r="C29" s="170">
        <v>7.1428571428571425E-2</v>
      </c>
    </row>
    <row r="30" spans="1:3">
      <c r="A30" s="145" t="s">
        <v>1779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1780</v>
      </c>
      <c r="B33" s="145" t="s">
        <v>1064</v>
      </c>
      <c r="C33" s="145" t="s">
        <v>1776</v>
      </c>
    </row>
    <row r="34" spans="1:3">
      <c r="A34" s="145" t="s">
        <v>1617</v>
      </c>
      <c r="B34" s="145">
        <v>27</v>
      </c>
      <c r="C34" s="170">
        <v>0.49090909090909091</v>
      </c>
    </row>
    <row r="35" spans="1:3">
      <c r="A35" s="145" t="s">
        <v>1621</v>
      </c>
      <c r="B35" s="145">
        <v>22</v>
      </c>
      <c r="C35" s="170">
        <v>0.4</v>
      </c>
    </row>
    <row r="36" spans="1:3">
      <c r="A36" s="145" t="s">
        <v>1779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1781</v>
      </c>
      <c r="B39" s="145" t="s">
        <v>1064</v>
      </c>
      <c r="C39" s="145" t="s">
        <v>1776</v>
      </c>
    </row>
    <row r="40" spans="1:3">
      <c r="A40" s="145" t="s">
        <v>1627</v>
      </c>
      <c r="B40" s="145">
        <v>22</v>
      </c>
      <c r="C40" s="170">
        <v>0.4</v>
      </c>
    </row>
    <row r="41" spans="1:3">
      <c r="A41" s="145" t="s">
        <v>1622</v>
      </c>
      <c r="B41" s="145">
        <v>18</v>
      </c>
      <c r="C41" s="170">
        <v>0.32727272727272727</v>
      </c>
    </row>
    <row r="42" spans="1:3">
      <c r="A42" s="145" t="s">
        <v>1779</v>
      </c>
      <c r="B42" s="145">
        <v>7</v>
      </c>
      <c r="C42" s="170">
        <v>0.12727272727272726</v>
      </c>
    </row>
    <row r="43" spans="1:3">
      <c r="A43" s="145" t="s">
        <v>1637</v>
      </c>
      <c r="B43" s="145">
        <v>5</v>
      </c>
      <c r="C43" s="170">
        <v>9.0909090909090912E-2</v>
      </c>
    </row>
    <row r="44" spans="1:3">
      <c r="A44" s="145" t="s">
        <v>1618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1782</v>
      </c>
      <c r="B47" s="145" t="s">
        <v>1064</v>
      </c>
      <c r="C47" s="145" t="s">
        <v>1776</v>
      </c>
    </row>
    <row r="48" spans="1:3">
      <c r="A48" s="145" t="s">
        <v>1783</v>
      </c>
      <c r="B48" s="145">
        <v>34</v>
      </c>
      <c r="C48" s="170">
        <v>0.48571428571428571</v>
      </c>
    </row>
    <row r="49" spans="1:3">
      <c r="A49" s="145" t="s">
        <v>1779</v>
      </c>
      <c r="B49" s="145">
        <v>17</v>
      </c>
      <c r="C49" s="170">
        <v>0.24285714285714285</v>
      </c>
    </row>
    <row r="50" spans="1:3">
      <c r="A50" s="145" t="s">
        <v>1784</v>
      </c>
      <c r="B50" s="145">
        <v>9</v>
      </c>
      <c r="C50" s="170">
        <v>0.12857142857142856</v>
      </c>
    </row>
    <row r="51" spans="1:3">
      <c r="A51" s="145" t="s">
        <v>1785</v>
      </c>
      <c r="B51" s="145">
        <v>9</v>
      </c>
      <c r="C51" s="170">
        <v>0.12857142857142856</v>
      </c>
    </row>
    <row r="52" spans="1:3">
      <c r="A52" s="145" t="s">
        <v>1786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1787</v>
      </c>
      <c r="B55" s="145" t="s">
        <v>1788</v>
      </c>
      <c r="C55" s="145" t="s">
        <v>338</v>
      </c>
    </row>
    <row r="56" spans="1:3">
      <c r="A56" s="145" t="s">
        <v>1789</v>
      </c>
      <c r="B56" s="145">
        <v>38</v>
      </c>
      <c r="C56" s="145" t="s">
        <v>338</v>
      </c>
    </row>
    <row r="58" spans="1:3">
      <c r="A58" s="145" t="s">
        <v>1790</v>
      </c>
      <c r="B58" s="145" t="s">
        <v>1064</v>
      </c>
      <c r="C58" s="145" t="s">
        <v>1776</v>
      </c>
    </row>
    <row r="59" spans="1:3">
      <c r="A59" s="145" t="s">
        <v>1622</v>
      </c>
      <c r="B59" s="145">
        <v>13</v>
      </c>
      <c r="C59" s="170">
        <v>0.34210526315789475</v>
      </c>
    </row>
    <row r="60" spans="1:3">
      <c r="A60" s="145" t="s">
        <v>1627</v>
      </c>
      <c r="B60" s="145">
        <v>12</v>
      </c>
      <c r="C60" s="170">
        <v>0.31578947368421051</v>
      </c>
    </row>
    <row r="61" spans="1:3">
      <c r="A61" s="145" t="s">
        <v>1779</v>
      </c>
      <c r="B61" s="145">
        <v>6</v>
      </c>
      <c r="C61" s="170">
        <v>0.15789473684210525</v>
      </c>
    </row>
    <row r="62" spans="1:3">
      <c r="A62" s="145" t="s">
        <v>1637</v>
      </c>
      <c r="B62" s="145">
        <v>5</v>
      </c>
      <c r="C62" s="170">
        <v>0.13157894736842105</v>
      </c>
    </row>
    <row r="63" spans="1:3">
      <c r="A63" s="145" t="s">
        <v>1618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1791</v>
      </c>
    </row>
    <row r="67" spans="1:3">
      <c r="A67" s="145" t="s">
        <v>1792</v>
      </c>
    </row>
    <row r="69" spans="1:3">
      <c r="A69" s="145" t="s">
        <v>1793</v>
      </c>
      <c r="B69" s="145" t="s">
        <v>1064</v>
      </c>
      <c r="C69" s="145" t="s">
        <v>1776</v>
      </c>
    </row>
    <row r="70" spans="1:3">
      <c r="A70" s="145" t="s">
        <v>1624</v>
      </c>
      <c r="B70" s="145">
        <v>19</v>
      </c>
      <c r="C70" s="170">
        <v>0.27142857142857141</v>
      </c>
    </row>
    <row r="71" spans="1:3">
      <c r="A71" s="145" t="s">
        <v>1644</v>
      </c>
      <c r="B71" s="145">
        <v>17</v>
      </c>
      <c r="C71" s="170">
        <v>0.24285714285714285</v>
      </c>
    </row>
    <row r="72" spans="1:3">
      <c r="A72" s="145" t="s">
        <v>1619</v>
      </c>
      <c r="B72" s="145">
        <v>13</v>
      </c>
      <c r="C72" s="170">
        <v>0.18571428571428572</v>
      </c>
    </row>
    <row r="73" spans="1:3">
      <c r="A73" s="145" t="s">
        <v>1632</v>
      </c>
      <c r="B73" s="145">
        <v>10</v>
      </c>
      <c r="C73" s="170">
        <v>0.14285714285714285</v>
      </c>
    </row>
    <row r="74" spans="1:3">
      <c r="A74" s="145" t="s">
        <v>1655</v>
      </c>
      <c r="B74" s="145">
        <v>8</v>
      </c>
      <c r="C74" s="170">
        <v>0.11428571428571428</v>
      </c>
    </row>
    <row r="75" spans="1:3">
      <c r="A75" s="145" t="s">
        <v>1794</v>
      </c>
      <c r="B75" s="145">
        <v>1</v>
      </c>
      <c r="C75" s="170">
        <v>1.4285714285714285E-2</v>
      </c>
    </row>
    <row r="76" spans="1:3">
      <c r="A76" s="145" t="s">
        <v>1712</v>
      </c>
      <c r="B76" s="145">
        <v>1</v>
      </c>
      <c r="C76" s="170">
        <v>1.4285714285714285E-2</v>
      </c>
    </row>
    <row r="77" spans="1:3">
      <c r="A77" s="145" t="s">
        <v>1748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1795</v>
      </c>
      <c r="B80" s="145" t="s">
        <v>338</v>
      </c>
      <c r="C80" s="145" t="s">
        <v>338</v>
      </c>
    </row>
    <row r="81" spans="1:3">
      <c r="A81" s="145" t="s">
        <v>1796</v>
      </c>
      <c r="B81" s="145">
        <v>38</v>
      </c>
      <c r="C81" s="145" t="s">
        <v>338</v>
      </c>
    </row>
    <row r="82" spans="1:3">
      <c r="A82" s="145" t="s">
        <v>1797</v>
      </c>
      <c r="B82" s="145">
        <v>-1</v>
      </c>
      <c r="C82" s="145" t="s">
        <v>338</v>
      </c>
    </row>
    <row r="83" spans="1:3">
      <c r="A83" s="145" t="s">
        <v>1798</v>
      </c>
      <c r="B83" s="145">
        <v>0</v>
      </c>
      <c r="C83" s="145" t="s">
        <v>338</v>
      </c>
    </row>
    <row r="84" spans="1:3">
      <c r="A84" s="145" t="s">
        <v>1799</v>
      </c>
      <c r="B84" s="145">
        <v>37</v>
      </c>
      <c r="C84" s="145" t="s">
        <v>338</v>
      </c>
    </row>
    <row r="86" spans="1:3">
      <c r="A86" s="145" t="s">
        <v>1800</v>
      </c>
      <c r="B86" s="145" t="s">
        <v>338</v>
      </c>
      <c r="C86" s="145" t="s">
        <v>338</v>
      </c>
    </row>
    <row r="87" spans="1:3">
      <c r="A87" s="145" t="s">
        <v>1331</v>
      </c>
      <c r="B87" s="145" t="s">
        <v>1607</v>
      </c>
      <c r="C87" s="145" t="s">
        <v>1059</v>
      </c>
    </row>
    <row r="88" spans="1:3">
      <c r="A88" s="145" t="s">
        <v>1757</v>
      </c>
      <c r="B88" s="145" t="s">
        <v>1759</v>
      </c>
      <c r="C88" s="170">
        <v>130000</v>
      </c>
    </row>
    <row r="89" spans="1:3">
      <c r="A89" s="145" t="s">
        <v>1707</v>
      </c>
      <c r="B89" s="145" t="s">
        <v>1364</v>
      </c>
      <c r="C89" s="170">
        <v>115000</v>
      </c>
    </row>
    <row r="90" spans="1:3">
      <c r="A90" s="145" t="s">
        <v>1746</v>
      </c>
      <c r="B90" s="145" t="s">
        <v>1364</v>
      </c>
      <c r="C90" s="170">
        <v>108000</v>
      </c>
    </row>
    <row r="91" spans="1:3">
      <c r="A91" s="145" t="s">
        <v>1801</v>
      </c>
      <c r="B91" s="145" t="s">
        <v>1364</v>
      </c>
      <c r="C91" s="170">
        <v>100000</v>
      </c>
    </row>
    <row r="92" spans="1:3">
      <c r="A92" s="145" t="s">
        <v>638</v>
      </c>
      <c r="B92" s="145" t="s">
        <v>1364</v>
      </c>
      <c r="C92" s="170">
        <v>88000</v>
      </c>
    </row>
    <row r="94" spans="1:3">
      <c r="A94" s="145" t="s">
        <v>1331</v>
      </c>
      <c r="B94" s="145" t="s">
        <v>1606</v>
      </c>
      <c r="C94" s="145" t="s">
        <v>1802</v>
      </c>
    </row>
    <row r="95" spans="1:3">
      <c r="A95" s="145" t="s">
        <v>1757</v>
      </c>
      <c r="B95" s="145">
        <v>264</v>
      </c>
      <c r="C95" s="145" t="s">
        <v>1624</v>
      </c>
    </row>
    <row r="96" spans="1:3">
      <c r="A96" s="145" t="s">
        <v>1707</v>
      </c>
      <c r="B96" s="145">
        <v>267</v>
      </c>
      <c r="C96" s="145" t="s">
        <v>1624</v>
      </c>
    </row>
    <row r="97" spans="1:3">
      <c r="A97" s="145" t="s">
        <v>1746</v>
      </c>
      <c r="B97" s="145">
        <v>12</v>
      </c>
      <c r="C97" s="145" t="s">
        <v>1748</v>
      </c>
    </row>
    <row r="98" spans="1:3">
      <c r="A98" s="145" t="s">
        <v>1801</v>
      </c>
      <c r="B98" s="145">
        <v>0</v>
      </c>
      <c r="C98" s="145" t="s">
        <v>1794</v>
      </c>
    </row>
    <row r="99" spans="1:3">
      <c r="A99" s="145" t="s">
        <v>638</v>
      </c>
      <c r="B99" s="145">
        <v>1337</v>
      </c>
      <c r="C99" s="145" t="s">
        <v>1632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1331</v>
      </c>
      <c r="B1" t="s">
        <v>1332</v>
      </c>
      <c r="C1" t="s">
        <v>1506</v>
      </c>
      <c r="D1" t="s">
        <v>1333</v>
      </c>
      <c r="E1" t="s">
        <v>1509</v>
      </c>
      <c r="F1" t="s">
        <v>1518</v>
      </c>
      <c r="G1" t="s">
        <v>1334</v>
      </c>
      <c r="H1" t="s">
        <v>116</v>
      </c>
      <c r="I1" t="s">
        <v>1335</v>
      </c>
      <c r="J1" t="s">
        <v>1336</v>
      </c>
      <c r="K1" t="s">
        <v>1337</v>
      </c>
      <c r="L1" t="s">
        <v>1338</v>
      </c>
      <c r="M1" t="s">
        <v>1339</v>
      </c>
      <c r="N1" t="s">
        <v>1340</v>
      </c>
      <c r="O1" t="s">
        <v>1249</v>
      </c>
      <c r="P1" t="s">
        <v>1556</v>
      </c>
    </row>
    <row r="2" spans="1:16">
      <c r="A2" t="s">
        <v>1431</v>
      </c>
      <c r="B2" t="s">
        <v>1432</v>
      </c>
      <c r="C2" t="s">
        <v>497</v>
      </c>
      <c r="D2" t="s">
        <v>1349</v>
      </c>
      <c r="E2" t="s">
        <v>490</v>
      </c>
      <c r="F2" t="s">
        <v>34</v>
      </c>
      <c r="G2" t="s">
        <v>1344</v>
      </c>
      <c r="H2" t="s">
        <v>731</v>
      </c>
      <c r="I2" t="s">
        <v>1392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1359</v>
      </c>
      <c r="B3" t="s">
        <v>1496</v>
      </c>
      <c r="C3" t="s">
        <v>497</v>
      </c>
      <c r="D3" t="s">
        <v>491</v>
      </c>
      <c r="E3" t="s">
        <v>491</v>
      </c>
      <c r="F3" t="s">
        <v>35</v>
      </c>
      <c r="G3" t="s">
        <v>1344</v>
      </c>
      <c r="H3" t="s">
        <v>731</v>
      </c>
      <c r="I3" t="s">
        <v>1379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1387</v>
      </c>
      <c r="C4" t="s">
        <v>497</v>
      </c>
      <c r="D4" t="s">
        <v>1349</v>
      </c>
      <c r="E4" t="s">
        <v>490</v>
      </c>
      <c r="F4" t="s">
        <v>34</v>
      </c>
      <c r="G4" t="s">
        <v>1344</v>
      </c>
      <c r="H4" t="s">
        <v>731</v>
      </c>
      <c r="I4" t="s">
        <v>1388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1433</v>
      </c>
      <c r="C5" t="s">
        <v>497</v>
      </c>
      <c r="D5" t="s">
        <v>1410</v>
      </c>
      <c r="E5" t="s">
        <v>490</v>
      </c>
      <c r="F5" t="s">
        <v>34</v>
      </c>
      <c r="G5" t="s">
        <v>1344</v>
      </c>
      <c r="H5" t="s">
        <v>731</v>
      </c>
      <c r="I5" t="s">
        <v>1359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1377</v>
      </c>
      <c r="B6" t="s">
        <v>1378</v>
      </c>
      <c r="C6" t="s">
        <v>497</v>
      </c>
      <c r="D6" t="s">
        <v>491</v>
      </c>
      <c r="E6" t="s">
        <v>491</v>
      </c>
      <c r="F6" t="s">
        <v>35</v>
      </c>
      <c r="G6" t="s">
        <v>1344</v>
      </c>
      <c r="H6" t="s">
        <v>731</v>
      </c>
      <c r="I6" t="s">
        <v>1379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1395</v>
      </c>
      <c r="B7" t="s">
        <v>1396</v>
      </c>
      <c r="C7" t="s">
        <v>497</v>
      </c>
      <c r="D7" t="s">
        <v>1349</v>
      </c>
      <c r="E7" t="s">
        <v>490</v>
      </c>
      <c r="F7" t="s">
        <v>34</v>
      </c>
      <c r="G7" t="s">
        <v>1344</v>
      </c>
      <c r="H7" t="s">
        <v>731</v>
      </c>
      <c r="I7" t="s">
        <v>1381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1486</v>
      </c>
      <c r="B8" t="s">
        <v>1487</v>
      </c>
      <c r="C8" t="s">
        <v>497</v>
      </c>
      <c r="D8" t="s">
        <v>1480</v>
      </c>
      <c r="E8" t="s">
        <v>491</v>
      </c>
      <c r="F8" t="s">
        <v>38</v>
      </c>
      <c r="G8" t="s">
        <v>1344</v>
      </c>
      <c r="H8" t="s">
        <v>731</v>
      </c>
      <c r="I8" t="s">
        <v>1379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1460</v>
      </c>
      <c r="C9" t="s">
        <v>497</v>
      </c>
      <c r="D9" t="s">
        <v>491</v>
      </c>
      <c r="E9" t="s">
        <v>491</v>
      </c>
      <c r="F9" t="s">
        <v>35</v>
      </c>
      <c r="G9" t="s">
        <v>1344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1367</v>
      </c>
      <c r="B10" t="s">
        <v>1502</v>
      </c>
      <c r="C10" t="s">
        <v>497</v>
      </c>
      <c r="D10" t="s">
        <v>1503</v>
      </c>
      <c r="E10" t="s">
        <v>1503</v>
      </c>
      <c r="F10" t="s">
        <v>80</v>
      </c>
      <c r="G10" t="s">
        <v>1365</v>
      </c>
      <c r="H10" t="s">
        <v>1366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1557</v>
      </c>
    </row>
    <row r="11" spans="1:16">
      <c r="A11" t="s">
        <v>608</v>
      </c>
      <c r="B11" t="s">
        <v>1474</v>
      </c>
      <c r="C11" t="s">
        <v>497</v>
      </c>
      <c r="D11" t="s">
        <v>1349</v>
      </c>
      <c r="E11" t="s">
        <v>490</v>
      </c>
      <c r="F11" t="s">
        <v>34</v>
      </c>
      <c r="G11" t="s">
        <v>1344</v>
      </c>
      <c r="H11" t="s">
        <v>731</v>
      </c>
      <c r="I11" t="s">
        <v>1381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1353</v>
      </c>
      <c r="B12" t="s">
        <v>1399</v>
      </c>
      <c r="C12" t="s">
        <v>497</v>
      </c>
      <c r="D12" t="s">
        <v>491</v>
      </c>
      <c r="E12" t="s">
        <v>491</v>
      </c>
      <c r="F12" t="s">
        <v>35</v>
      </c>
      <c r="G12" t="s">
        <v>1344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1406</v>
      </c>
      <c r="B13" t="s">
        <v>1407</v>
      </c>
      <c r="C13" t="s">
        <v>497</v>
      </c>
      <c r="D13" t="s">
        <v>1408</v>
      </c>
      <c r="E13" t="s">
        <v>1511</v>
      </c>
      <c r="F13" t="s">
        <v>36</v>
      </c>
      <c r="G13" t="s">
        <v>1344</v>
      </c>
      <c r="H13" t="s">
        <v>731</v>
      </c>
      <c r="I13" t="s">
        <v>1345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1558</v>
      </c>
    </row>
    <row r="14" spans="1:16">
      <c r="A14" t="s">
        <v>521</v>
      </c>
      <c r="B14" t="s">
        <v>1495</v>
      </c>
      <c r="C14" t="s">
        <v>497</v>
      </c>
      <c r="D14" t="s">
        <v>1410</v>
      </c>
      <c r="E14" t="s">
        <v>490</v>
      </c>
      <c r="F14" t="s">
        <v>34</v>
      </c>
      <c r="G14" t="s">
        <v>1344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1490</v>
      </c>
      <c r="C15" t="s">
        <v>497</v>
      </c>
      <c r="D15" t="s">
        <v>1349</v>
      </c>
      <c r="E15" t="s">
        <v>490</v>
      </c>
      <c r="F15" t="s">
        <v>34</v>
      </c>
      <c r="G15" t="s">
        <v>1344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1393</v>
      </c>
      <c r="C16" t="s">
        <v>505</v>
      </c>
      <c r="D16" t="s">
        <v>491</v>
      </c>
      <c r="E16" t="s">
        <v>491</v>
      </c>
      <c r="F16" t="s">
        <v>35</v>
      </c>
      <c r="G16" t="s">
        <v>1344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1394</v>
      </c>
      <c r="P16" t="s">
        <v>338</v>
      </c>
    </row>
    <row r="17" spans="1:16">
      <c r="A17" t="s">
        <v>1456</v>
      </c>
      <c r="B17" t="s">
        <v>1493</v>
      </c>
      <c r="C17" t="s">
        <v>497</v>
      </c>
      <c r="D17" t="s">
        <v>1494</v>
      </c>
      <c r="E17" t="s">
        <v>1510</v>
      </c>
      <c r="F17" t="s">
        <v>63</v>
      </c>
      <c r="G17" t="s">
        <v>1344</v>
      </c>
      <c r="H17" t="s">
        <v>731</v>
      </c>
      <c r="I17" t="s">
        <v>1367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1461</v>
      </c>
      <c r="B18" t="s">
        <v>1462</v>
      </c>
      <c r="C18" t="s">
        <v>497</v>
      </c>
      <c r="D18" t="s">
        <v>1370</v>
      </c>
      <c r="E18" t="s">
        <v>493</v>
      </c>
      <c r="F18" t="s">
        <v>63</v>
      </c>
      <c r="G18" t="s">
        <v>1344</v>
      </c>
      <c r="H18" t="s">
        <v>731</v>
      </c>
      <c r="I18" t="s">
        <v>1371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1465</v>
      </c>
      <c r="B19" t="s">
        <v>1466</v>
      </c>
      <c r="C19" t="s">
        <v>497</v>
      </c>
      <c r="D19" t="s">
        <v>1467</v>
      </c>
      <c r="E19" t="s">
        <v>493</v>
      </c>
      <c r="F19" t="s">
        <v>63</v>
      </c>
      <c r="G19" t="s">
        <v>1344</v>
      </c>
      <c r="H19" t="s">
        <v>731</v>
      </c>
      <c r="I19" t="s">
        <v>1456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1347</v>
      </c>
      <c r="B20" t="s">
        <v>1348</v>
      </c>
      <c r="C20" t="s">
        <v>497</v>
      </c>
      <c r="D20" t="s">
        <v>1349</v>
      </c>
      <c r="E20" t="s">
        <v>490</v>
      </c>
      <c r="F20" t="s">
        <v>34</v>
      </c>
      <c r="G20" t="s">
        <v>1344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1350</v>
      </c>
      <c r="P20" t="s">
        <v>338</v>
      </c>
    </row>
    <row r="21" spans="1:16">
      <c r="A21" t="s">
        <v>1470</v>
      </c>
      <c r="B21" t="s">
        <v>1471</v>
      </c>
      <c r="C21" t="s">
        <v>497</v>
      </c>
      <c r="D21" t="s">
        <v>1370</v>
      </c>
      <c r="E21" t="s">
        <v>493</v>
      </c>
      <c r="F21" t="s">
        <v>63</v>
      </c>
      <c r="G21" t="s">
        <v>1344</v>
      </c>
      <c r="H21" t="s">
        <v>731</v>
      </c>
      <c r="I21" t="s">
        <v>1371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1360</v>
      </c>
      <c r="C22" t="s">
        <v>497</v>
      </c>
      <c r="D22" t="s">
        <v>490</v>
      </c>
      <c r="E22" t="s">
        <v>490</v>
      </c>
      <c r="F22" t="s">
        <v>34</v>
      </c>
      <c r="G22" t="s">
        <v>1344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1477</v>
      </c>
      <c r="B23" t="s">
        <v>1478</v>
      </c>
      <c r="C23" t="s">
        <v>497</v>
      </c>
      <c r="D23" t="s">
        <v>1349</v>
      </c>
      <c r="E23" t="s">
        <v>490</v>
      </c>
      <c r="F23" t="s">
        <v>34</v>
      </c>
      <c r="G23" t="s">
        <v>1344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1383</v>
      </c>
      <c r="C24" t="s">
        <v>497</v>
      </c>
      <c r="D24" t="s">
        <v>1349</v>
      </c>
      <c r="E24" t="s">
        <v>490</v>
      </c>
      <c r="F24" t="s">
        <v>34</v>
      </c>
      <c r="G24" t="s">
        <v>1344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1414</v>
      </c>
      <c r="B25" t="s">
        <v>1415</v>
      </c>
      <c r="C25" t="s">
        <v>497</v>
      </c>
      <c r="D25" t="s">
        <v>1416</v>
      </c>
      <c r="E25" t="s">
        <v>81</v>
      </c>
      <c r="F25" t="s">
        <v>87</v>
      </c>
      <c r="G25" t="s">
        <v>1417</v>
      </c>
      <c r="H25" t="s">
        <v>731</v>
      </c>
      <c r="I25" t="s">
        <v>1367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1559</v>
      </c>
    </row>
    <row r="26" spans="1:16">
      <c r="A26" t="s">
        <v>550</v>
      </c>
      <c r="B26" t="s">
        <v>1407</v>
      </c>
      <c r="C26" t="s">
        <v>497</v>
      </c>
      <c r="D26" t="s">
        <v>491</v>
      </c>
      <c r="E26" t="s">
        <v>491</v>
      </c>
      <c r="F26" t="s">
        <v>35</v>
      </c>
      <c r="G26" t="s">
        <v>1344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1452</v>
      </c>
      <c r="C27" t="s">
        <v>497</v>
      </c>
      <c r="D27" t="s">
        <v>1349</v>
      </c>
      <c r="E27" t="s">
        <v>490</v>
      </c>
      <c r="F27" t="s">
        <v>34</v>
      </c>
      <c r="G27" t="s">
        <v>1344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1361</v>
      </c>
      <c r="C28" t="s">
        <v>497</v>
      </c>
      <c r="D28" t="s">
        <v>491</v>
      </c>
      <c r="E28" t="s">
        <v>491</v>
      </c>
      <c r="F28" t="s">
        <v>35</v>
      </c>
      <c r="G28" t="s">
        <v>1344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1418</v>
      </c>
      <c r="B29" t="s">
        <v>1419</v>
      </c>
      <c r="C29" t="s">
        <v>497</v>
      </c>
      <c r="D29" t="s">
        <v>1349</v>
      </c>
      <c r="E29" t="s">
        <v>490</v>
      </c>
      <c r="F29" t="s">
        <v>34</v>
      </c>
      <c r="G29" t="s">
        <v>1344</v>
      </c>
      <c r="H29" t="s">
        <v>731</v>
      </c>
      <c r="I29" t="s">
        <v>1392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1357</v>
      </c>
      <c r="B30" t="s">
        <v>1358</v>
      </c>
      <c r="C30" t="s">
        <v>497</v>
      </c>
      <c r="D30" t="s">
        <v>1349</v>
      </c>
      <c r="E30" t="s">
        <v>490</v>
      </c>
      <c r="F30" t="s">
        <v>34</v>
      </c>
      <c r="G30" t="s">
        <v>1344</v>
      </c>
      <c r="H30" t="s">
        <v>731</v>
      </c>
      <c r="I30" t="s">
        <v>1359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1402</v>
      </c>
      <c r="C31" t="s">
        <v>497</v>
      </c>
      <c r="D31" t="s">
        <v>1364</v>
      </c>
      <c r="E31" t="s">
        <v>1364</v>
      </c>
      <c r="F31" t="s">
        <v>63</v>
      </c>
      <c r="G31" t="s">
        <v>1365</v>
      </c>
      <c r="H31" t="s">
        <v>1366</v>
      </c>
      <c r="I31" t="s">
        <v>1367</v>
      </c>
      <c r="J31">
        <v>120000</v>
      </c>
      <c r="K31" t="s">
        <v>1368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1451</v>
      </c>
      <c r="C32" t="s">
        <v>497</v>
      </c>
      <c r="D32" t="s">
        <v>1349</v>
      </c>
      <c r="E32" t="s">
        <v>490</v>
      </c>
      <c r="F32" t="s">
        <v>34</v>
      </c>
      <c r="G32" t="s">
        <v>1344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1491</v>
      </c>
      <c r="B33" t="s">
        <v>1492</v>
      </c>
      <c r="C33" t="s">
        <v>497</v>
      </c>
      <c r="D33" t="s">
        <v>1473</v>
      </c>
      <c r="E33" t="s">
        <v>1512</v>
      </c>
      <c r="F33" t="s">
        <v>37</v>
      </c>
      <c r="G33" t="s">
        <v>1344</v>
      </c>
      <c r="H33" t="s">
        <v>731</v>
      </c>
      <c r="I33" t="s">
        <v>1367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1371</v>
      </c>
      <c r="B34" t="s">
        <v>1500</v>
      </c>
      <c r="C34" t="s">
        <v>497</v>
      </c>
      <c r="D34" t="s">
        <v>1501</v>
      </c>
      <c r="E34" t="s">
        <v>1510</v>
      </c>
      <c r="F34" t="s">
        <v>63</v>
      </c>
      <c r="G34" t="s">
        <v>1344</v>
      </c>
      <c r="H34" t="s">
        <v>731</v>
      </c>
      <c r="I34" t="s">
        <v>1367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1479</v>
      </c>
      <c r="C35" t="s">
        <v>497</v>
      </c>
      <c r="D35" t="s">
        <v>1480</v>
      </c>
      <c r="E35" t="s">
        <v>491</v>
      </c>
      <c r="F35" t="s">
        <v>38</v>
      </c>
      <c r="G35" t="s">
        <v>1344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1422</v>
      </c>
      <c r="B36" t="s">
        <v>1423</v>
      </c>
      <c r="C36" t="s">
        <v>497</v>
      </c>
      <c r="D36" t="s">
        <v>1349</v>
      </c>
      <c r="E36" t="s">
        <v>490</v>
      </c>
      <c r="F36" t="s">
        <v>34</v>
      </c>
      <c r="G36" t="s">
        <v>1344</v>
      </c>
      <c r="H36" t="s">
        <v>731</v>
      </c>
      <c r="I36" t="s">
        <v>1359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1497</v>
      </c>
      <c r="B37" t="s">
        <v>1498</v>
      </c>
      <c r="C37" t="s">
        <v>497</v>
      </c>
      <c r="D37" t="s">
        <v>1499</v>
      </c>
      <c r="E37" t="s">
        <v>1510</v>
      </c>
      <c r="F37" t="s">
        <v>63</v>
      </c>
      <c r="G37" t="s">
        <v>1344</v>
      </c>
      <c r="H37" t="s">
        <v>731</v>
      </c>
      <c r="I37" t="s">
        <v>1367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1434</v>
      </c>
      <c r="C38" t="s">
        <v>497</v>
      </c>
      <c r="D38" t="s">
        <v>1349</v>
      </c>
      <c r="E38" t="s">
        <v>490</v>
      </c>
      <c r="F38" t="s">
        <v>34</v>
      </c>
      <c r="G38" t="s">
        <v>1344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1397</v>
      </c>
      <c r="B39" t="s">
        <v>1398</v>
      </c>
      <c r="C39" t="s">
        <v>497</v>
      </c>
      <c r="D39" t="s">
        <v>1343</v>
      </c>
      <c r="E39" t="s">
        <v>1511</v>
      </c>
      <c r="F39" t="s">
        <v>36</v>
      </c>
      <c r="G39" t="s">
        <v>1344</v>
      </c>
      <c r="H39" t="s">
        <v>731</v>
      </c>
      <c r="I39" t="s">
        <v>1345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1560</v>
      </c>
    </row>
    <row r="40" spans="1:16">
      <c r="A40" t="s">
        <v>1376</v>
      </c>
      <c r="B40" t="s">
        <v>1479</v>
      </c>
      <c r="C40" t="s">
        <v>497</v>
      </c>
      <c r="D40" t="s">
        <v>1374</v>
      </c>
      <c r="E40" t="s">
        <v>1512</v>
      </c>
      <c r="F40" t="s">
        <v>37</v>
      </c>
      <c r="G40" t="s">
        <v>1375</v>
      </c>
      <c r="H40" t="s">
        <v>731</v>
      </c>
      <c r="I40" t="s">
        <v>1367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1439</v>
      </c>
      <c r="B41" t="s">
        <v>1440</v>
      </c>
      <c r="C41" t="s">
        <v>497</v>
      </c>
      <c r="D41" t="s">
        <v>1349</v>
      </c>
      <c r="E41" t="s">
        <v>490</v>
      </c>
      <c r="F41" t="s">
        <v>34</v>
      </c>
      <c r="G41" t="s">
        <v>1344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1415</v>
      </c>
      <c r="C42" t="s">
        <v>497</v>
      </c>
      <c r="D42" t="s">
        <v>1349</v>
      </c>
      <c r="E42" t="s">
        <v>490</v>
      </c>
      <c r="F42" t="s">
        <v>34</v>
      </c>
      <c r="G42" t="s">
        <v>1344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1437</v>
      </c>
      <c r="B43" t="s">
        <v>1438</v>
      </c>
      <c r="C43" t="s">
        <v>497</v>
      </c>
      <c r="D43" t="s">
        <v>1349</v>
      </c>
      <c r="E43" t="s">
        <v>490</v>
      </c>
      <c r="F43" t="s">
        <v>34</v>
      </c>
      <c r="G43" t="s">
        <v>1344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1441</v>
      </c>
      <c r="B44" t="s">
        <v>1442</v>
      </c>
      <c r="C44" t="s">
        <v>497</v>
      </c>
      <c r="D44" t="s">
        <v>1349</v>
      </c>
      <c r="E44" t="s">
        <v>490</v>
      </c>
      <c r="F44" t="s">
        <v>34</v>
      </c>
      <c r="G44" t="s">
        <v>1344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1483</v>
      </c>
      <c r="B45" t="s">
        <v>1484</v>
      </c>
      <c r="C45" t="s">
        <v>497</v>
      </c>
      <c r="D45" t="s">
        <v>1485</v>
      </c>
      <c r="E45" t="s">
        <v>493</v>
      </c>
      <c r="F45" t="s">
        <v>63</v>
      </c>
      <c r="G45" t="s">
        <v>1344</v>
      </c>
      <c r="H45" t="s">
        <v>731</v>
      </c>
      <c r="I45" t="s">
        <v>1371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1379</v>
      </c>
      <c r="B46" t="s">
        <v>1402</v>
      </c>
      <c r="C46" t="s">
        <v>497</v>
      </c>
      <c r="D46" t="s">
        <v>1364</v>
      </c>
      <c r="E46" t="s">
        <v>1364</v>
      </c>
      <c r="F46" t="s">
        <v>63</v>
      </c>
      <c r="G46" t="s">
        <v>1365</v>
      </c>
      <c r="H46" t="s">
        <v>1366</v>
      </c>
      <c r="I46" t="s">
        <v>1367</v>
      </c>
      <c r="J46">
        <v>120000</v>
      </c>
      <c r="K46" t="s">
        <v>1368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1463</v>
      </c>
      <c r="C47" t="s">
        <v>497</v>
      </c>
      <c r="D47" t="s">
        <v>491</v>
      </c>
      <c r="E47" t="s">
        <v>491</v>
      </c>
      <c r="F47" t="s">
        <v>35</v>
      </c>
      <c r="G47" t="s">
        <v>1344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1478</v>
      </c>
      <c r="C48" t="s">
        <v>497</v>
      </c>
      <c r="D48" t="s">
        <v>491</v>
      </c>
      <c r="E48" t="s">
        <v>491</v>
      </c>
      <c r="F48" t="s">
        <v>35</v>
      </c>
      <c r="G48" t="s">
        <v>1344</v>
      </c>
      <c r="H48" t="s">
        <v>731</v>
      </c>
      <c r="I48" t="s">
        <v>1379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1490</v>
      </c>
      <c r="C49" t="s">
        <v>497</v>
      </c>
      <c r="D49" t="s">
        <v>1410</v>
      </c>
      <c r="E49" t="s">
        <v>490</v>
      </c>
      <c r="F49" t="s">
        <v>34</v>
      </c>
      <c r="G49" t="s">
        <v>1344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1369</v>
      </c>
      <c r="C50" t="s">
        <v>497</v>
      </c>
      <c r="D50" t="s">
        <v>1370</v>
      </c>
      <c r="E50" t="s">
        <v>493</v>
      </c>
      <c r="F50" t="s">
        <v>63</v>
      </c>
      <c r="G50" t="s">
        <v>1344</v>
      </c>
      <c r="H50" t="s">
        <v>731</v>
      </c>
      <c r="I50" t="s">
        <v>1371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1345</v>
      </c>
      <c r="B51" t="s">
        <v>1412</v>
      </c>
      <c r="C51" t="s">
        <v>497</v>
      </c>
      <c r="D51" t="s">
        <v>1413</v>
      </c>
      <c r="E51" t="s">
        <v>1511</v>
      </c>
      <c r="F51" t="s">
        <v>36</v>
      </c>
      <c r="G51" t="s">
        <v>1344</v>
      </c>
      <c r="H51" t="s">
        <v>731</v>
      </c>
      <c r="I51" t="s">
        <v>1362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1558</v>
      </c>
    </row>
    <row r="52" spans="1:16">
      <c r="A52" t="s">
        <v>1425</v>
      </c>
      <c r="B52" t="s">
        <v>1459</v>
      </c>
      <c r="C52" t="s">
        <v>497</v>
      </c>
      <c r="D52" t="s">
        <v>491</v>
      </c>
      <c r="E52" t="s">
        <v>491</v>
      </c>
      <c r="F52" t="s">
        <v>35</v>
      </c>
      <c r="G52" t="s">
        <v>1344</v>
      </c>
      <c r="H52" t="s">
        <v>731</v>
      </c>
      <c r="I52" t="s">
        <v>1379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1392</v>
      </c>
      <c r="B53" t="s">
        <v>1481</v>
      </c>
      <c r="C53" t="s">
        <v>497</v>
      </c>
      <c r="D53" t="s">
        <v>491</v>
      </c>
      <c r="E53" t="s">
        <v>491</v>
      </c>
      <c r="F53" t="s">
        <v>35</v>
      </c>
      <c r="G53" t="s">
        <v>1344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1391</v>
      </c>
      <c r="C54" t="s">
        <v>497</v>
      </c>
      <c r="D54" t="s">
        <v>1349</v>
      </c>
      <c r="E54" t="s">
        <v>490</v>
      </c>
      <c r="F54" t="s">
        <v>34</v>
      </c>
      <c r="G54" t="s">
        <v>1344</v>
      </c>
      <c r="H54" t="s">
        <v>731</v>
      </c>
      <c r="I54" t="s">
        <v>1392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1385</v>
      </c>
      <c r="B55" t="s">
        <v>1472</v>
      </c>
      <c r="C55" t="s">
        <v>497</v>
      </c>
      <c r="D55" t="s">
        <v>1473</v>
      </c>
      <c r="E55" t="s">
        <v>1512</v>
      </c>
      <c r="F55" t="s">
        <v>37</v>
      </c>
      <c r="G55" t="s">
        <v>1344</v>
      </c>
      <c r="H55" t="s">
        <v>731</v>
      </c>
      <c r="I55" t="s">
        <v>1367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1386</v>
      </c>
      <c r="C56" t="s">
        <v>497</v>
      </c>
      <c r="D56" t="s">
        <v>1349</v>
      </c>
      <c r="E56" t="s">
        <v>490</v>
      </c>
      <c r="F56" t="s">
        <v>34</v>
      </c>
      <c r="G56" t="s">
        <v>1344</v>
      </c>
      <c r="H56" t="s">
        <v>731</v>
      </c>
      <c r="I56" t="s">
        <v>1353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1420</v>
      </c>
      <c r="C57" t="s">
        <v>497</v>
      </c>
      <c r="D57" t="s">
        <v>1349</v>
      </c>
      <c r="E57" t="s">
        <v>490</v>
      </c>
      <c r="F57" t="s">
        <v>34</v>
      </c>
      <c r="G57" t="s">
        <v>1344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1351</v>
      </c>
      <c r="B58" t="s">
        <v>1352</v>
      </c>
      <c r="C58" t="s">
        <v>497</v>
      </c>
      <c r="D58" t="s">
        <v>1349</v>
      </c>
      <c r="E58" t="s">
        <v>490</v>
      </c>
      <c r="F58" t="s">
        <v>34</v>
      </c>
      <c r="G58" t="s">
        <v>1344</v>
      </c>
      <c r="H58" t="s">
        <v>731</v>
      </c>
      <c r="I58" t="s">
        <v>1353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1350</v>
      </c>
      <c r="P58" t="s">
        <v>338</v>
      </c>
    </row>
    <row r="59" spans="1:16">
      <c r="A59" t="s">
        <v>510</v>
      </c>
      <c r="B59" t="s">
        <v>1426</v>
      </c>
      <c r="C59" t="s">
        <v>497</v>
      </c>
      <c r="D59" t="s">
        <v>1364</v>
      </c>
      <c r="E59" t="s">
        <v>1364</v>
      </c>
      <c r="F59" t="s">
        <v>63</v>
      </c>
      <c r="G59" t="s">
        <v>1365</v>
      </c>
      <c r="H59" t="s">
        <v>1366</v>
      </c>
      <c r="I59" t="s">
        <v>1367</v>
      </c>
      <c r="J59">
        <v>115000</v>
      </c>
      <c r="K59" t="s">
        <v>1368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1488</v>
      </c>
      <c r="B60" t="s">
        <v>1489</v>
      </c>
      <c r="C60" t="s">
        <v>497</v>
      </c>
      <c r="D60" t="s">
        <v>1349</v>
      </c>
      <c r="E60" t="s">
        <v>490</v>
      </c>
      <c r="F60" t="s">
        <v>63</v>
      </c>
      <c r="G60" t="s">
        <v>1344</v>
      </c>
      <c r="H60" t="s">
        <v>731</v>
      </c>
      <c r="I60" t="s">
        <v>1367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1561</v>
      </c>
    </row>
    <row r="61" spans="1:16">
      <c r="A61" t="s">
        <v>1445</v>
      </c>
      <c r="B61" t="s">
        <v>1446</v>
      </c>
      <c r="C61" t="s">
        <v>497</v>
      </c>
      <c r="D61" t="s">
        <v>1447</v>
      </c>
      <c r="E61" t="s">
        <v>81</v>
      </c>
      <c r="F61" t="s">
        <v>87</v>
      </c>
      <c r="G61" t="s">
        <v>1375</v>
      </c>
      <c r="H61" t="s">
        <v>731</v>
      </c>
      <c r="I61" t="s">
        <v>1367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1559</v>
      </c>
    </row>
    <row r="62" spans="1:16">
      <c r="A62" t="s">
        <v>651</v>
      </c>
      <c r="B62" t="s">
        <v>1423</v>
      </c>
      <c r="C62" t="s">
        <v>497</v>
      </c>
      <c r="D62" t="s">
        <v>1401</v>
      </c>
      <c r="E62" t="s">
        <v>1513</v>
      </c>
      <c r="F62" t="s">
        <v>37</v>
      </c>
      <c r="G62" t="s">
        <v>1344</v>
      </c>
      <c r="H62" t="s">
        <v>731</v>
      </c>
      <c r="I62" t="s">
        <v>1385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1464</v>
      </c>
      <c r="C63" t="s">
        <v>497</v>
      </c>
      <c r="D63" t="s">
        <v>1410</v>
      </c>
      <c r="E63" t="s">
        <v>490</v>
      </c>
      <c r="F63" t="s">
        <v>34</v>
      </c>
      <c r="G63" t="s">
        <v>1344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1487</v>
      </c>
      <c r="C64" t="s">
        <v>497</v>
      </c>
      <c r="D64" t="s">
        <v>1430</v>
      </c>
      <c r="E64" t="s">
        <v>1513</v>
      </c>
      <c r="F64" t="s">
        <v>37</v>
      </c>
      <c r="G64" t="s">
        <v>1344</v>
      </c>
      <c r="H64" t="s">
        <v>731</v>
      </c>
      <c r="I64" t="s">
        <v>1367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1384</v>
      </c>
      <c r="C65" t="s">
        <v>497</v>
      </c>
      <c r="D65" t="s">
        <v>1349</v>
      </c>
      <c r="E65" t="s">
        <v>490</v>
      </c>
      <c r="F65" t="s">
        <v>34</v>
      </c>
      <c r="G65" t="s">
        <v>1344</v>
      </c>
      <c r="H65" t="s">
        <v>731</v>
      </c>
      <c r="I65" t="s">
        <v>1385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1341</v>
      </c>
      <c r="B66" t="s">
        <v>1342</v>
      </c>
      <c r="C66" t="s">
        <v>497</v>
      </c>
      <c r="D66" t="s">
        <v>1343</v>
      </c>
      <c r="E66" t="s">
        <v>1511</v>
      </c>
      <c r="F66" t="s">
        <v>36</v>
      </c>
      <c r="G66" t="s">
        <v>1344</v>
      </c>
      <c r="H66" t="s">
        <v>731</v>
      </c>
      <c r="I66" t="s">
        <v>1345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1346</v>
      </c>
      <c r="P66" t="s">
        <v>1560</v>
      </c>
    </row>
    <row r="67" spans="1:16">
      <c r="A67" t="s">
        <v>1372</v>
      </c>
      <c r="B67" t="s">
        <v>1373</v>
      </c>
      <c r="C67" t="s">
        <v>497</v>
      </c>
      <c r="D67" t="s">
        <v>1374</v>
      </c>
      <c r="E67" t="s">
        <v>1512</v>
      </c>
      <c r="F67" t="s">
        <v>37</v>
      </c>
      <c r="G67" t="s">
        <v>1375</v>
      </c>
      <c r="H67" t="s">
        <v>731</v>
      </c>
      <c r="I67" t="s">
        <v>1376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1403</v>
      </c>
      <c r="B68" t="s">
        <v>1404</v>
      </c>
      <c r="C68" t="s">
        <v>505</v>
      </c>
      <c r="D68" t="s">
        <v>491</v>
      </c>
      <c r="E68" t="s">
        <v>491</v>
      </c>
      <c r="F68" t="s">
        <v>35</v>
      </c>
      <c r="G68" t="s">
        <v>1344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1405</v>
      </c>
      <c r="P68" t="s">
        <v>338</v>
      </c>
    </row>
    <row r="69" spans="1:16">
      <c r="A69" t="s">
        <v>1435</v>
      </c>
      <c r="B69" t="s">
        <v>1436</v>
      </c>
      <c r="C69" t="s">
        <v>497</v>
      </c>
      <c r="D69" t="s">
        <v>1349</v>
      </c>
      <c r="E69" t="s">
        <v>490</v>
      </c>
      <c r="F69" t="s">
        <v>34</v>
      </c>
      <c r="G69" t="s">
        <v>1344</v>
      </c>
      <c r="H69" t="s">
        <v>731</v>
      </c>
      <c r="I69" t="s">
        <v>1425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1421</v>
      </c>
      <c r="C70" t="s">
        <v>497</v>
      </c>
      <c r="D70" t="s">
        <v>491</v>
      </c>
      <c r="E70" t="s">
        <v>491</v>
      </c>
      <c r="F70" t="s">
        <v>35</v>
      </c>
      <c r="G70" t="s">
        <v>1344</v>
      </c>
      <c r="H70" t="s">
        <v>731</v>
      </c>
      <c r="I70" t="s">
        <v>1362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1400</v>
      </c>
      <c r="C71" t="s">
        <v>497</v>
      </c>
      <c r="D71" t="s">
        <v>1401</v>
      </c>
      <c r="E71" t="s">
        <v>1513</v>
      </c>
      <c r="F71" t="s">
        <v>37</v>
      </c>
      <c r="G71" t="s">
        <v>1344</v>
      </c>
      <c r="H71" t="s">
        <v>731</v>
      </c>
      <c r="I71" t="s">
        <v>1385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1381</v>
      </c>
      <c r="B72" t="s">
        <v>1458</v>
      </c>
      <c r="C72" t="s">
        <v>497</v>
      </c>
      <c r="D72" t="s">
        <v>491</v>
      </c>
      <c r="E72" t="s">
        <v>491</v>
      </c>
      <c r="F72" t="s">
        <v>35</v>
      </c>
      <c r="G72" t="s">
        <v>1344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1409</v>
      </c>
      <c r="C73" t="s">
        <v>497</v>
      </c>
      <c r="D73" t="s">
        <v>1410</v>
      </c>
      <c r="E73" t="s">
        <v>490</v>
      </c>
      <c r="F73" t="s">
        <v>34</v>
      </c>
      <c r="G73" t="s">
        <v>1344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1411</v>
      </c>
      <c r="P73" t="s">
        <v>338</v>
      </c>
    </row>
    <row r="74" spans="1:16">
      <c r="A74" t="s">
        <v>1443</v>
      </c>
      <c r="B74" t="s">
        <v>1444</v>
      </c>
      <c r="C74" t="s">
        <v>497</v>
      </c>
      <c r="D74" t="s">
        <v>1349</v>
      </c>
      <c r="E74" t="s">
        <v>490</v>
      </c>
      <c r="F74" t="s">
        <v>34</v>
      </c>
      <c r="G74" t="s">
        <v>1344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1354</v>
      </c>
      <c r="B75" t="s">
        <v>1355</v>
      </c>
      <c r="C75" t="s">
        <v>505</v>
      </c>
      <c r="D75" t="s">
        <v>1349</v>
      </c>
      <c r="E75" t="s">
        <v>490</v>
      </c>
      <c r="F75" t="s">
        <v>34</v>
      </c>
      <c r="G75" t="s">
        <v>1344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1356</v>
      </c>
      <c r="P75" t="s">
        <v>338</v>
      </c>
    </row>
    <row r="76" spans="1:16">
      <c r="A76" t="s">
        <v>1448</v>
      </c>
      <c r="B76" t="s">
        <v>1449</v>
      </c>
      <c r="C76" t="s">
        <v>497</v>
      </c>
      <c r="D76" t="s">
        <v>1450</v>
      </c>
      <c r="E76" t="s">
        <v>493</v>
      </c>
      <c r="F76" t="s">
        <v>63</v>
      </c>
      <c r="G76" t="s">
        <v>1344</v>
      </c>
      <c r="H76" t="s">
        <v>731</v>
      </c>
      <c r="I76" t="s">
        <v>1371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1398</v>
      </c>
      <c r="C77" t="s">
        <v>497</v>
      </c>
      <c r="D77" t="s">
        <v>1349</v>
      </c>
      <c r="E77" t="s">
        <v>490</v>
      </c>
      <c r="F77" t="s">
        <v>34</v>
      </c>
      <c r="G77" t="s">
        <v>1344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1389</v>
      </c>
      <c r="B78" t="s">
        <v>1390</v>
      </c>
      <c r="C78" t="s">
        <v>497</v>
      </c>
      <c r="D78" t="s">
        <v>1349</v>
      </c>
      <c r="E78" t="s">
        <v>490</v>
      </c>
      <c r="F78" t="s">
        <v>34</v>
      </c>
      <c r="G78" t="s">
        <v>1344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1427</v>
      </c>
      <c r="C79" t="s">
        <v>497</v>
      </c>
      <c r="D79" t="s">
        <v>1410</v>
      </c>
      <c r="E79" t="s">
        <v>490</v>
      </c>
      <c r="F79" t="s">
        <v>34</v>
      </c>
      <c r="G79" t="s">
        <v>1344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1428</v>
      </c>
      <c r="P79" t="s">
        <v>338</v>
      </c>
    </row>
    <row r="80" spans="1:16">
      <c r="A80" t="s">
        <v>576</v>
      </c>
      <c r="B80" t="s">
        <v>1382</v>
      </c>
      <c r="C80" t="s">
        <v>497</v>
      </c>
      <c r="D80" t="s">
        <v>1349</v>
      </c>
      <c r="E80" t="s">
        <v>490</v>
      </c>
      <c r="F80" t="s">
        <v>34</v>
      </c>
      <c r="G80" t="s">
        <v>1344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1421</v>
      </c>
      <c r="C81" t="s">
        <v>497</v>
      </c>
      <c r="D81" t="s">
        <v>1349</v>
      </c>
      <c r="E81" t="s">
        <v>490</v>
      </c>
      <c r="F81" t="s">
        <v>34</v>
      </c>
      <c r="G81" t="s">
        <v>1344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1429</v>
      </c>
      <c r="B82" t="s">
        <v>1427</v>
      </c>
      <c r="C82" t="s">
        <v>497</v>
      </c>
      <c r="D82" t="s">
        <v>1430</v>
      </c>
      <c r="E82" t="s">
        <v>1513</v>
      </c>
      <c r="F82" t="s">
        <v>37</v>
      </c>
      <c r="G82" t="s">
        <v>1344</v>
      </c>
      <c r="H82" t="s">
        <v>731</v>
      </c>
      <c r="I82" t="s">
        <v>1367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1482</v>
      </c>
      <c r="C83" t="s">
        <v>497</v>
      </c>
      <c r="D83" t="s">
        <v>1480</v>
      </c>
      <c r="E83" t="s">
        <v>491</v>
      </c>
      <c r="F83" t="s">
        <v>38</v>
      </c>
      <c r="G83" t="s">
        <v>1344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1495</v>
      </c>
      <c r="C84" t="s">
        <v>497</v>
      </c>
      <c r="D84" t="s">
        <v>491</v>
      </c>
      <c r="E84" t="s">
        <v>491</v>
      </c>
      <c r="F84" t="s">
        <v>35</v>
      </c>
      <c r="G84" t="s">
        <v>1344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1388</v>
      </c>
      <c r="B85" t="s">
        <v>1424</v>
      </c>
      <c r="C85" t="s">
        <v>497</v>
      </c>
      <c r="D85" t="s">
        <v>1349</v>
      </c>
      <c r="E85" t="s">
        <v>490</v>
      </c>
      <c r="F85" t="s">
        <v>34</v>
      </c>
      <c r="G85" t="s">
        <v>1344</v>
      </c>
      <c r="H85" t="s">
        <v>731</v>
      </c>
      <c r="I85" t="s">
        <v>1425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1362</v>
      </c>
      <c r="B86" t="s">
        <v>1363</v>
      </c>
      <c r="C86" t="s">
        <v>497</v>
      </c>
      <c r="D86" t="s">
        <v>1364</v>
      </c>
      <c r="E86" t="s">
        <v>1364</v>
      </c>
      <c r="F86" t="s">
        <v>63</v>
      </c>
      <c r="G86" t="s">
        <v>1365</v>
      </c>
      <c r="H86" t="s">
        <v>1366</v>
      </c>
      <c r="I86" t="s">
        <v>1367</v>
      </c>
      <c r="J86">
        <v>110000</v>
      </c>
      <c r="K86" t="s">
        <v>1368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1380</v>
      </c>
      <c r="B87" t="s">
        <v>1378</v>
      </c>
      <c r="C87" t="s">
        <v>497</v>
      </c>
      <c r="D87" t="s">
        <v>1349</v>
      </c>
      <c r="E87" t="s">
        <v>490</v>
      </c>
      <c r="F87" t="s">
        <v>34</v>
      </c>
      <c r="G87" t="s">
        <v>1344</v>
      </c>
      <c r="H87" t="s">
        <v>731</v>
      </c>
      <c r="I87" t="s">
        <v>1381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1468</v>
      </c>
      <c r="B88" t="s">
        <v>1469</v>
      </c>
      <c r="C88" t="s">
        <v>497</v>
      </c>
      <c r="D88" t="s">
        <v>1349</v>
      </c>
      <c r="E88" t="s">
        <v>490</v>
      </c>
      <c r="F88" t="s">
        <v>34</v>
      </c>
      <c r="G88" t="s">
        <v>1344</v>
      </c>
      <c r="H88" t="s">
        <v>731</v>
      </c>
      <c r="I88" t="s">
        <v>1425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1415</v>
      </c>
      <c r="C89" t="s">
        <v>497</v>
      </c>
      <c r="D89" t="s">
        <v>1370</v>
      </c>
      <c r="E89" t="s">
        <v>493</v>
      </c>
      <c r="F89" t="s">
        <v>63</v>
      </c>
      <c r="G89" t="s">
        <v>1344</v>
      </c>
      <c r="H89" t="s">
        <v>731</v>
      </c>
      <c r="I89" t="s">
        <v>1371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1475</v>
      </c>
      <c r="B90" t="s">
        <v>1476</v>
      </c>
      <c r="C90" t="s">
        <v>497</v>
      </c>
      <c r="D90" t="s">
        <v>1410</v>
      </c>
      <c r="E90" t="s">
        <v>490</v>
      </c>
      <c r="F90" t="s">
        <v>34</v>
      </c>
      <c r="G90" t="s">
        <v>1344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1562</v>
      </c>
    </row>
    <row r="97" spans="1:3">
      <c r="A97" t="s">
        <v>1563</v>
      </c>
    </row>
    <row r="98" spans="1:3">
      <c r="A98" t="s">
        <v>1564</v>
      </c>
    </row>
    <row r="99" spans="1:3">
      <c r="A99" t="s">
        <v>1565</v>
      </c>
    </row>
    <row r="100" spans="1:3">
      <c r="A100" t="s">
        <v>1566</v>
      </c>
    </row>
    <row r="101" spans="1:3">
      <c r="A101" t="s">
        <v>1567</v>
      </c>
    </row>
    <row r="102" spans="1:3">
      <c r="A102" t="s">
        <v>1568</v>
      </c>
    </row>
    <row r="103" spans="1:3">
      <c r="A103" t="s">
        <v>1569</v>
      </c>
    </row>
    <row r="105" spans="1:3">
      <c r="A105" t="s">
        <v>1570</v>
      </c>
      <c r="B105" t="s">
        <v>1571</v>
      </c>
      <c r="C105" t="s">
        <v>1338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449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1185</v>
      </c>
      <c r="E5" s="203"/>
      <c r="F5" s="204"/>
      <c r="G5" s="201"/>
      <c r="H5" s="254"/>
      <c r="I5" s="74" t="s">
        <v>1313</v>
      </c>
      <c r="J5" s="203"/>
      <c r="K5" s="74" t="s">
        <v>1312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466</v>
      </c>
      <c r="C6" s="202" t="s">
        <v>116</v>
      </c>
      <c r="D6" s="189" t="s">
        <v>1299</v>
      </c>
      <c r="E6" s="202" t="s">
        <v>1300</v>
      </c>
      <c r="F6" s="205" t="s">
        <v>1307</v>
      </c>
      <c r="G6" s="202" t="s">
        <v>1321</v>
      </c>
      <c r="H6" s="202" t="s">
        <v>1293</v>
      </c>
      <c r="I6" s="189" t="s">
        <v>1314</v>
      </c>
      <c r="J6" s="202" t="s">
        <v>1315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 w Software'!$K:$K,MATCH('Full Customer List'!$B7,'Customer List w Software'!$A:$A,0))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 w Software'!$K:$K,MATCH('Full Customer List'!$B8,'Customer List w Software'!$A:$A,0))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 w Software'!$K:$K,MATCH('Full Customer List'!$B9,'Customer List w Software'!$A:$A,0))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 w Software'!$K:$K,MATCH('Full Customer List'!$B10,'Customer List w Software'!$A:$A,0))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 w Software'!$K:$K,MATCH('Full Customer List'!$B11,'Customer List w Software'!$A:$A,0))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 w Software'!$K:$K,MATCH('Full Customer List'!$B12,'Customer List w Software'!$A:$A,0))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 w Software'!$K:$K,MATCH('Full Customer List'!$B13,'Customer List w Software'!$A:$A,0))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 w Software'!$K:$K,MATCH('Full Customer List'!$B14,'Customer List w Software'!$A:$A,0))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 w Software'!$K:$K,MATCH('Full Customer List'!$B15,'Customer List w Software'!$A:$A,0))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 w Software'!$K:$K,MATCH('Full Customer List'!$B16,'Customer List w Software'!$A:$A,0))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 w Software'!$K:$K,MATCH('Full Customer List'!$B17,'Customer List w Software'!$A:$A,0))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 w Software'!$K:$K,MATCH('Full Customer List'!$B18,'Customer List w Software'!$A:$A,0))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 w Software'!$K:$K,MATCH('Full Customer List'!$B19,'Customer List w Software'!$A:$A,0))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 w Software'!$K:$K,MATCH('Full Customer List'!$B20,'Customer List w Software'!$A:$A,0))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 w Software'!$K:$K,MATCH('Full Customer List'!$B21,'Customer List w Software'!$A:$A,0))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 w Software'!$K:$K,MATCH('Full Customer List'!$B22,'Customer List w Software'!$A:$A,0))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 w Software'!$K:$K,MATCH('Full Customer List'!$B23,'Customer List w Software'!$A:$A,0))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 w Software'!$K:$K,MATCH('Full Customer List'!$B24,'Customer List w Software'!$A:$A,0))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 w Software'!$K:$K,MATCH('Full Customer List'!$B25,'Customer List w Software'!$A:$A,0))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 w Software'!$K:$K,MATCH('Full Customer List'!$B26,'Customer List w Software'!$A:$A,0))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 w Software'!$K:$K,MATCH('Full Customer List'!$B27,'Customer List w Software'!$A:$A,0))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 w Software'!$K:$K,MATCH('Full Customer List'!$B28,'Customer List w Software'!$A:$A,0))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 w Software'!$K:$K,MATCH('Full Customer List'!$B29,'Customer List w Software'!$A:$A,0))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 w Software'!$K:$K,MATCH('Full Customer List'!$B30,'Customer List w Software'!$A:$A,0))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 w Software'!$K:$K,MATCH('Full Customer List'!$B31,'Customer List w Software'!$A:$A,0))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 w Software'!$K:$K,MATCH('Full Customer List'!$B32,'Customer List w Software'!$A:$A,0))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 w Software'!$K:$K,MATCH('Full Customer List'!$B33,'Customer List w Software'!$A:$A,0))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 w Software'!$K:$K,MATCH('Full Customer List'!$B34,'Customer List w Software'!$A:$A,0))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 w Software'!$K:$K,MATCH('Full Customer List'!$B35,'Customer List w Software'!$A:$A,0))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 w Software'!$K:$K,MATCH('Full Customer List'!$B36,'Customer List w Software'!$A:$A,0))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 w Software'!$K:$K,MATCH('Full Customer List'!$B37,'Customer List w Software'!$A:$A,0))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 w Software'!$K:$K,MATCH('Full Customer List'!$B38,'Customer List w Software'!$A:$A,0))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 w Software'!$K:$K,MATCH('Full Customer List'!$B39,'Customer List w Software'!$A:$A,0))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 w Software'!$K:$K,MATCH('Full Customer List'!$B40,'Customer List w Software'!$A:$A,0))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 w Software'!$K:$K,MATCH('Full Customer List'!$B41,'Customer List w Software'!$A:$A,0))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 w Software'!$K:$K,MATCH('Full Customer List'!$B42,'Customer List w Software'!$A:$A,0))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 w Software'!$K:$K,MATCH('Full Customer List'!$B43,'Customer List w Software'!$A:$A,0))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 w Software'!$K:$K,MATCH('Full Customer List'!$B44,'Customer List w Software'!$A:$A,0))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 w Software'!$K:$K,MATCH('Full Customer List'!$B45,'Customer List w Software'!$A:$A,0))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 w Software'!$K:$K,MATCH('Full Customer List'!$B46,'Customer List w Software'!$A:$A,0))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 w Software'!$K:$K,MATCH('Full Customer List'!$B47,'Customer List w Software'!$A:$A,0))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 w Software'!$K:$K,MATCH('Full Customer List'!$B48,'Customer List w Software'!$A:$A,0))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 w Software'!$K:$K,MATCH('Full Customer List'!$B49,'Customer List w Software'!$A:$A,0))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 w Software'!$K:$K,MATCH('Full Customer List'!$B50,'Customer List w Software'!$A:$A,0))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 w Software'!$K:$K,MATCH('Full Customer List'!$B51,'Customer List w Software'!$A:$A,0))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 w Software'!$K:$K,MATCH('Full Customer List'!$B52,'Customer List w Software'!$A:$A,0))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 w Software'!$K:$K,MATCH('Full Customer List'!$B53,'Customer List w Software'!$A:$A,0))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 w Software'!$K:$K,MATCH('Full Customer List'!$B54,'Customer List w Software'!$A:$A,0))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 w Software'!$K:$K,MATCH('Full Customer List'!$B55,'Customer List w Software'!$A:$A,0))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 w Software'!$K:$K,MATCH('Full Customer List'!$B56,'Customer List w Software'!$A:$A,0))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 w Software'!$K:$K,MATCH('Full Customer List'!$B57,'Customer List w Software'!$A:$A,0))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 w Software'!$K:$K,MATCH('Full Customer List'!$B58,'Customer List w Software'!$A:$A,0))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 w Software'!$K:$K,MATCH('Full Customer List'!$B59,'Customer List w Software'!$A:$A,0))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 w Software'!$K:$K,MATCH('Full Customer List'!$B60,'Customer List w Software'!$A:$A,0))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 w Software'!$K:$K,MATCH('Full Customer List'!$B61,'Customer List w Software'!$A:$A,0))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 w Software'!$K:$K,MATCH('Full Customer List'!$B62,'Customer List w Software'!$A:$A,0))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 w Software'!$K:$K,MATCH('Full Customer List'!$B63,'Customer List w Software'!$A:$A,0))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20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 w Software'!$K:$K,MATCH('Full Customer List'!$B64,'Customer List w Software'!$A:$A,0))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 w Software'!$K:$K,MATCH('Full Customer List'!$B65,'Customer List w Software'!$A:$A,0))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 w Software'!$K:$K,MATCH('Full Customer List'!$B66,'Customer List w Software'!$A:$A,0))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 w Software'!$K:$K,MATCH('Full Customer List'!$B67,'Customer List w Software'!$A:$A,0))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 w Software'!$K:$K,MATCH('Full Customer List'!$B68,'Customer List w Software'!$A:$A,0))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 w Software'!$K:$K,MATCH('Full Customer List'!$B69,'Customer List w Software'!$A:$A,0))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 w Software'!$K:$K,MATCH('Full Customer List'!$B70,'Customer List w Software'!$A:$A,0))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 w Software'!$K:$K,MATCH('Full Customer List'!$B71,'Customer List w Software'!$A:$A,0))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 w Software'!$K:$K,MATCH('Full Customer List'!$B72,'Customer List w Software'!$A:$A,0))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 w Software'!$K:$K,MATCH('Full Customer List'!$B73,'Customer List w Software'!$A:$A,0))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20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 w Software'!$K:$K,MATCH('Full Customer List'!$B74,'Customer List w Software'!$A:$A,0))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 w Software'!$K:$K,MATCH('Full Customer List'!$B75,'Customer List w Software'!$A:$A,0))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 w Software'!$K:$K,MATCH('Full Customer List'!$B76,'Customer List w Software'!$A:$A,0))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 w Software'!$K:$K,MATCH('Full Customer List'!$B77,'Customer List w Software'!$A:$A,0))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 w Software'!$K:$K,MATCH('Full Customer List'!$B78,'Customer List w Software'!$A:$A,0))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 w Software'!$K:$K,MATCH('Full Customer List'!$B79,'Customer List w Software'!$A:$A,0))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 w Software'!$K:$K,MATCH('Full Customer List'!$B80,'Customer List w Software'!$A:$A,0))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 w Software'!$K:$K,MATCH('Full Customer List'!$B81,'Customer List w Software'!$A:$A,0))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 w Software'!$K:$K,MATCH('Full Customer List'!$B82,'Customer List w Software'!$A:$A,0))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 w Software'!$K:$K,MATCH('Full Customer List'!$B83,'Customer List w Software'!$A:$A,0))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 w Software'!$K:$K,MATCH('Full Customer List'!$B84,'Customer List w Software'!$A:$A,0))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 w Software'!$K:$K,MATCH('Full Customer List'!$B85,'Customer List w Software'!$A:$A,0))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 w Software'!$K:$K,MATCH('Full Customer List'!$B86,'Customer List w Software'!$A:$A,0))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 w Software'!$K:$K,MATCH('Full Customer List'!$B87,'Customer List w Software'!$A:$A,0))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 w Software'!$K:$K,MATCH('Full Customer List'!$B88,'Customer List w Software'!$A:$A,0))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 w Software'!$K:$K,MATCH('Full Customer List'!$B89,'Customer List w Software'!$A:$A,0))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 w Software'!$K:$K,MATCH('Full Customer List'!$B90,'Customer List w Software'!$A:$A,0))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 w Software'!$K:$K,MATCH('Full Customer List'!$B91,'Customer List w Software'!$A:$A,0))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 w Software'!$K:$K,MATCH('Full Customer List'!$B92,'Customer List w Software'!$A:$A,0))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 w Software'!$K:$K,MATCH('Full Customer List'!$B93,'Customer List w Software'!$A:$A,0))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 w Software'!$K:$K,MATCH('Full Customer List'!$B94,'Customer List w Software'!$A:$A,0))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 w Software'!$K:$K,MATCH('Full Customer List'!$B95,'Customer List w Software'!$A:$A,0))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 w Software'!$K:$K,MATCH('Full Customer List'!$B96,'Customer List w Software'!$A:$A,0))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 w Software'!$K:$K,MATCH('Full Customer List'!$B97,'Customer List w Software'!$A:$A,0))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 w Software'!$K:$K,MATCH('Full Customer List'!$B98,'Customer List w Software'!$A:$A,0))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 w Software'!$K:$K,MATCH('Full Customer List'!$B99,'Customer List w Software'!$A:$A,0))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 w Software'!$K:$K,MATCH('Full Customer List'!$B100,'Customer List w Software'!$A:$A,0))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 w Software'!$K:$K,MATCH('Full Customer List'!$B101,'Customer List w Software'!$A:$A,0))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 w Software'!$K:$K,MATCH('Full Customer List'!$B102,'Customer List w Software'!$A:$A,0))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 w Software'!$K:$K,MATCH('Full Customer List'!$B103,'Customer List w Software'!$A:$A,0))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 w Software'!$K:$K,MATCH('Full Customer List'!$B104,'Customer List w Software'!$A:$A,0))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 w Software'!$K:$K,MATCH('Full Customer List'!$B105,'Customer List w Software'!$A:$A,0))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20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 w Software'!$K:$K,MATCH('Full Customer List'!$B106,'Customer List w Software'!$A:$A,0))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 w Software'!$K:$K,MATCH('Full Customer List'!$B107,'Customer List w Software'!$A:$A,0))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 w Software'!$K:$K,MATCH('Full Customer List'!$B108,'Customer List w Software'!$A:$A,0))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 w Software'!$K:$K,MATCH('Full Customer List'!$B109,'Customer List w Software'!$A:$A,0))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 w Software'!$K:$K,MATCH('Full Customer List'!$B110,'Customer List w Software'!$A:$A,0))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 w Software'!$K:$K,MATCH('Full Customer List'!$B111,'Customer List w Software'!$A:$A,0))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20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 w Software'!$K:$K,MATCH('Full Customer List'!$B112,'Customer List w Software'!$A:$A,0))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 w Software'!$K:$K,MATCH('Full Customer List'!$B113,'Customer List w Software'!$A:$A,0))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 w Software'!$K:$K,MATCH('Full Customer List'!$B114,'Customer List w Software'!$A:$A,0))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 w Software'!$K:$K,MATCH('Full Customer List'!$B115,'Customer List w Software'!$A:$A,0))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 w Software'!$K:$K,MATCH('Full Customer List'!$B116,'Customer List w Software'!$A:$A,0))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 w Software'!$K:$K,MATCH('Full Customer List'!$B117,'Customer List w Software'!$A:$A,0))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 w Software'!$K:$K,MATCH('Full Customer List'!$B118,'Customer List w Software'!$A:$A,0))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 w Software'!$K:$K,MATCH('Full Customer List'!$B119,'Customer List w Software'!$A:$A,0))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 w Software'!$K:$K,MATCH('Full Customer List'!$B120,'Customer List w Software'!$A:$A,0))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 w Software'!$K:$K,MATCH('Full Customer List'!$B121,'Customer List w Software'!$A:$A,0))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 w Software'!$K:$K,MATCH('Full Customer List'!$B122,'Customer List w Software'!$A:$A,0))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 w Software'!$K:$K,MATCH('Full Customer List'!$B123,'Customer List w Software'!$A:$A,0))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 w Software'!$K:$K,MATCH('Full Customer List'!$B124,'Customer List w Software'!$A:$A,0))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 w Software'!$K:$K,MATCH('Full Customer List'!$B125,'Customer List w Software'!$A:$A,0))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 w Software'!$K:$K,MATCH('Full Customer List'!$B126,'Customer List w Software'!$A:$A,0))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 w Software'!$K:$K,MATCH('Full Customer List'!$B127,'Customer List w Software'!$A:$A,0))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20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 w Software'!$K:$K,MATCH('Full Customer List'!$B128,'Customer List w Software'!$A:$A,0))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20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 w Software'!$K:$K,MATCH('Full Customer List'!$B129,'Customer List w Software'!$A:$A,0))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 w Software'!$K:$K,MATCH('Full Customer List'!$B130,'Customer List w Software'!$A:$A,0))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 w Software'!$K:$K,MATCH('Full Customer List'!$B131,'Customer List w Software'!$A:$A,0))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 w Software'!$K:$K,MATCH('Full Customer List'!$B132,'Customer List w Software'!$A:$A,0))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 w Software'!$K:$K,MATCH('Full Customer List'!$B133,'Customer List w Software'!$A:$A,0))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 w Software'!$K:$K,MATCH('Full Customer List'!$B134,'Customer List w Software'!$A:$A,0))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 w Software'!$K:$K,MATCH('Full Customer List'!$B135,'Customer List w Software'!$A:$A,0))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 w Software'!$K:$K,MATCH('Full Customer List'!$B136,'Customer List w Software'!$A:$A,0))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 w Software'!$K:$K,MATCH('Full Customer List'!$B137,'Customer List w Software'!$A:$A,0))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 w Software'!$K:$K,MATCH('Full Customer List'!$B138,'Customer List w Software'!$A:$A,0))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 w Software'!$K:$K,MATCH('Full Customer List'!$B139,'Customer List w Software'!$A:$A,0))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 w Software'!$K:$K,MATCH('Full Customer List'!$B140,'Customer List w Software'!$A:$A,0))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 w Software'!$K:$K,MATCH('Full Customer List'!$B141,'Customer List w Software'!$A:$A,0))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 w Software'!$K:$K,MATCH('Full Customer List'!$B142,'Customer List w Software'!$A:$A,0))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 w Software'!$K:$K,MATCH('Full Customer List'!$B143,'Customer List w Software'!$A:$A,0))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 w Software'!$K:$K,MATCH('Full Customer List'!$B144,'Customer List w Software'!$A:$A,0))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 w Software'!$K:$K,MATCH('Full Customer List'!$B145,'Customer List w Software'!$A:$A,0))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 w Software'!$K:$K,MATCH('Full Customer List'!$B146,'Customer List w Software'!$A:$A,0))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 w Software'!$K:$K,MATCH('Full Customer List'!$B147,'Customer List w Software'!$A:$A,0))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 w Software'!$K:$K,MATCH('Full Customer List'!$B148,'Customer List w Software'!$A:$A,0))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 w Software'!$K:$K,MATCH('Full Customer List'!$B149,'Customer List w Software'!$A:$A,0))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 w Software'!$K:$K,MATCH('Full Customer List'!$B150,'Customer List w Software'!$A:$A,0))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 w Software'!$K:$K,MATCH('Full Customer List'!$B151,'Customer List w Software'!$A:$A,0))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 w Software'!$K:$K,MATCH('Full Customer List'!$B152,'Customer List w Software'!$A:$A,0))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 w Software'!$K:$K,MATCH('Full Customer List'!$B153,'Customer List w Software'!$A:$A,0))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 w Software'!$K:$K,MATCH('Full Customer List'!$B154,'Customer List w Software'!$A:$A,0))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 w Software'!$K:$K,MATCH('Full Customer List'!$B155,'Customer List w Software'!$A:$A,0))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 w Software'!$K:$K,MATCH('Full Customer List'!$B156,'Customer List w Software'!$A:$A,0))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 w Software'!$K:$K,MATCH('Full Customer List'!$B157,'Customer List w Software'!$A:$A,0))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 w Software'!$K:$K,MATCH('Full Customer List'!$B158,'Customer List w Software'!$A:$A,0))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 w Software'!$K:$K,MATCH('Full Customer List'!$B159,'Customer List w Software'!$A:$A,0))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 w Software'!$K:$K,MATCH('Full Customer List'!$B160,'Customer List w Software'!$A:$A,0))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 w Software'!$K:$K,MATCH('Full Customer List'!$B161,'Customer List w Software'!$A:$A,0))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 w Software'!$K:$K,MATCH('Full Customer List'!$B162,'Customer List w Software'!$A:$A,0))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 w Software'!$K:$K,MATCH('Full Customer List'!$B163,'Customer List w Software'!$A:$A,0))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 w Software'!$K:$K,MATCH('Full Customer List'!$B164,'Customer List w Software'!$A:$A,0))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 w Software'!$K:$K,MATCH('Full Customer List'!$B165,'Customer List w Software'!$A:$A,0))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 w Software'!$K:$K,MATCH('Full Customer List'!$B166,'Customer List w Software'!$A:$A,0))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 w Software'!$K:$K,MATCH('Full Customer List'!$B167,'Customer List w Software'!$A:$A,0))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 w Software'!$K:$K,MATCH('Full Customer List'!$B168,'Customer List w Software'!$A:$A,0))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 w Software'!$K:$K,MATCH('Full Customer List'!$B169,'Customer List w Software'!$A:$A,0))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 w Software'!$K:$K,MATCH('Full Customer List'!$B170,'Customer List w Software'!$A:$A,0))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 w Software'!$K:$K,MATCH('Full Customer List'!$B171,'Customer List w Software'!$A:$A,0))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 w Software'!$K:$K,MATCH('Full Customer List'!$B172,'Customer List w Software'!$A:$A,0))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 w Software'!$K:$K,MATCH('Full Customer List'!$B173,'Customer List w Software'!$A:$A,0))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 w Software'!$K:$K,MATCH('Full Customer List'!$B174,'Customer List w Software'!$A:$A,0))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 w Software'!$K:$K,MATCH('Full Customer List'!$B175,'Customer List w Software'!$A:$A,0))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 w Software'!$K:$K,MATCH('Full Customer List'!$B176,'Customer List w Software'!$A:$A,0))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 w Software'!$K:$K,MATCH('Full Customer List'!$B177,'Customer List w Software'!$A:$A,0))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 w Software'!$K:$K,MATCH('Full Customer List'!$B178,'Customer List w Software'!$A:$A,0))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 w Software'!$K:$K,MATCH('Full Customer List'!$B179,'Customer List w Software'!$A:$A,0))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 w Software'!$K:$K,MATCH('Full Customer List'!$B180,'Customer List w Software'!$A:$A,0))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 w Software'!$K:$K,MATCH('Full Customer List'!$B181,'Customer List w Software'!$A:$A,0))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 w Software'!$K:$K,MATCH('Full Customer List'!$B182,'Customer List w Software'!$A:$A,0))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 w Software'!$K:$K,MATCH('Full Customer List'!$B183,'Customer List w Software'!$A:$A,0))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 w Software'!$K:$K,MATCH('Full Customer List'!$B184,'Customer List w Software'!$A:$A,0))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 w Software'!$K:$K,MATCH('Full Customer List'!$B185,'Customer List w Software'!$A:$A,0))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 w Software'!$K:$K,MATCH('Full Customer List'!$B186,'Customer List w Software'!$A:$A,0))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 w Software'!$K:$K,MATCH('Full Customer List'!$B187,'Customer List w Software'!$A:$A,0))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 w Software'!$K:$K,MATCH('Full Customer List'!$B188,'Customer List w Software'!$A:$A,0))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 w Software'!$K:$K,MATCH('Full Customer List'!$B189,'Customer List w Software'!$A:$A,0))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20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 w Software'!$K:$K,MATCH('Full Customer List'!$B190,'Customer List w Software'!$A:$A,0))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 w Software'!$K:$K,MATCH('Full Customer List'!$B191,'Customer List w Software'!$A:$A,0))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 w Software'!$K:$K,MATCH('Full Customer List'!$B192,'Customer List w Software'!$A:$A,0))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 w Software'!$K:$K,MATCH('Full Customer List'!$B193,'Customer List w Software'!$A:$A,0))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 w Software'!$K:$K,MATCH('Full Customer List'!$B194,'Customer List w Software'!$A:$A,0))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 w Software'!$K:$K,MATCH('Full Customer List'!$B195,'Customer List w Software'!$A:$A,0))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 w Software'!$K:$K,MATCH('Full Customer List'!$B196,'Customer List w Software'!$A:$A,0))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 w Software'!$K:$K,MATCH('Full Customer List'!$B197,'Customer List w Software'!$A:$A,0))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 w Software'!$K:$K,MATCH('Full Customer List'!$B198,'Customer List w Software'!$A:$A,0))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 w Software'!$K:$K,MATCH('Full Customer List'!$B199,'Customer List w Software'!$A:$A,0))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 w Software'!$K:$K,MATCH('Full Customer List'!$B200,'Customer List w Software'!$A:$A,0))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 w Software'!$K:$K,MATCH('Full Customer List'!$B201,'Customer List w Software'!$A:$A,0))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 w Software'!$K:$K,MATCH('Full Customer List'!$B202,'Customer List w Software'!$A:$A,0))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 w Software'!$K:$K,MATCH('Full Customer List'!$B203,'Customer List w Software'!$A:$A,0))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20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 w Software'!$K:$K,MATCH('Full Customer List'!$B204,'Customer List w Software'!$A:$A,0))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 w Software'!$K:$K,MATCH('Full Customer List'!$B205,'Customer List w Software'!$A:$A,0))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 w Software'!$K:$K,MATCH('Full Customer List'!$B206,'Customer List w Software'!$A:$A,0))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 w Software'!$K:$K,MATCH('Full Customer List'!$B207,'Customer List w Software'!$A:$A,0))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 w Software'!$K:$K,MATCH('Full Customer List'!$B208,'Customer List w Software'!$A:$A,0))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 w Software'!$K:$K,MATCH('Full Customer List'!$B209,'Customer List w Software'!$A:$A,0))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 w Software'!$K:$K,MATCH('Full Customer List'!$B210,'Customer List w Software'!$A:$A,0))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 w Software'!$K:$K,MATCH('Full Customer List'!$B211,'Customer List w Software'!$A:$A,0))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 w Software'!$K:$K,MATCH('Full Customer List'!$B212,'Customer List w Software'!$A:$A,0))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 w Software'!$K:$K,MATCH('Full Customer List'!$B213,'Customer List w Software'!$A:$A,0))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 w Software'!$K:$K,MATCH('Full Customer List'!$B214,'Customer List w Software'!$A:$A,0))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 w Software'!$K:$K,MATCH('Full Customer List'!$B215,'Customer List w Software'!$A:$A,0))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 w Software'!$K:$K,MATCH('Full Customer List'!$B216,'Customer List w Software'!$A:$A,0))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 w Software'!$K:$K,MATCH('Full Customer List'!$B217,'Customer List w Software'!$A:$A,0))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 w Software'!$K:$K,MATCH('Full Customer List'!$B218,'Customer List w Software'!$A:$A,0))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 w Software'!$K:$K,MATCH('Full Customer List'!$B219,'Customer List w Software'!$A:$A,0))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20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 w Software'!$K:$K,MATCH('Full Customer List'!$B220,'Customer List w Software'!$A:$A,0))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 w Software'!$K:$K,MATCH('Full Customer List'!$B221,'Customer List w Software'!$A:$A,0))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 w Software'!$K:$K,MATCH('Full Customer List'!$B222,'Customer List w Software'!$A:$A,0))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 w Software'!$K:$K,MATCH('Full Customer List'!$B223,'Customer List w Software'!$A:$A,0))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 w Software'!$K:$K,MATCH('Full Customer List'!$B224,'Customer List w Software'!$A:$A,0))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20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 w Software'!$K:$K,MATCH('Full Customer List'!$B225,'Customer List w Software'!$A:$A,0))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 w Software'!$K:$K,MATCH('Full Customer List'!$B226,'Customer List w Software'!$A:$A,0))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 w Software'!$K:$K,MATCH('Full Customer List'!$B227,'Customer List w Software'!$A:$A,0))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 w Software'!$K:$K,MATCH('Full Customer List'!$B228,'Customer List w Software'!$A:$A,0))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 w Software'!$K:$K,MATCH('Full Customer List'!$B229,'Customer List w Software'!$A:$A,0))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 w Software'!$K:$K,MATCH('Full Customer List'!$B230,'Customer List w Software'!$A:$A,0))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 w Software'!$K:$K,MATCH('Full Customer List'!$B231,'Customer List w Software'!$A:$A,0))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 w Software'!$K:$K,MATCH('Full Customer List'!$B232,'Customer List w Software'!$A:$A,0))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 w Software'!$K:$K,MATCH('Full Customer List'!$B233,'Customer List w Software'!$A:$A,0))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 w Software'!$K:$K,MATCH('Full Customer List'!$B234,'Customer List w Software'!$A:$A,0))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 w Software'!$K:$K,MATCH('Full Customer List'!$B235,'Customer List w Software'!$A:$A,0))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 w Software'!$K:$K,MATCH('Full Customer List'!$B236,'Customer List w Software'!$A:$A,0))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 w Software'!$K:$K,MATCH('Full Customer List'!$B237,'Customer List w Software'!$A:$A,0))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 w Software'!$K:$K,MATCH('Full Customer List'!$B238,'Customer List w Software'!$A:$A,0))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 w Software'!$K:$K,MATCH('Full Customer List'!$B239,'Customer List w Software'!$A:$A,0))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 w Software'!$K:$K,MATCH('Full Customer List'!$B240,'Customer List w Software'!$A:$A,0))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20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 w Software'!$K:$K,MATCH('Full Customer List'!$B241,'Customer List w Software'!$A:$A,0))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20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 w Software'!$K:$K,MATCH('Full Customer List'!$B242,'Customer List w Software'!$A:$A,0))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20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 w Software'!$K:$K,MATCH('Full Customer List'!$B243,'Customer List w Software'!$A:$A,0))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20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 w Software'!$K:$K,MATCH('Full Customer List'!$B244,'Customer List w Software'!$A:$A,0))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20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 w Software'!$K:$K,MATCH('Full Customer List'!$B245,'Customer List w Software'!$A:$A,0))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20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 w Software'!$K:$K,MATCH('Full Customer List'!$B246,'Customer List w Software'!$A:$A,0))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 w Software'!$K:$K,MATCH('Full Customer List'!$B247,'Customer List w Software'!$A:$A,0))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 w Software'!$K:$K,MATCH('Full Customer List'!$B248,'Customer List w Software'!$A:$A,0))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 w Software'!$K:$K,MATCH('Full Customer List'!$B249,'Customer List w Software'!$A:$A,0))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 w Software'!$K:$K,MATCH('Full Customer List'!$B250,'Customer List w Software'!$A:$A,0))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 w Software'!$K:$K,MATCH('Full Customer List'!$B251,'Customer List w Software'!$A:$A,0))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 w Software'!$K:$K,MATCH('Full Customer List'!$B252,'Customer List w Software'!$A:$A,0))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 w Software'!$K:$K,MATCH('Full Customer List'!$B253,'Customer List w Software'!$A:$A,0))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 w Software'!$K:$K,MATCH('Full Customer List'!$B254,'Customer List w Software'!$A:$A,0))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 w Software'!$K:$K,MATCH('Full Customer List'!$B255,'Customer List w Software'!$A:$A,0))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 w Software'!$K:$K,MATCH('Full Customer List'!$B256,'Customer List w Software'!$A:$A,0))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 w Software'!$K:$K,MATCH('Full Customer List'!$B257,'Customer List w Software'!$A:$A,0))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 w Software'!$K:$K,MATCH('Full Customer List'!$B258,'Customer List w Software'!$A:$A,0))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20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 w Software'!$K:$K,MATCH('Full Customer List'!$B259,'Customer List w Software'!$A:$A,0))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 w Software'!$K:$K,MATCH('Full Customer List'!$B260,'Customer List w Software'!$A:$A,0))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 w Software'!$K:$K,MATCH('Full Customer List'!$B261,'Customer List w Software'!$A:$A,0))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 w Software'!$K:$K,MATCH('Full Customer List'!$B262,'Customer List w Software'!$A:$A,0))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 w Software'!$K:$K,MATCH('Full Customer List'!$B263,'Customer List w Software'!$A:$A,0))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20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 w Software'!$K:$K,MATCH('Full Customer List'!$B264,'Customer List w Software'!$A:$A,0))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20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 w Software'!$K:$K,MATCH('Full Customer List'!$B265,'Customer List w Software'!$A:$A,0))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 w Software'!$K:$K,MATCH('Full Customer List'!$B266,'Customer List w Software'!$A:$A,0))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 w Software'!$K:$K,MATCH('Full Customer List'!$B267,'Customer List w Software'!$A:$A,0))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 w Software'!$K:$K,MATCH('Full Customer List'!$B268,'Customer List w Software'!$A:$A,0))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 w Software'!$K:$K,MATCH('Full Customer List'!$B269,'Customer List w Software'!$A:$A,0))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 w Software'!$K:$K,MATCH('Full Customer List'!$B270,'Customer List w Software'!$A:$A,0))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 w Software'!$K:$K,MATCH('Full Customer List'!$B271,'Customer List w Software'!$A:$A,0))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 w Software'!$K:$K,MATCH('Full Customer List'!$B272,'Customer List w Software'!$A:$A,0))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 w Software'!$K:$K,MATCH('Full Customer List'!$B273,'Customer List w Software'!$A:$A,0))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 w Software'!$K:$K,MATCH('Full Customer List'!$B274,'Customer List w Software'!$A:$A,0))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20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 w Software'!$K:$K,MATCH('Full Customer List'!$B275,'Customer List w Software'!$A:$A,0))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 w Software'!$K:$K,MATCH('Full Customer List'!$B276,'Customer List w Software'!$A:$A,0))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20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 w Software'!$K:$K,MATCH('Full Customer List'!$B277,'Customer List w Software'!$A:$A,0))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20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 w Software'!$K:$K,MATCH('Full Customer List'!$B278,'Customer List w Software'!$A:$A,0))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 w Software'!$K:$K,MATCH('Full Customer List'!$B279,'Customer List w Software'!$A:$A,0))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20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 w Software'!$K:$K,MATCH('Full Customer List'!$B280,'Customer List w Software'!$A:$A,0))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 w Software'!$K:$K,MATCH('Full Customer List'!$B281,'Customer List w Software'!$A:$A,0))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 w Software'!$K:$K,MATCH('Full Customer List'!$B282,'Customer List w Software'!$A:$A,0))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 w Software'!$K:$K,MATCH('Full Customer List'!$B283,'Customer List w Software'!$A:$A,0))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 w Software'!$K:$K,MATCH('Full Customer List'!$B284,'Customer List w Software'!$A:$A,0))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 w Software'!$K:$K,MATCH('Full Customer List'!$B285,'Customer List w Software'!$A:$A,0))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 w Software'!$K:$K,MATCH('Full Customer List'!$B286,'Customer List w Software'!$A:$A,0))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 w Software'!$K:$K,MATCH('Full Customer List'!$B287,'Customer List w Software'!$A:$A,0))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 w Software'!$K:$K,MATCH('Full Customer List'!$B288,'Customer List w Software'!$A:$A,0))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 w Software'!$K:$K,MATCH('Full Customer List'!$B289,'Customer List w Software'!$A:$A,0))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 w Software'!$K:$K,MATCH('Full Customer List'!$B290,'Customer List w Software'!$A:$A,0))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 w Software'!$K:$K,MATCH('Full Customer List'!$B291,'Customer List w Software'!$A:$A,0))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 w Software'!$K:$K,MATCH('Full Customer List'!$B292,'Customer List w Software'!$A:$A,0))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 w Software'!$K:$K,MATCH('Full Customer List'!$B293,'Customer List w Software'!$A:$A,0))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 w Software'!$K:$K,MATCH('Full Customer List'!$B294,'Customer List w Software'!$A:$A,0))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 w Software'!$K:$K,MATCH('Full Customer List'!$B295,'Customer List w Software'!$A:$A,0))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 w Software'!$K:$K,MATCH('Full Customer List'!$B296,'Customer List w Software'!$A:$A,0))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 w Software'!$K:$K,MATCH('Full Customer List'!$B297,'Customer List w Software'!$A:$A,0))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 w Software'!$K:$K,MATCH('Full Customer List'!$B298,'Customer List w Software'!$A:$A,0))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 w Software'!$K:$K,MATCH('Full Customer List'!$B299,'Customer List w Software'!$A:$A,0))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 w Software'!$K:$K,MATCH('Full Customer List'!$B300,'Customer List w Software'!$A:$A,0))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 w Software'!$K:$K,MATCH('Full Customer List'!$B301,'Customer List w Software'!$A:$A,0))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 w Software'!$K:$K,MATCH('Full Customer List'!$B302,'Customer List w Software'!$A:$A,0))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 w Software'!$K:$K,MATCH('Full Customer List'!$B303,'Customer List w Software'!$A:$A,0))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 w Software'!$K:$K,MATCH('Full Customer List'!$B304,'Customer List w Software'!$A:$A,0))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 w Software'!$K:$K,MATCH('Full Customer List'!$B305,'Customer List w Software'!$A:$A,0))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 w Software'!$K:$K,MATCH('Full Customer List'!$B306,'Customer List w Software'!$A:$A,0))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 w Software'!$K:$K,MATCH('Full Customer List'!$B307,'Customer List w Software'!$A:$A,0))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 w Software'!$K:$K,MATCH('Full Customer List'!$B308,'Customer List w Software'!$A:$A,0))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 w Software'!$K:$K,MATCH('Full Customer List'!$B309,'Customer List w Software'!$A:$A,0))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 w Software'!$K:$K,MATCH('Full Customer List'!$B310,'Customer List w Software'!$A:$A,0))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 w Software'!$K:$K,MATCH('Full Customer List'!$B311,'Customer List w Software'!$A:$A,0))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 w Software'!$K:$K,MATCH('Full Customer List'!$B312,'Customer List w Software'!$A:$A,0))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 w Software'!$K:$K,MATCH('Full Customer List'!$B313,'Customer List w Software'!$A:$A,0))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1523</v>
      </c>
      <c r="C314" s="220" t="s">
        <v>497</v>
      </c>
      <c r="D314" s="220" t="s">
        <v>498</v>
      </c>
      <c r="E314" s="220" t="s">
        <v>1301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1524</v>
      </c>
      <c r="C315" s="220" t="s">
        <v>497</v>
      </c>
      <c r="D315" s="220" t="s">
        <v>498</v>
      </c>
      <c r="E315" s="220" t="s">
        <v>1301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1525</v>
      </c>
      <c r="C316" s="220" t="s">
        <v>497</v>
      </c>
      <c r="D316" s="220" t="s">
        <v>498</v>
      </c>
      <c r="E316" s="220" t="s">
        <v>1301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1526</v>
      </c>
      <c r="C317" s="220" t="s">
        <v>497</v>
      </c>
      <c r="D317" s="220" t="s">
        <v>498</v>
      </c>
      <c r="E317" s="220" t="s">
        <v>1301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1527</v>
      </c>
      <c r="C318" s="220" t="s">
        <v>497</v>
      </c>
      <c r="D318" s="220" t="s">
        <v>498</v>
      </c>
      <c r="E318" s="220" t="s">
        <v>1301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1528</v>
      </c>
      <c r="C319" s="220" t="s">
        <v>497</v>
      </c>
      <c r="D319" s="220" t="s">
        <v>498</v>
      </c>
      <c r="E319" s="220" t="s">
        <v>1301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1529</v>
      </c>
      <c r="C320" s="220" t="s">
        <v>497</v>
      </c>
      <c r="D320" s="220" t="s">
        <v>498</v>
      </c>
      <c r="E320" s="220" t="s">
        <v>1301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1185</v>
      </c>
      <c r="E5" s="203"/>
      <c r="F5" s="204"/>
      <c r="G5" s="74" t="s">
        <v>1313</v>
      </c>
      <c r="H5" s="203"/>
      <c r="I5" s="74" t="s">
        <v>1312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466</v>
      </c>
      <c r="C6" s="202" t="s">
        <v>116</v>
      </c>
      <c r="D6" s="189" t="s">
        <v>1299</v>
      </c>
      <c r="E6" s="202" t="s">
        <v>1300</v>
      </c>
      <c r="F6" s="205" t="s">
        <v>1307</v>
      </c>
      <c r="G6" s="189" t="s">
        <v>1314</v>
      </c>
      <c r="H6" s="202" t="s">
        <v>1315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1301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1301</v>
      </c>
      <c r="F8" s="190">
        <v>163</v>
      </c>
      <c r="G8" s="194">
        <v>45931</v>
      </c>
      <c r="H8" s="194"/>
      <c r="I8" s="190" t="s">
        <v>338</v>
      </c>
      <c r="J8" s="190" t="s">
        <v>338</v>
      </c>
      <c r="K8" s="190" t="s">
        <v>338</v>
      </c>
      <c r="L8" s="190" t="s">
        <v>338</v>
      </c>
      <c r="M8" s="190" t="s">
        <v>338</v>
      </c>
      <c r="N8" s="190" t="s">
        <v>338</v>
      </c>
      <c r="O8" s="190" t="s">
        <v>338</v>
      </c>
      <c r="P8" s="190" t="s">
        <v>338</v>
      </c>
      <c r="Q8" s="190" t="s">
        <v>338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1301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1301</v>
      </c>
      <c r="F10" s="190">
        <v>99</v>
      </c>
      <c r="G10" s="194">
        <v>45717</v>
      </c>
      <c r="H10" s="194"/>
      <c r="I10" s="190" t="s">
        <v>338</v>
      </c>
      <c r="J10" s="190" t="s">
        <v>338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1301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1301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1301</v>
      </c>
      <c r="F13" s="190">
        <v>81</v>
      </c>
      <c r="G13" s="194">
        <v>45717</v>
      </c>
      <c r="H13" s="194"/>
      <c r="I13" s="190" t="s">
        <v>338</v>
      </c>
      <c r="J13" s="190" t="s">
        <v>338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1301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1301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1301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1301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1301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1301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1301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1301</v>
      </c>
      <c r="F21" s="190">
        <v>60</v>
      </c>
      <c r="G21" s="194">
        <v>45778</v>
      </c>
      <c r="H21" s="194"/>
      <c r="I21" s="190" t="s">
        <v>338</v>
      </c>
      <c r="J21" s="190" t="s">
        <v>338</v>
      </c>
      <c r="K21" s="190" t="s">
        <v>338</v>
      </c>
      <c r="L21" s="190" t="s">
        <v>338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1301</v>
      </c>
      <c r="F22" s="190">
        <v>73</v>
      </c>
      <c r="G22" s="194">
        <v>45870</v>
      </c>
      <c r="H22" s="194">
        <v>46142</v>
      </c>
      <c r="I22" s="190" t="s">
        <v>338</v>
      </c>
      <c r="J22" s="190" t="s">
        <v>338</v>
      </c>
      <c r="K22" s="190" t="s">
        <v>338</v>
      </c>
      <c r="L22" s="190" t="s">
        <v>338</v>
      </c>
      <c r="M22" s="190" t="s">
        <v>338</v>
      </c>
      <c r="N22" s="190" t="s">
        <v>338</v>
      </c>
      <c r="O22" s="190" t="s">
        <v>338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338</v>
      </c>
      <c r="Z22" s="190" t="s">
        <v>338</v>
      </c>
      <c r="AA22" s="190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1301</v>
      </c>
      <c r="F23" s="190">
        <v>42</v>
      </c>
      <c r="G23" s="194">
        <v>45839</v>
      </c>
      <c r="H23" s="194"/>
      <c r="I23" s="190" t="s">
        <v>338</v>
      </c>
      <c r="J23" s="190" t="s">
        <v>338</v>
      </c>
      <c r="K23" s="190" t="s">
        <v>338</v>
      </c>
      <c r="L23" s="190" t="s">
        <v>338</v>
      </c>
      <c r="M23" s="190" t="s">
        <v>338</v>
      </c>
      <c r="N23" s="190" t="s">
        <v>338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1301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1301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1301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1301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1301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1301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1301</v>
      </c>
      <c r="F30" s="190">
        <v>30</v>
      </c>
      <c r="G30" s="194">
        <v>45778</v>
      </c>
      <c r="H30" s="194"/>
      <c r="I30" s="190" t="s">
        <v>338</v>
      </c>
      <c r="J30" s="190" t="s">
        <v>338</v>
      </c>
      <c r="K30" s="190" t="s">
        <v>338</v>
      </c>
      <c r="L30" s="190" t="s">
        <v>338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1301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1301</v>
      </c>
      <c r="F32" s="190">
        <v>55</v>
      </c>
      <c r="G32" s="194">
        <v>45992</v>
      </c>
      <c r="H32" s="194"/>
      <c r="I32" s="190" t="s">
        <v>338</v>
      </c>
      <c r="J32" s="190" t="s">
        <v>338</v>
      </c>
      <c r="K32" s="190" t="s">
        <v>338</v>
      </c>
      <c r="L32" s="190" t="s">
        <v>338</v>
      </c>
      <c r="M32" s="190" t="s">
        <v>338</v>
      </c>
      <c r="N32" s="190" t="s">
        <v>338</v>
      </c>
      <c r="O32" s="190" t="s">
        <v>338</v>
      </c>
      <c r="P32" s="190" t="s">
        <v>338</v>
      </c>
      <c r="Q32" s="190" t="s">
        <v>338</v>
      </c>
      <c r="R32" s="190" t="s">
        <v>338</v>
      </c>
      <c r="S32" s="190" t="s">
        <v>338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1301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1301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1301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1301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1302</v>
      </c>
      <c r="F37" s="190" t="s">
        <v>338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868</v>
      </c>
      <c r="C38" s="171" t="s">
        <v>562</v>
      </c>
      <c r="D38" s="252" t="s">
        <v>498</v>
      </c>
      <c r="E38" s="252" t="s">
        <v>1301</v>
      </c>
      <c r="F38" s="190">
        <v>20</v>
      </c>
      <c r="G38" s="194">
        <v>46143</v>
      </c>
      <c r="H38" s="194">
        <v>46234</v>
      </c>
      <c r="I38" s="190" t="s">
        <v>338</v>
      </c>
      <c r="J38" s="190" t="s">
        <v>338</v>
      </c>
      <c r="K38" s="190" t="s">
        <v>338</v>
      </c>
      <c r="L38" s="190" t="s">
        <v>338</v>
      </c>
      <c r="M38" s="190" t="s">
        <v>338</v>
      </c>
      <c r="N38" s="190" t="s">
        <v>338</v>
      </c>
      <c r="O38" s="190" t="s">
        <v>338</v>
      </c>
      <c r="P38" s="190" t="s">
        <v>338</v>
      </c>
      <c r="Q38" s="190" t="s">
        <v>338</v>
      </c>
      <c r="R38" s="190" t="s">
        <v>338</v>
      </c>
      <c r="S38" s="190" t="s">
        <v>338</v>
      </c>
      <c r="T38" s="190" t="s">
        <v>338</v>
      </c>
      <c r="U38" s="190" t="s">
        <v>338</v>
      </c>
      <c r="V38" s="190" t="s">
        <v>338</v>
      </c>
      <c r="W38" s="190" t="s">
        <v>338</v>
      </c>
      <c r="X38" s="190" t="s">
        <v>338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1301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1301</v>
      </c>
      <c r="F40" s="190">
        <v>84</v>
      </c>
      <c r="G40" s="194">
        <v>45962</v>
      </c>
      <c r="H40" s="194"/>
      <c r="I40" s="190" t="s">
        <v>338</v>
      </c>
      <c r="J40" s="190" t="s">
        <v>338</v>
      </c>
      <c r="K40" s="190" t="s">
        <v>338</v>
      </c>
      <c r="L40" s="190" t="s">
        <v>338</v>
      </c>
      <c r="M40" s="190" t="s">
        <v>338</v>
      </c>
      <c r="N40" s="190" t="s">
        <v>338</v>
      </c>
      <c r="O40" s="190" t="s">
        <v>338</v>
      </c>
      <c r="P40" s="190" t="s">
        <v>338</v>
      </c>
      <c r="Q40" s="190" t="s">
        <v>338</v>
      </c>
      <c r="R40" s="190" t="s">
        <v>338</v>
      </c>
      <c r="S40" s="190" t="s">
        <v>338</v>
      </c>
      <c r="T40" s="190" t="s">
        <v>338</v>
      </c>
      <c r="U40" s="190" t="s">
        <v>338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1301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1301</v>
      </c>
      <c r="F42" s="190">
        <v>39</v>
      </c>
      <c r="G42" s="194">
        <v>45901</v>
      </c>
      <c r="H42" s="194"/>
      <c r="I42" s="190" t="s">
        <v>338</v>
      </c>
      <c r="J42" s="190" t="s">
        <v>338</v>
      </c>
      <c r="K42" s="190" t="s">
        <v>338</v>
      </c>
      <c r="L42" s="190" t="s">
        <v>338</v>
      </c>
      <c r="M42" s="190" t="s">
        <v>338</v>
      </c>
      <c r="N42" s="190" t="s">
        <v>338</v>
      </c>
      <c r="O42" s="190" t="s">
        <v>338</v>
      </c>
      <c r="P42" s="190" t="s">
        <v>338</v>
      </c>
      <c r="Q42" s="190" t="s">
        <v>338</v>
      </c>
      <c r="R42" s="190" t="s">
        <v>338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1301</v>
      </c>
      <c r="F43" s="190">
        <v>45</v>
      </c>
      <c r="G43" s="194">
        <v>46023</v>
      </c>
      <c r="H43" s="194"/>
      <c r="I43" s="190" t="s">
        <v>338</v>
      </c>
      <c r="J43" s="190" t="s">
        <v>338</v>
      </c>
      <c r="K43" s="190" t="s">
        <v>338</v>
      </c>
      <c r="L43" s="190" t="s">
        <v>338</v>
      </c>
      <c r="M43" s="190" t="s">
        <v>338</v>
      </c>
      <c r="N43" s="190" t="s">
        <v>338</v>
      </c>
      <c r="O43" s="190" t="s">
        <v>338</v>
      </c>
      <c r="P43" s="190" t="s">
        <v>338</v>
      </c>
      <c r="Q43" s="190" t="s">
        <v>338</v>
      </c>
      <c r="R43" s="190" t="s">
        <v>338</v>
      </c>
      <c r="S43" s="190" t="s">
        <v>338</v>
      </c>
      <c r="T43" s="190" t="s">
        <v>338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1301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1301</v>
      </c>
      <c r="F45" s="190">
        <v>48</v>
      </c>
      <c r="G45" s="194">
        <v>45992</v>
      </c>
      <c r="H45" s="194"/>
      <c r="I45" s="190" t="s">
        <v>338</v>
      </c>
      <c r="J45" s="190" t="s">
        <v>338</v>
      </c>
      <c r="K45" s="190" t="s">
        <v>338</v>
      </c>
      <c r="L45" s="190" t="s">
        <v>338</v>
      </c>
      <c r="M45" s="190" t="s">
        <v>338</v>
      </c>
      <c r="N45" s="190" t="s">
        <v>338</v>
      </c>
      <c r="O45" s="190" t="s">
        <v>338</v>
      </c>
      <c r="P45" s="190" t="s">
        <v>338</v>
      </c>
      <c r="Q45" s="190" t="s">
        <v>338</v>
      </c>
      <c r="R45" s="190" t="s">
        <v>338</v>
      </c>
      <c r="S45" s="190" t="s">
        <v>338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1301</v>
      </c>
      <c r="F46" s="190">
        <v>20</v>
      </c>
      <c r="G46" s="194">
        <v>45352</v>
      </c>
      <c r="H46" s="194"/>
      <c r="I46" s="190" t="s">
        <v>338</v>
      </c>
      <c r="J46" s="190" t="s">
        <v>338</v>
      </c>
      <c r="K46" s="190" t="s">
        <v>338</v>
      </c>
      <c r="L46" s="190" t="s">
        <v>338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1301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1301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1301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1301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1301</v>
      </c>
      <c r="F51" s="190">
        <v>18</v>
      </c>
      <c r="G51" s="194">
        <v>45809</v>
      </c>
      <c r="H51" s="194"/>
      <c r="I51" s="190" t="s">
        <v>338</v>
      </c>
      <c r="J51" s="190" t="s">
        <v>338</v>
      </c>
      <c r="K51" s="190" t="s">
        <v>338</v>
      </c>
      <c r="L51" s="190" t="s">
        <v>338</v>
      </c>
      <c r="M51" s="190" t="s">
        <v>338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1301</v>
      </c>
      <c r="F52" s="190">
        <v>120</v>
      </c>
      <c r="G52" s="194">
        <v>46143</v>
      </c>
      <c r="H52" s="194"/>
      <c r="I52" s="190" t="s">
        <v>338</v>
      </c>
      <c r="J52" s="190" t="s">
        <v>338</v>
      </c>
      <c r="K52" s="190" t="s">
        <v>338</v>
      </c>
      <c r="L52" s="190" t="s">
        <v>338</v>
      </c>
      <c r="M52" s="190" t="s">
        <v>338</v>
      </c>
      <c r="N52" s="190" t="s">
        <v>338</v>
      </c>
      <c r="O52" s="190" t="s">
        <v>338</v>
      </c>
      <c r="P52" s="190" t="s">
        <v>338</v>
      </c>
      <c r="Q52" s="190" t="s">
        <v>338</v>
      </c>
      <c r="R52" s="190" t="s">
        <v>338</v>
      </c>
      <c r="S52" s="190" t="s">
        <v>338</v>
      </c>
      <c r="T52" s="190" t="s">
        <v>338</v>
      </c>
      <c r="U52" s="190" t="s">
        <v>338</v>
      </c>
      <c r="V52" s="190" t="s">
        <v>338</v>
      </c>
      <c r="W52" s="190" t="s">
        <v>338</v>
      </c>
      <c r="X52" s="190" t="s">
        <v>338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1301</v>
      </c>
      <c r="F53" s="190">
        <v>26</v>
      </c>
      <c r="G53" s="194">
        <v>45778</v>
      </c>
      <c r="H53" s="194"/>
      <c r="I53" s="190" t="s">
        <v>338</v>
      </c>
      <c r="J53" s="190" t="s">
        <v>338</v>
      </c>
      <c r="K53" s="190" t="s">
        <v>338</v>
      </c>
      <c r="L53" s="190" t="s">
        <v>338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1301</v>
      </c>
      <c r="F54" s="190">
        <v>22</v>
      </c>
      <c r="G54" s="194">
        <v>46023</v>
      </c>
      <c r="H54" s="194"/>
      <c r="I54" s="190" t="s">
        <v>338</v>
      </c>
      <c r="J54" s="190" t="s">
        <v>338</v>
      </c>
      <c r="K54" s="190" t="s">
        <v>338</v>
      </c>
      <c r="L54" s="190" t="s">
        <v>338</v>
      </c>
      <c r="M54" s="190" t="s">
        <v>338</v>
      </c>
      <c r="N54" s="190" t="s">
        <v>338</v>
      </c>
      <c r="O54" s="190" t="s">
        <v>338</v>
      </c>
      <c r="P54" s="190" t="s">
        <v>338</v>
      </c>
      <c r="Q54" s="190" t="s">
        <v>338</v>
      </c>
      <c r="R54" s="190" t="s">
        <v>338</v>
      </c>
      <c r="S54" s="190" t="s">
        <v>338</v>
      </c>
      <c r="T54" s="190" t="s">
        <v>338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1302</v>
      </c>
      <c r="F55" s="190" t="s">
        <v>338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1301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1301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1301</v>
      </c>
      <c r="F58" s="190">
        <v>26</v>
      </c>
      <c r="G58" s="194">
        <v>45992</v>
      </c>
      <c r="H58" s="194"/>
      <c r="I58" s="190" t="s">
        <v>338</v>
      </c>
      <c r="J58" s="190" t="s">
        <v>338</v>
      </c>
      <c r="K58" s="190" t="s">
        <v>338</v>
      </c>
      <c r="L58" s="190" t="s">
        <v>338</v>
      </c>
      <c r="M58" s="190" t="s">
        <v>338</v>
      </c>
      <c r="N58" s="190" t="s">
        <v>338</v>
      </c>
      <c r="O58" s="190" t="s">
        <v>338</v>
      </c>
      <c r="P58" s="190" t="s">
        <v>338</v>
      </c>
      <c r="Q58" s="190" t="s">
        <v>338</v>
      </c>
      <c r="R58" s="190" t="s">
        <v>338</v>
      </c>
      <c r="S58" s="190" t="s">
        <v>338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1301</v>
      </c>
      <c r="F59" s="190">
        <v>32</v>
      </c>
      <c r="G59" s="194">
        <v>46023</v>
      </c>
      <c r="H59" s="194"/>
      <c r="I59" s="190" t="s">
        <v>338</v>
      </c>
      <c r="J59" s="190" t="s">
        <v>338</v>
      </c>
      <c r="K59" s="190" t="s">
        <v>338</v>
      </c>
      <c r="L59" s="190" t="s">
        <v>338</v>
      </c>
      <c r="M59" s="190" t="s">
        <v>338</v>
      </c>
      <c r="N59" s="190" t="s">
        <v>338</v>
      </c>
      <c r="O59" s="190" t="s">
        <v>338</v>
      </c>
      <c r="P59" s="190" t="s">
        <v>338</v>
      </c>
      <c r="Q59" s="190" t="s">
        <v>338</v>
      </c>
      <c r="R59" s="190" t="s">
        <v>338</v>
      </c>
      <c r="S59" s="190" t="s">
        <v>338</v>
      </c>
      <c r="T59" s="190" t="s">
        <v>338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1301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1301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1301</v>
      </c>
      <c r="F62" s="190">
        <v>44</v>
      </c>
      <c r="G62" s="194">
        <v>46113</v>
      </c>
      <c r="H62" s="194"/>
      <c r="I62" s="190" t="s">
        <v>338</v>
      </c>
      <c r="J62" s="190" t="s">
        <v>338</v>
      </c>
      <c r="K62" s="190" t="s">
        <v>338</v>
      </c>
      <c r="L62" s="190" t="s">
        <v>338</v>
      </c>
      <c r="M62" s="190" t="s">
        <v>338</v>
      </c>
      <c r="N62" s="190" t="s">
        <v>338</v>
      </c>
      <c r="O62" s="190" t="s">
        <v>338</v>
      </c>
      <c r="P62" s="190" t="s">
        <v>338</v>
      </c>
      <c r="Q62" s="190" t="s">
        <v>338</v>
      </c>
      <c r="R62" s="190" t="s">
        <v>338</v>
      </c>
      <c r="S62" s="190" t="s">
        <v>338</v>
      </c>
      <c r="T62" s="190" t="s">
        <v>338</v>
      </c>
      <c r="U62" s="190" t="s">
        <v>338</v>
      </c>
      <c r="V62" s="190" t="s">
        <v>338</v>
      </c>
      <c r="W62" s="190" t="s">
        <v>338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1301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338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1301</v>
      </c>
      <c r="F64" s="190">
        <v>51</v>
      </c>
      <c r="G64" s="194">
        <v>46082</v>
      </c>
      <c r="H64" s="194"/>
      <c r="I64" s="190" t="s">
        <v>338</v>
      </c>
      <c r="J64" s="190" t="s">
        <v>338</v>
      </c>
      <c r="K64" s="190" t="s">
        <v>338</v>
      </c>
      <c r="L64" s="190" t="s">
        <v>338</v>
      </c>
      <c r="M64" s="190" t="s">
        <v>338</v>
      </c>
      <c r="N64" s="190" t="s">
        <v>338</v>
      </c>
      <c r="O64" s="190" t="s">
        <v>338</v>
      </c>
      <c r="P64" s="190" t="s">
        <v>338</v>
      </c>
      <c r="Q64" s="190" t="s">
        <v>338</v>
      </c>
      <c r="R64" s="190" t="s">
        <v>338</v>
      </c>
      <c r="S64" s="190" t="s">
        <v>338</v>
      </c>
      <c r="T64" s="190" t="s">
        <v>338</v>
      </c>
      <c r="U64" s="190" t="s">
        <v>338</v>
      </c>
      <c r="V64" s="190" t="s">
        <v>338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1301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1303</v>
      </c>
      <c r="F66" s="190" t="s">
        <v>338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338</v>
      </c>
      <c r="W66" s="190" t="s">
        <v>338</v>
      </c>
      <c r="X66" s="190" t="s">
        <v>338</v>
      </c>
      <c r="Y66" s="190" t="s">
        <v>338</v>
      </c>
      <c r="Z66" s="190" t="s">
        <v>338</v>
      </c>
      <c r="AA66" s="190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1301</v>
      </c>
      <c r="F67" s="190">
        <v>19</v>
      </c>
      <c r="G67" s="194">
        <v>45901</v>
      </c>
      <c r="H67" s="194"/>
      <c r="I67" s="190" t="s">
        <v>338</v>
      </c>
      <c r="J67" s="190" t="s">
        <v>338</v>
      </c>
      <c r="K67" s="190" t="s">
        <v>338</v>
      </c>
      <c r="L67" s="190" t="s">
        <v>338</v>
      </c>
      <c r="M67" s="190" t="s">
        <v>338</v>
      </c>
      <c r="N67" s="190" t="s">
        <v>338</v>
      </c>
      <c r="O67" s="190" t="s">
        <v>338</v>
      </c>
      <c r="P67" s="190" t="s">
        <v>338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1301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1301</v>
      </c>
      <c r="F69" s="190">
        <v>21</v>
      </c>
      <c r="G69" s="194">
        <v>45689</v>
      </c>
      <c r="H69" s="194"/>
      <c r="I69" s="190" t="s">
        <v>338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1301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1301</v>
      </c>
      <c r="F71" s="190">
        <v>17</v>
      </c>
      <c r="G71" s="194">
        <v>45901</v>
      </c>
      <c r="H71" s="194"/>
      <c r="I71" s="190" t="s">
        <v>338</v>
      </c>
      <c r="J71" s="190" t="s">
        <v>338</v>
      </c>
      <c r="K71" s="190" t="s">
        <v>338</v>
      </c>
      <c r="L71" s="190" t="s">
        <v>338</v>
      </c>
      <c r="M71" s="190" t="s">
        <v>338</v>
      </c>
      <c r="N71" s="190" t="s">
        <v>338</v>
      </c>
      <c r="O71" s="190" t="s">
        <v>338</v>
      </c>
      <c r="P71" s="190" t="s">
        <v>338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1301</v>
      </c>
      <c r="F72" s="190">
        <v>32</v>
      </c>
      <c r="G72" s="194">
        <v>46082</v>
      </c>
      <c r="H72" s="194"/>
      <c r="I72" s="190" t="s">
        <v>338</v>
      </c>
      <c r="J72" s="190" t="s">
        <v>338</v>
      </c>
      <c r="K72" s="190" t="s">
        <v>338</v>
      </c>
      <c r="L72" s="190" t="s">
        <v>338</v>
      </c>
      <c r="M72" s="190" t="s">
        <v>338</v>
      </c>
      <c r="N72" s="190" t="s">
        <v>338</v>
      </c>
      <c r="O72" s="190" t="s">
        <v>338</v>
      </c>
      <c r="P72" s="190" t="s">
        <v>338</v>
      </c>
      <c r="Q72" s="190" t="s">
        <v>338</v>
      </c>
      <c r="R72" s="190" t="s">
        <v>338</v>
      </c>
      <c r="S72" s="190" t="s">
        <v>338</v>
      </c>
      <c r="T72" s="190" t="s">
        <v>338</v>
      </c>
      <c r="U72" s="190" t="s">
        <v>338</v>
      </c>
      <c r="V72" s="190" t="s">
        <v>338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1302</v>
      </c>
      <c r="F73" s="190" t="s">
        <v>338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670</v>
      </c>
      <c r="C74" s="220" t="s">
        <v>562</v>
      </c>
      <c r="D74" s="171" t="s">
        <v>498</v>
      </c>
      <c r="E74" s="171" t="s">
        <v>1301</v>
      </c>
      <c r="F74" s="190">
        <v>37</v>
      </c>
      <c r="G74" s="194">
        <v>46054</v>
      </c>
      <c r="H74" s="194">
        <v>46265</v>
      </c>
      <c r="I74" s="190" t="s">
        <v>338</v>
      </c>
      <c r="J74" s="190" t="s">
        <v>338</v>
      </c>
      <c r="K74" s="190" t="s">
        <v>338</v>
      </c>
      <c r="L74" s="190" t="s">
        <v>338</v>
      </c>
      <c r="M74" s="190" t="s">
        <v>338</v>
      </c>
      <c r="N74" s="190" t="s">
        <v>338</v>
      </c>
      <c r="O74" s="190" t="s">
        <v>338</v>
      </c>
      <c r="P74" s="190" t="s">
        <v>338</v>
      </c>
      <c r="Q74" s="190" t="s">
        <v>338</v>
      </c>
      <c r="R74" s="190" t="s">
        <v>338</v>
      </c>
      <c r="S74" s="190" t="s">
        <v>338</v>
      </c>
      <c r="T74" s="190" t="s">
        <v>338</v>
      </c>
      <c r="U74" s="190" t="s">
        <v>338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1301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1301</v>
      </c>
      <c r="F76" s="190">
        <v>28</v>
      </c>
      <c r="G76" s="194">
        <v>45870</v>
      </c>
      <c r="H76" s="194"/>
      <c r="I76" s="190" t="s">
        <v>338</v>
      </c>
      <c r="J76" s="190" t="s">
        <v>338</v>
      </c>
      <c r="K76" s="190" t="s">
        <v>338</v>
      </c>
      <c r="L76" s="190" t="s">
        <v>338</v>
      </c>
      <c r="M76" s="190" t="s">
        <v>338</v>
      </c>
      <c r="N76" s="190" t="s">
        <v>338</v>
      </c>
      <c r="O76" s="190" t="s">
        <v>338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1301</v>
      </c>
      <c r="F77" s="190">
        <v>13</v>
      </c>
      <c r="G77" s="194">
        <v>45658</v>
      </c>
      <c r="H77" s="194"/>
      <c r="I77" s="190" t="s">
        <v>338</v>
      </c>
      <c r="J77" s="190" t="s">
        <v>338</v>
      </c>
      <c r="K77" s="190" t="s">
        <v>338</v>
      </c>
      <c r="L77" s="190" t="s">
        <v>338</v>
      </c>
      <c r="M77" s="190" t="s">
        <v>338</v>
      </c>
      <c r="N77" s="190" t="s">
        <v>338</v>
      </c>
      <c r="O77" s="190" t="s">
        <v>338</v>
      </c>
      <c r="P77" s="190" t="s">
        <v>338</v>
      </c>
      <c r="Q77" s="190" t="s">
        <v>338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1301</v>
      </c>
      <c r="F78" s="190">
        <v>14</v>
      </c>
      <c r="G78" s="194">
        <v>46054</v>
      </c>
      <c r="H78" s="194"/>
      <c r="I78" s="190" t="s">
        <v>338</v>
      </c>
      <c r="J78" s="190" t="s">
        <v>338</v>
      </c>
      <c r="K78" s="190" t="s">
        <v>338</v>
      </c>
      <c r="L78" s="190" t="s">
        <v>338</v>
      </c>
      <c r="M78" s="190" t="s">
        <v>338</v>
      </c>
      <c r="N78" s="190" t="s">
        <v>338</v>
      </c>
      <c r="O78" s="190" t="s">
        <v>338</v>
      </c>
      <c r="P78" s="190" t="s">
        <v>338</v>
      </c>
      <c r="Q78" s="190" t="s">
        <v>338</v>
      </c>
      <c r="R78" s="190" t="s">
        <v>338</v>
      </c>
      <c r="S78" s="190" t="s">
        <v>338</v>
      </c>
      <c r="T78" s="190" t="s">
        <v>338</v>
      </c>
      <c r="U78" s="190" t="s">
        <v>338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1301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1301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1301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338</v>
      </c>
      <c r="AA82" s="190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1301</v>
      </c>
      <c r="F83" s="190">
        <v>45</v>
      </c>
      <c r="G83" s="194">
        <v>45992</v>
      </c>
      <c r="H83" s="194"/>
      <c r="I83" s="190" t="s">
        <v>338</v>
      </c>
      <c r="J83" s="190" t="s">
        <v>338</v>
      </c>
      <c r="K83" s="190" t="s">
        <v>338</v>
      </c>
      <c r="L83" s="190" t="s">
        <v>338</v>
      </c>
      <c r="M83" s="190" t="s">
        <v>338</v>
      </c>
      <c r="N83" s="190" t="s">
        <v>338</v>
      </c>
      <c r="O83" s="190" t="s">
        <v>338</v>
      </c>
      <c r="P83" s="190" t="s">
        <v>338</v>
      </c>
      <c r="Q83" s="190" t="s">
        <v>338</v>
      </c>
      <c r="R83" s="190" t="s">
        <v>338</v>
      </c>
      <c r="S83" s="190" t="s">
        <v>338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1301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1303</v>
      </c>
      <c r="F85" s="190" t="s">
        <v>338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338</v>
      </c>
      <c r="Y85" s="190" t="s">
        <v>338</v>
      </c>
      <c r="Z85" s="190" t="s">
        <v>338</v>
      </c>
      <c r="AA85" s="190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1301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1302</v>
      </c>
      <c r="F87" s="190" t="s">
        <v>338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1301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338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1301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1301</v>
      </c>
      <c r="F90" s="190">
        <v>19</v>
      </c>
      <c r="G90" s="194">
        <v>45717</v>
      </c>
      <c r="H90" s="194"/>
      <c r="I90" s="190" t="s">
        <v>338</v>
      </c>
      <c r="J90" s="190" t="s">
        <v>338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1301</v>
      </c>
      <c r="F91" s="190">
        <v>19</v>
      </c>
      <c r="G91" s="194">
        <v>45748</v>
      </c>
      <c r="H91" s="194"/>
      <c r="I91" s="190" t="s">
        <v>338</v>
      </c>
      <c r="J91" s="190" t="s">
        <v>338</v>
      </c>
      <c r="K91" s="190" t="s">
        <v>338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1301</v>
      </c>
      <c r="F92" s="190">
        <v>9</v>
      </c>
      <c r="G92" s="194">
        <v>45962</v>
      </c>
      <c r="H92" s="194"/>
      <c r="I92" s="190" t="s">
        <v>338</v>
      </c>
      <c r="J92" s="190" t="s">
        <v>338</v>
      </c>
      <c r="K92" s="190" t="s">
        <v>338</v>
      </c>
      <c r="L92" s="190" t="s">
        <v>338</v>
      </c>
      <c r="M92" s="190" t="s">
        <v>338</v>
      </c>
      <c r="N92" s="190" t="s">
        <v>338</v>
      </c>
      <c r="O92" s="190" t="s">
        <v>338</v>
      </c>
      <c r="P92" s="190" t="s">
        <v>338</v>
      </c>
      <c r="Q92" s="190" t="s">
        <v>338</v>
      </c>
      <c r="R92" s="190" t="s">
        <v>338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1301</v>
      </c>
      <c r="F93" s="190">
        <v>8</v>
      </c>
      <c r="G93" s="194">
        <v>45748</v>
      </c>
      <c r="H93" s="194"/>
      <c r="I93" s="190" t="s">
        <v>338</v>
      </c>
      <c r="J93" s="190" t="s">
        <v>338</v>
      </c>
      <c r="K93" s="190" t="s">
        <v>338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1301</v>
      </c>
      <c r="F94" s="190">
        <v>11</v>
      </c>
      <c r="G94" s="194">
        <v>45839</v>
      </c>
      <c r="H94" s="194"/>
      <c r="I94" s="190" t="s">
        <v>338</v>
      </c>
      <c r="J94" s="190" t="s">
        <v>338</v>
      </c>
      <c r="K94" s="190" t="s">
        <v>338</v>
      </c>
      <c r="L94" s="190" t="s">
        <v>338</v>
      </c>
      <c r="M94" s="190" t="s">
        <v>338</v>
      </c>
      <c r="N94" s="190" t="s">
        <v>338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1302</v>
      </c>
      <c r="F95" s="190" t="s">
        <v>338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1301</v>
      </c>
      <c r="F96" s="190">
        <v>27</v>
      </c>
      <c r="G96" s="194">
        <v>46113</v>
      </c>
      <c r="H96" s="194"/>
      <c r="I96" s="190" t="s">
        <v>338</v>
      </c>
      <c r="J96" s="190" t="s">
        <v>338</v>
      </c>
      <c r="K96" s="190" t="s">
        <v>338</v>
      </c>
      <c r="L96" s="190" t="s">
        <v>338</v>
      </c>
      <c r="M96" s="190" t="s">
        <v>338</v>
      </c>
      <c r="N96" s="190" t="s">
        <v>338</v>
      </c>
      <c r="O96" s="190" t="s">
        <v>338</v>
      </c>
      <c r="P96" s="190" t="s">
        <v>338</v>
      </c>
      <c r="Q96" s="190" t="s">
        <v>338</v>
      </c>
      <c r="R96" s="190" t="s">
        <v>338</v>
      </c>
      <c r="S96" s="190" t="s">
        <v>338</v>
      </c>
      <c r="T96" s="190" t="s">
        <v>338</v>
      </c>
      <c r="U96" s="190" t="s">
        <v>338</v>
      </c>
      <c r="V96" s="190" t="s">
        <v>338</v>
      </c>
      <c r="W96" s="190" t="s">
        <v>338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1301</v>
      </c>
      <c r="F97" s="190">
        <v>22</v>
      </c>
      <c r="G97" s="194">
        <v>45717</v>
      </c>
      <c r="H97" s="194"/>
      <c r="I97" s="190" t="s">
        <v>338</v>
      </c>
      <c r="J97" s="190" t="s">
        <v>338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90" t="s">
        <v>338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1301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1301</v>
      </c>
      <c r="F100" s="190">
        <v>90</v>
      </c>
      <c r="G100" s="194">
        <v>45962</v>
      </c>
      <c r="H100" s="194">
        <v>46053</v>
      </c>
      <c r="I100" s="190" t="s">
        <v>338</v>
      </c>
      <c r="J100" s="190" t="s">
        <v>338</v>
      </c>
      <c r="K100" s="190" t="s">
        <v>338</v>
      </c>
      <c r="L100" s="190" t="s">
        <v>338</v>
      </c>
      <c r="M100" s="190" t="s">
        <v>338</v>
      </c>
      <c r="N100" s="190" t="s">
        <v>338</v>
      </c>
      <c r="O100" s="190" t="s">
        <v>338</v>
      </c>
      <c r="P100" s="190" t="s">
        <v>338</v>
      </c>
      <c r="Q100" s="190" t="s">
        <v>338</v>
      </c>
      <c r="R100" s="190" t="s">
        <v>338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338</v>
      </c>
      <c r="X100" s="190" t="s">
        <v>338</v>
      </c>
      <c r="Y100" s="190" t="s">
        <v>338</v>
      </c>
      <c r="Z100" s="190" t="s">
        <v>338</v>
      </c>
      <c r="AA100" s="190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1301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1301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1301</v>
      </c>
      <c r="F103" s="190">
        <v>48</v>
      </c>
      <c r="G103" s="194">
        <v>45689</v>
      </c>
      <c r="H103" s="194">
        <v>45869</v>
      </c>
      <c r="I103" s="190" t="s">
        <v>338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338</v>
      </c>
      <c r="Q103" s="190" t="s">
        <v>338</v>
      </c>
      <c r="R103" s="190" t="s">
        <v>338</v>
      </c>
      <c r="S103" s="190" t="s">
        <v>338</v>
      </c>
      <c r="T103" s="190" t="s">
        <v>338</v>
      </c>
      <c r="U103" s="190" t="s">
        <v>338</v>
      </c>
      <c r="V103" s="190" t="s">
        <v>338</v>
      </c>
      <c r="W103" s="190" t="s">
        <v>338</v>
      </c>
      <c r="X103" s="190" t="s">
        <v>338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1301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1301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1301</v>
      </c>
      <c r="F106" s="190">
        <v>79</v>
      </c>
      <c r="G106" s="194">
        <v>46113</v>
      </c>
      <c r="H106" s="194"/>
      <c r="I106" s="190" t="s">
        <v>338</v>
      </c>
      <c r="J106" s="190" t="s">
        <v>338</v>
      </c>
      <c r="K106" s="190" t="s">
        <v>338</v>
      </c>
      <c r="L106" s="190" t="s">
        <v>338</v>
      </c>
      <c r="M106" s="190" t="s">
        <v>338</v>
      </c>
      <c r="N106" s="190" t="s">
        <v>338</v>
      </c>
      <c r="O106" s="190" t="s">
        <v>338</v>
      </c>
      <c r="P106" s="190" t="s">
        <v>338</v>
      </c>
      <c r="Q106" s="190" t="s">
        <v>338</v>
      </c>
      <c r="R106" s="190" t="s">
        <v>338</v>
      </c>
      <c r="S106" s="190" t="s">
        <v>338</v>
      </c>
      <c r="T106" s="190" t="s">
        <v>338</v>
      </c>
      <c r="U106" s="190" t="s">
        <v>338</v>
      </c>
      <c r="V106" s="190" t="s">
        <v>338</v>
      </c>
      <c r="W106" s="190" t="s">
        <v>338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1301</v>
      </c>
      <c r="F107" s="190">
        <v>29</v>
      </c>
      <c r="G107" s="194">
        <v>46143</v>
      </c>
      <c r="H107" s="194"/>
      <c r="I107" s="190" t="s">
        <v>338</v>
      </c>
      <c r="J107" s="190" t="s">
        <v>338</v>
      </c>
      <c r="K107" s="190" t="s">
        <v>338</v>
      </c>
      <c r="L107" s="190" t="s">
        <v>338</v>
      </c>
      <c r="M107" s="190" t="s">
        <v>338</v>
      </c>
      <c r="N107" s="190" t="s">
        <v>338</v>
      </c>
      <c r="O107" s="190" t="s">
        <v>338</v>
      </c>
      <c r="P107" s="190" t="s">
        <v>338</v>
      </c>
      <c r="Q107" s="190" t="s">
        <v>338</v>
      </c>
      <c r="R107" s="190" t="s">
        <v>338</v>
      </c>
      <c r="S107" s="190" t="s">
        <v>338</v>
      </c>
      <c r="T107" s="190" t="s">
        <v>338</v>
      </c>
      <c r="U107" s="190" t="s">
        <v>338</v>
      </c>
      <c r="V107" s="190" t="s">
        <v>338</v>
      </c>
      <c r="W107" s="190" t="s">
        <v>338</v>
      </c>
      <c r="X107" s="190" t="s">
        <v>338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1301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1301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1301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1301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338</v>
      </c>
      <c r="AA111" s="190" t="s">
        <v>338</v>
      </c>
    </row>
    <row r="112" spans="2:27" ht="12" hidden="1" customHeight="1">
      <c r="B112" s="171" t="s">
        <v>724</v>
      </c>
      <c r="C112" s="220" t="s">
        <v>562</v>
      </c>
      <c r="D112" s="171" t="s">
        <v>498</v>
      </c>
      <c r="E112" s="171" t="s">
        <v>1301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1301</v>
      </c>
      <c r="F113" s="190">
        <v>8</v>
      </c>
      <c r="G113" s="194">
        <v>45717</v>
      </c>
      <c r="H113" s="194"/>
      <c r="I113" s="190" t="s">
        <v>338</v>
      </c>
      <c r="J113" s="190" t="s">
        <v>338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1303</v>
      </c>
      <c r="F114" s="190" t="s">
        <v>338</v>
      </c>
      <c r="G114" s="194">
        <v>45901</v>
      </c>
      <c r="H114" s="194">
        <v>45991</v>
      </c>
      <c r="I114" s="190" t="s">
        <v>338</v>
      </c>
      <c r="J114" s="190" t="s">
        <v>338</v>
      </c>
      <c r="K114" s="190" t="s">
        <v>338</v>
      </c>
      <c r="L114" s="190" t="s">
        <v>338</v>
      </c>
      <c r="M114" s="190" t="s">
        <v>338</v>
      </c>
      <c r="N114" s="190" t="s">
        <v>338</v>
      </c>
      <c r="O114" s="190" t="s">
        <v>338</v>
      </c>
      <c r="P114" s="190" t="s">
        <v>338</v>
      </c>
      <c r="Q114" s="190">
        <v>415</v>
      </c>
      <c r="R114" s="190">
        <v>3580</v>
      </c>
      <c r="S114" s="190">
        <v>3205</v>
      </c>
      <c r="T114" s="190" t="s">
        <v>338</v>
      </c>
      <c r="U114" s="190" t="s">
        <v>338</v>
      </c>
      <c r="V114" s="190" t="s">
        <v>338</v>
      </c>
      <c r="W114" s="190" t="s">
        <v>338</v>
      </c>
      <c r="X114" s="190" t="s">
        <v>338</v>
      </c>
      <c r="Y114" s="190" t="s">
        <v>338</v>
      </c>
      <c r="Z114" s="190" t="s">
        <v>338</v>
      </c>
      <c r="AA114" s="190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1301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338</v>
      </c>
      <c r="AA115" s="190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90" t="s">
        <v>338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1302</v>
      </c>
      <c r="F117" s="190" t="s">
        <v>338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1301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1301</v>
      </c>
      <c r="F119" s="190">
        <v>8</v>
      </c>
      <c r="G119" s="194">
        <v>46023</v>
      </c>
      <c r="H119" s="194"/>
      <c r="I119" s="190" t="s">
        <v>338</v>
      </c>
      <c r="J119" s="190" t="s">
        <v>338</v>
      </c>
      <c r="K119" s="190" t="s">
        <v>338</v>
      </c>
      <c r="L119" s="190" t="s">
        <v>338</v>
      </c>
      <c r="M119" s="190" t="s">
        <v>338</v>
      </c>
      <c r="N119" s="190" t="s">
        <v>338</v>
      </c>
      <c r="O119" s="190" t="s">
        <v>338</v>
      </c>
      <c r="P119" s="190" t="s">
        <v>338</v>
      </c>
      <c r="Q119" s="190" t="s">
        <v>338</v>
      </c>
      <c r="R119" s="190" t="s">
        <v>338</v>
      </c>
      <c r="S119" s="190" t="s">
        <v>338</v>
      </c>
      <c r="T119" s="190" t="s">
        <v>338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1301</v>
      </c>
      <c r="F120" s="190">
        <v>8</v>
      </c>
      <c r="G120" s="194">
        <v>45717</v>
      </c>
      <c r="H120" s="194"/>
      <c r="I120" s="190" t="s">
        <v>338</v>
      </c>
      <c r="J120" s="190" t="s">
        <v>338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1301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1301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1301</v>
      </c>
      <c r="F123" s="190">
        <v>4</v>
      </c>
      <c r="G123" s="194">
        <v>45931</v>
      </c>
      <c r="H123" s="194"/>
      <c r="I123" s="190" t="s">
        <v>338</v>
      </c>
      <c r="J123" s="190" t="s">
        <v>338</v>
      </c>
      <c r="K123" s="190" t="s">
        <v>338</v>
      </c>
      <c r="L123" s="190" t="s">
        <v>338</v>
      </c>
      <c r="M123" s="190" t="s">
        <v>338</v>
      </c>
      <c r="N123" s="190" t="s">
        <v>338</v>
      </c>
      <c r="O123" s="190" t="s">
        <v>338</v>
      </c>
      <c r="P123" s="190" t="s">
        <v>338</v>
      </c>
      <c r="Q123" s="190" t="s">
        <v>338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1301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1302</v>
      </c>
      <c r="F125" s="190" t="s">
        <v>338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1301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1301</v>
      </c>
      <c r="F127" s="190">
        <v>17</v>
      </c>
      <c r="G127" s="194">
        <v>45962</v>
      </c>
      <c r="H127" s="194"/>
      <c r="I127" s="190" t="s">
        <v>338</v>
      </c>
      <c r="J127" s="190" t="s">
        <v>338</v>
      </c>
      <c r="K127" s="190" t="s">
        <v>338</v>
      </c>
      <c r="L127" s="190" t="s">
        <v>338</v>
      </c>
      <c r="M127" s="190" t="s">
        <v>338</v>
      </c>
      <c r="N127" s="190" t="s">
        <v>338</v>
      </c>
      <c r="O127" s="190" t="s">
        <v>338</v>
      </c>
      <c r="P127" s="190" t="s">
        <v>338</v>
      </c>
      <c r="Q127" s="190" t="s">
        <v>338</v>
      </c>
      <c r="R127" s="190" t="s">
        <v>338</v>
      </c>
      <c r="S127" s="190" t="s">
        <v>338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1301</v>
      </c>
      <c r="F128" s="190">
        <v>23</v>
      </c>
      <c r="G128" s="194">
        <v>46113</v>
      </c>
      <c r="H128" s="194"/>
      <c r="I128" s="190" t="s">
        <v>338</v>
      </c>
      <c r="J128" s="190" t="s">
        <v>338</v>
      </c>
      <c r="K128" s="190" t="s">
        <v>338</v>
      </c>
      <c r="L128" s="190" t="s">
        <v>338</v>
      </c>
      <c r="M128" s="190" t="s">
        <v>338</v>
      </c>
      <c r="N128" s="190" t="s">
        <v>338</v>
      </c>
      <c r="O128" s="190" t="s">
        <v>338</v>
      </c>
      <c r="P128" s="190" t="s">
        <v>338</v>
      </c>
      <c r="Q128" s="190" t="s">
        <v>338</v>
      </c>
      <c r="R128" s="190" t="s">
        <v>338</v>
      </c>
      <c r="S128" s="190" t="s">
        <v>338</v>
      </c>
      <c r="T128" s="190" t="s">
        <v>338</v>
      </c>
      <c r="U128" s="190" t="s">
        <v>338</v>
      </c>
      <c r="V128" s="190" t="s">
        <v>338</v>
      </c>
      <c r="W128" s="190" t="s">
        <v>338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1301</v>
      </c>
      <c r="F129" s="190">
        <v>83</v>
      </c>
      <c r="G129" s="194">
        <v>46204</v>
      </c>
      <c r="H129" s="194"/>
      <c r="I129" s="190" t="s">
        <v>338</v>
      </c>
      <c r="J129" s="190" t="s">
        <v>338</v>
      </c>
      <c r="K129" s="190" t="s">
        <v>338</v>
      </c>
      <c r="L129" s="190" t="s">
        <v>338</v>
      </c>
      <c r="M129" s="190" t="s">
        <v>338</v>
      </c>
      <c r="N129" s="190" t="s">
        <v>338</v>
      </c>
      <c r="O129" s="190" t="s">
        <v>338</v>
      </c>
      <c r="P129" s="190" t="s">
        <v>338</v>
      </c>
      <c r="Q129" s="190" t="s">
        <v>338</v>
      </c>
      <c r="R129" s="190" t="s">
        <v>338</v>
      </c>
      <c r="S129" s="190" t="s">
        <v>338</v>
      </c>
      <c r="T129" s="190" t="s">
        <v>338</v>
      </c>
      <c r="U129" s="190" t="s">
        <v>338</v>
      </c>
      <c r="V129" s="190" t="s">
        <v>338</v>
      </c>
      <c r="W129" s="190" t="s">
        <v>338</v>
      </c>
      <c r="X129" s="190" t="s">
        <v>338</v>
      </c>
      <c r="Y129" s="190" t="s">
        <v>338</v>
      </c>
      <c r="Z129" s="190" t="s">
        <v>338</v>
      </c>
      <c r="AA129" s="190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1301</v>
      </c>
      <c r="F130" s="190">
        <v>47</v>
      </c>
      <c r="G130" s="194">
        <v>46143</v>
      </c>
      <c r="H130" s="194"/>
      <c r="I130" s="190" t="s">
        <v>338</v>
      </c>
      <c r="J130" s="190" t="s">
        <v>338</v>
      </c>
      <c r="K130" s="190" t="s">
        <v>338</v>
      </c>
      <c r="L130" s="190" t="s">
        <v>338</v>
      </c>
      <c r="M130" s="190" t="s">
        <v>338</v>
      </c>
      <c r="N130" s="190" t="s">
        <v>338</v>
      </c>
      <c r="O130" s="190" t="s">
        <v>338</v>
      </c>
      <c r="P130" s="190" t="s">
        <v>338</v>
      </c>
      <c r="Q130" s="190" t="s">
        <v>338</v>
      </c>
      <c r="R130" s="190" t="s">
        <v>338</v>
      </c>
      <c r="S130" s="190" t="s">
        <v>338</v>
      </c>
      <c r="T130" s="190" t="s">
        <v>338</v>
      </c>
      <c r="U130" s="190" t="s">
        <v>338</v>
      </c>
      <c r="V130" s="190" t="s">
        <v>338</v>
      </c>
      <c r="W130" s="190" t="s">
        <v>338</v>
      </c>
      <c r="X130" s="190" t="s">
        <v>338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1303</v>
      </c>
      <c r="F131" s="190" t="s">
        <v>338</v>
      </c>
      <c r="G131" s="194">
        <v>45809</v>
      </c>
      <c r="H131" s="194">
        <v>45991</v>
      </c>
      <c r="I131" s="190" t="s">
        <v>338</v>
      </c>
      <c r="J131" s="190" t="s">
        <v>338</v>
      </c>
      <c r="K131" s="190" t="s">
        <v>338</v>
      </c>
      <c r="L131" s="190" t="s">
        <v>338</v>
      </c>
      <c r="M131" s="190" t="s">
        <v>338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338</v>
      </c>
      <c r="U131" s="190" t="s">
        <v>338</v>
      </c>
      <c r="V131" s="190" t="s">
        <v>338</v>
      </c>
      <c r="W131" s="190" t="s">
        <v>338</v>
      </c>
      <c r="X131" s="190" t="s">
        <v>338</v>
      </c>
      <c r="Y131" s="190" t="s">
        <v>338</v>
      </c>
      <c r="Z131" s="190" t="s">
        <v>338</v>
      </c>
      <c r="AA131" s="190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1301</v>
      </c>
      <c r="F132" s="190">
        <v>5</v>
      </c>
      <c r="G132" s="194">
        <v>45870</v>
      </c>
      <c r="H132" s="194"/>
      <c r="I132" s="190" t="s">
        <v>338</v>
      </c>
      <c r="J132" s="190" t="s">
        <v>338</v>
      </c>
      <c r="K132" s="190" t="s">
        <v>338</v>
      </c>
      <c r="L132" s="190" t="s">
        <v>338</v>
      </c>
      <c r="M132" s="190" t="s">
        <v>338</v>
      </c>
      <c r="N132" s="190" t="s">
        <v>338</v>
      </c>
      <c r="O132" s="190" t="s">
        <v>338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1303</v>
      </c>
      <c r="F133" s="190" t="s">
        <v>338</v>
      </c>
      <c r="G133" s="194">
        <v>46113</v>
      </c>
      <c r="H133" s="194">
        <v>46234</v>
      </c>
      <c r="I133" s="190" t="s">
        <v>338</v>
      </c>
      <c r="J133" s="190" t="s">
        <v>338</v>
      </c>
      <c r="K133" s="190" t="s">
        <v>338</v>
      </c>
      <c r="L133" s="190" t="s">
        <v>338</v>
      </c>
      <c r="M133" s="190" t="s">
        <v>338</v>
      </c>
      <c r="N133" s="190" t="s">
        <v>338</v>
      </c>
      <c r="O133" s="190" t="s">
        <v>338</v>
      </c>
      <c r="P133" s="190" t="s">
        <v>338</v>
      </c>
      <c r="Q133" s="190" t="s">
        <v>338</v>
      </c>
      <c r="R133" s="190" t="s">
        <v>338</v>
      </c>
      <c r="S133" s="190" t="s">
        <v>338</v>
      </c>
      <c r="T133" s="190" t="s">
        <v>338</v>
      </c>
      <c r="U133" s="190" t="s">
        <v>338</v>
      </c>
      <c r="V133" s="190" t="s">
        <v>338</v>
      </c>
      <c r="W133" s="190" t="s">
        <v>338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1301</v>
      </c>
      <c r="F134" s="190">
        <v>10</v>
      </c>
      <c r="G134" s="194">
        <v>45748</v>
      </c>
      <c r="H134" s="194"/>
      <c r="I134" s="190" t="s">
        <v>338</v>
      </c>
      <c r="J134" s="190" t="s">
        <v>338</v>
      </c>
      <c r="K134" s="190" t="s">
        <v>338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1301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1301</v>
      </c>
      <c r="F136" s="190">
        <v>11</v>
      </c>
      <c r="G136" s="194">
        <v>45992</v>
      </c>
      <c r="H136" s="194"/>
      <c r="I136" s="190" t="s">
        <v>338</v>
      </c>
      <c r="J136" s="190" t="s">
        <v>338</v>
      </c>
      <c r="K136" s="190" t="s">
        <v>338</v>
      </c>
      <c r="L136" s="190" t="s">
        <v>338</v>
      </c>
      <c r="M136" s="190" t="s">
        <v>338</v>
      </c>
      <c r="N136" s="190" t="s">
        <v>338</v>
      </c>
      <c r="O136" s="190" t="s">
        <v>338</v>
      </c>
      <c r="P136" s="190" t="s">
        <v>338</v>
      </c>
      <c r="Q136" s="190" t="s">
        <v>338</v>
      </c>
      <c r="R136" s="190" t="s">
        <v>338</v>
      </c>
      <c r="S136" s="190" t="s">
        <v>338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1301</v>
      </c>
      <c r="F137" s="190">
        <v>6</v>
      </c>
      <c r="G137" s="194">
        <v>45839</v>
      </c>
      <c r="H137" s="194"/>
      <c r="I137" s="190" t="s">
        <v>338</v>
      </c>
      <c r="J137" s="190" t="s">
        <v>338</v>
      </c>
      <c r="K137" s="190" t="s">
        <v>338</v>
      </c>
      <c r="L137" s="190" t="s">
        <v>338</v>
      </c>
      <c r="M137" s="190" t="s">
        <v>338</v>
      </c>
      <c r="N137" s="190" t="s">
        <v>338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1302</v>
      </c>
      <c r="F139" s="190" t="s">
        <v>338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90" t="s">
        <v>338</v>
      </c>
      <c r="G140" s="194">
        <v>45778</v>
      </c>
      <c r="H140" s="194"/>
      <c r="I140" s="190" t="s">
        <v>338</v>
      </c>
      <c r="J140" s="190" t="s">
        <v>338</v>
      </c>
      <c r="K140" s="190" t="s">
        <v>338</v>
      </c>
      <c r="L140" s="190" t="s">
        <v>338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90" t="s">
        <v>338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1302</v>
      </c>
      <c r="F142" s="190" t="s">
        <v>338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1301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338</v>
      </c>
      <c r="AA143" s="190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90" t="s">
        <v>338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90" t="s">
        <v>338</v>
      </c>
      <c r="G145" s="194">
        <v>45992</v>
      </c>
      <c r="H145" s="194"/>
      <c r="I145" s="190" t="s">
        <v>338</v>
      </c>
      <c r="J145" s="190" t="s">
        <v>338</v>
      </c>
      <c r="K145" s="190" t="s">
        <v>338</v>
      </c>
      <c r="L145" s="190" t="s">
        <v>338</v>
      </c>
      <c r="M145" s="190" t="s">
        <v>338</v>
      </c>
      <c r="N145" s="190" t="s">
        <v>338</v>
      </c>
      <c r="O145" s="190" t="s">
        <v>338</v>
      </c>
      <c r="P145" s="190" t="s">
        <v>338</v>
      </c>
      <c r="Q145" s="190" t="s">
        <v>338</v>
      </c>
      <c r="R145" s="190" t="s">
        <v>338</v>
      </c>
      <c r="S145" s="190" t="s">
        <v>338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1301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90" t="s">
        <v>338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338</v>
      </c>
      <c r="AA147" s="190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1301</v>
      </c>
      <c r="F148" s="190">
        <v>17</v>
      </c>
      <c r="G148" s="194">
        <v>46082</v>
      </c>
      <c r="H148" s="194"/>
      <c r="I148" s="190" t="s">
        <v>338</v>
      </c>
      <c r="J148" s="190" t="s">
        <v>338</v>
      </c>
      <c r="K148" s="190" t="s">
        <v>338</v>
      </c>
      <c r="L148" s="190" t="s">
        <v>338</v>
      </c>
      <c r="M148" s="190" t="s">
        <v>338</v>
      </c>
      <c r="N148" s="190" t="s">
        <v>338</v>
      </c>
      <c r="O148" s="190" t="s">
        <v>338</v>
      </c>
      <c r="P148" s="190" t="s">
        <v>338</v>
      </c>
      <c r="Q148" s="190" t="s">
        <v>338</v>
      </c>
      <c r="R148" s="190" t="s">
        <v>338</v>
      </c>
      <c r="S148" s="190" t="s">
        <v>338</v>
      </c>
      <c r="T148" s="190" t="s">
        <v>338</v>
      </c>
      <c r="U148" s="190" t="s">
        <v>338</v>
      </c>
      <c r="V148" s="190" t="s">
        <v>338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1301</v>
      </c>
      <c r="F149" s="190">
        <v>4</v>
      </c>
      <c r="G149" s="194">
        <v>45748</v>
      </c>
      <c r="H149" s="194"/>
      <c r="I149" s="190" t="s">
        <v>338</v>
      </c>
      <c r="J149" s="190" t="s">
        <v>338</v>
      </c>
      <c r="K149" s="190" t="s">
        <v>338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1301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338</v>
      </c>
      <c r="Z150" s="190" t="s">
        <v>338</v>
      </c>
      <c r="AA150" s="190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1302</v>
      </c>
      <c r="F151" s="190" t="s">
        <v>338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90" t="s">
        <v>338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90" t="s">
        <v>338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1301</v>
      </c>
      <c r="F154" s="190">
        <v>13</v>
      </c>
      <c r="G154" s="194">
        <v>46113</v>
      </c>
      <c r="H154" s="194"/>
      <c r="I154" s="190" t="s">
        <v>338</v>
      </c>
      <c r="J154" s="190" t="s">
        <v>338</v>
      </c>
      <c r="K154" s="190" t="s">
        <v>338</v>
      </c>
      <c r="L154" s="190" t="s">
        <v>338</v>
      </c>
      <c r="M154" s="190" t="s">
        <v>338</v>
      </c>
      <c r="N154" s="190" t="s">
        <v>338</v>
      </c>
      <c r="O154" s="190" t="s">
        <v>338</v>
      </c>
      <c r="P154" s="190" t="s">
        <v>338</v>
      </c>
      <c r="Q154" s="190" t="s">
        <v>338</v>
      </c>
      <c r="R154" s="190" t="s">
        <v>338</v>
      </c>
      <c r="S154" s="190" t="s">
        <v>338</v>
      </c>
      <c r="T154" s="190" t="s">
        <v>338</v>
      </c>
      <c r="U154" s="190" t="s">
        <v>338</v>
      </c>
      <c r="V154" s="190" t="s">
        <v>338</v>
      </c>
      <c r="W154" s="190" t="s">
        <v>338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1301</v>
      </c>
      <c r="F155" s="190">
        <v>5</v>
      </c>
      <c r="G155" s="194">
        <v>45870</v>
      </c>
      <c r="H155" s="194"/>
      <c r="I155" s="190" t="s">
        <v>338</v>
      </c>
      <c r="J155" s="190" t="s">
        <v>338</v>
      </c>
      <c r="K155" s="190" t="s">
        <v>338</v>
      </c>
      <c r="L155" s="190" t="s">
        <v>338</v>
      </c>
      <c r="M155" s="190" t="s">
        <v>338</v>
      </c>
      <c r="N155" s="190" t="s">
        <v>338</v>
      </c>
      <c r="O155" s="190" t="s">
        <v>338</v>
      </c>
      <c r="P155" s="190" t="s">
        <v>338</v>
      </c>
      <c r="Q155" s="190" t="s">
        <v>338</v>
      </c>
      <c r="R155" s="190" t="s">
        <v>338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90" t="s">
        <v>338</v>
      </c>
      <c r="G156" s="194">
        <v>45870</v>
      </c>
      <c r="H156" s="194"/>
      <c r="I156" s="190" t="s">
        <v>338</v>
      </c>
      <c r="J156" s="190" t="s">
        <v>338</v>
      </c>
      <c r="K156" s="190" t="s">
        <v>338</v>
      </c>
      <c r="L156" s="190" t="s">
        <v>338</v>
      </c>
      <c r="M156" s="190" t="s">
        <v>338</v>
      </c>
      <c r="N156" s="190" t="s">
        <v>338</v>
      </c>
      <c r="O156" s="190" t="s">
        <v>338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1301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338</v>
      </c>
      <c r="Y157" s="190" t="s">
        <v>338</v>
      </c>
      <c r="Z157" s="190" t="s">
        <v>338</v>
      </c>
      <c r="AA157" s="190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1301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90" t="s">
        <v>338</v>
      </c>
      <c r="G161" s="194">
        <v>45839</v>
      </c>
      <c r="H161" s="194"/>
      <c r="I161" s="190" t="s">
        <v>338</v>
      </c>
      <c r="J161" s="190" t="s">
        <v>338</v>
      </c>
      <c r="K161" s="190" t="s">
        <v>338</v>
      </c>
      <c r="L161" s="190" t="s">
        <v>338</v>
      </c>
      <c r="M161" s="190" t="s">
        <v>338</v>
      </c>
      <c r="N161" s="190" t="s">
        <v>338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1302</v>
      </c>
      <c r="F162" s="190" t="s">
        <v>338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1301</v>
      </c>
      <c r="F163" s="190">
        <v>4</v>
      </c>
      <c r="G163" s="194">
        <v>45748</v>
      </c>
      <c r="H163" s="194"/>
      <c r="I163" s="190" t="s">
        <v>338</v>
      </c>
      <c r="J163" s="190" t="s">
        <v>338</v>
      </c>
      <c r="K163" s="190" t="s">
        <v>338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90" t="s">
        <v>338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90">
        <v>12</v>
      </c>
      <c r="G165" s="194">
        <v>45809</v>
      </c>
      <c r="H165" s="194"/>
      <c r="I165" s="190" t="s">
        <v>338</v>
      </c>
      <c r="J165" s="190" t="s">
        <v>338</v>
      </c>
      <c r="K165" s="190" t="s">
        <v>338</v>
      </c>
      <c r="L165" s="190" t="s">
        <v>338</v>
      </c>
      <c r="M165" s="190" t="s">
        <v>338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1302</v>
      </c>
      <c r="F166" s="190" t="s">
        <v>338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90" t="s">
        <v>338</v>
      </c>
      <c r="G167" s="194">
        <v>45778</v>
      </c>
      <c r="H167" s="194"/>
      <c r="I167" s="190" t="s">
        <v>338</v>
      </c>
      <c r="J167" s="190" t="s">
        <v>338</v>
      </c>
      <c r="K167" s="190" t="s">
        <v>338</v>
      </c>
      <c r="L167" s="190" t="s">
        <v>338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90" t="s">
        <v>338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90" t="s">
        <v>338</v>
      </c>
      <c r="G169" s="194">
        <v>45748</v>
      </c>
      <c r="H169" s="194">
        <v>46112</v>
      </c>
      <c r="I169" s="190" t="s">
        <v>338</v>
      </c>
      <c r="J169" s="190" t="s">
        <v>338</v>
      </c>
      <c r="K169" s="190" t="s">
        <v>338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338</v>
      </c>
      <c r="Y169" s="190" t="s">
        <v>338</v>
      </c>
      <c r="Z169" s="190" t="s">
        <v>338</v>
      </c>
      <c r="AA169" s="190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1301</v>
      </c>
      <c r="F170" s="190">
        <v>15</v>
      </c>
      <c r="G170" s="194">
        <v>46143</v>
      </c>
      <c r="H170" s="194"/>
      <c r="I170" s="190" t="s">
        <v>338</v>
      </c>
      <c r="J170" s="190" t="s">
        <v>338</v>
      </c>
      <c r="K170" s="190" t="s">
        <v>338</v>
      </c>
      <c r="L170" s="190" t="s">
        <v>338</v>
      </c>
      <c r="M170" s="190" t="s">
        <v>338</v>
      </c>
      <c r="N170" s="190" t="s">
        <v>338</v>
      </c>
      <c r="O170" s="190" t="s">
        <v>338</v>
      </c>
      <c r="P170" s="190" t="s">
        <v>338</v>
      </c>
      <c r="Q170" s="190" t="s">
        <v>338</v>
      </c>
      <c r="R170" s="190" t="s">
        <v>338</v>
      </c>
      <c r="S170" s="190" t="s">
        <v>338</v>
      </c>
      <c r="T170" s="190" t="s">
        <v>338</v>
      </c>
      <c r="U170" s="190" t="s">
        <v>338</v>
      </c>
      <c r="V170" s="190" t="s">
        <v>338</v>
      </c>
      <c r="W170" s="190" t="s">
        <v>338</v>
      </c>
      <c r="X170" s="190" t="s">
        <v>338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1302</v>
      </c>
      <c r="F171" s="190" t="s">
        <v>338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1301</v>
      </c>
      <c r="F172" s="190">
        <v>10</v>
      </c>
      <c r="G172" s="194">
        <v>45809</v>
      </c>
      <c r="H172" s="194"/>
      <c r="I172" s="190" t="s">
        <v>338</v>
      </c>
      <c r="J172" s="190" t="s">
        <v>338</v>
      </c>
      <c r="K172" s="190" t="s">
        <v>338</v>
      </c>
      <c r="L172" s="190" t="s">
        <v>338</v>
      </c>
      <c r="M172" s="190" t="s">
        <v>338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1301</v>
      </c>
      <c r="F173" s="190">
        <v>2</v>
      </c>
      <c r="G173" s="194">
        <v>45839</v>
      </c>
      <c r="H173" s="194"/>
      <c r="I173" s="190" t="s">
        <v>338</v>
      </c>
      <c r="J173" s="190" t="s">
        <v>338</v>
      </c>
      <c r="K173" s="190" t="s">
        <v>338</v>
      </c>
      <c r="L173" s="190" t="s">
        <v>338</v>
      </c>
      <c r="M173" s="190" t="s">
        <v>338</v>
      </c>
      <c r="N173" s="190" t="s">
        <v>338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1302</v>
      </c>
      <c r="F174" s="190" t="s">
        <v>338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1301</v>
      </c>
      <c r="F175" s="190">
        <v>0</v>
      </c>
      <c r="G175" s="194">
        <v>45778</v>
      </c>
      <c r="H175" s="194">
        <v>46142</v>
      </c>
      <c r="I175" s="190" t="s">
        <v>338</v>
      </c>
      <c r="J175" s="190" t="s">
        <v>338</v>
      </c>
      <c r="K175" s="190" t="s">
        <v>338</v>
      </c>
      <c r="L175" s="190" t="s">
        <v>338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338</v>
      </c>
      <c r="Z175" s="190" t="s">
        <v>338</v>
      </c>
      <c r="AA175" s="190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1301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1302</v>
      </c>
      <c r="F177" s="190" t="s">
        <v>338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1301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90">
        <v>2</v>
      </c>
      <c r="G180" s="194">
        <v>45931</v>
      </c>
      <c r="H180" s="194"/>
      <c r="I180" s="190" t="s">
        <v>338</v>
      </c>
      <c r="J180" s="190" t="s">
        <v>338</v>
      </c>
      <c r="K180" s="190" t="s">
        <v>338</v>
      </c>
      <c r="L180" s="190" t="s">
        <v>338</v>
      </c>
      <c r="M180" s="190" t="s">
        <v>338</v>
      </c>
      <c r="N180" s="190" t="s">
        <v>338</v>
      </c>
      <c r="O180" s="190" t="s">
        <v>338</v>
      </c>
      <c r="P180" s="190" t="s">
        <v>338</v>
      </c>
      <c r="Q180" s="190" t="s">
        <v>338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90" t="s">
        <v>338</v>
      </c>
      <c r="G181" s="194">
        <v>45809</v>
      </c>
      <c r="H181" s="194">
        <v>46173</v>
      </c>
      <c r="I181" s="190" t="s">
        <v>338</v>
      </c>
      <c r="J181" s="190" t="s">
        <v>338</v>
      </c>
      <c r="K181" s="190" t="s">
        <v>338</v>
      </c>
      <c r="L181" s="190" t="s">
        <v>338</v>
      </c>
      <c r="M181" s="190" t="s">
        <v>338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1301</v>
      </c>
      <c r="F183" s="190">
        <v>4</v>
      </c>
      <c r="G183" s="194">
        <v>45839</v>
      </c>
      <c r="H183" s="194">
        <v>46203</v>
      </c>
      <c r="I183" s="190" t="s">
        <v>338</v>
      </c>
      <c r="J183" s="190" t="s">
        <v>338</v>
      </c>
      <c r="K183" s="190" t="s">
        <v>338</v>
      </c>
      <c r="L183" s="190" t="s">
        <v>338</v>
      </c>
      <c r="M183" s="190" t="s">
        <v>338</v>
      </c>
      <c r="N183" s="190" t="s">
        <v>338</v>
      </c>
      <c r="O183" s="190" t="s">
        <v>338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1302</v>
      </c>
      <c r="F184" s="190" t="s">
        <v>338</v>
      </c>
      <c r="G184" s="194">
        <v>45809</v>
      </c>
      <c r="H184" s="194">
        <v>46173</v>
      </c>
      <c r="I184" s="190" t="s">
        <v>338</v>
      </c>
      <c r="J184" s="190" t="s">
        <v>338</v>
      </c>
      <c r="K184" s="190" t="s">
        <v>338</v>
      </c>
      <c r="L184" s="190" t="s">
        <v>338</v>
      </c>
      <c r="M184" s="190" t="s">
        <v>338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338</v>
      </c>
      <c r="AA184" s="190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1303</v>
      </c>
      <c r="F185" s="190" t="s">
        <v>338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338</v>
      </c>
      <c r="X185" s="190" t="s">
        <v>338</v>
      </c>
      <c r="Y185" s="190" t="s">
        <v>338</v>
      </c>
      <c r="Z185" s="190" t="s">
        <v>338</v>
      </c>
      <c r="AA185" s="190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1301</v>
      </c>
      <c r="F186" s="190">
        <v>8</v>
      </c>
      <c r="G186" s="194">
        <v>46023</v>
      </c>
      <c r="H186" s="194"/>
      <c r="I186" s="190" t="s">
        <v>338</v>
      </c>
      <c r="J186" s="190" t="s">
        <v>338</v>
      </c>
      <c r="K186" s="190" t="s">
        <v>338</v>
      </c>
      <c r="L186" s="190" t="s">
        <v>338</v>
      </c>
      <c r="M186" s="190" t="s">
        <v>338</v>
      </c>
      <c r="N186" s="190" t="s">
        <v>338</v>
      </c>
      <c r="O186" s="190" t="s">
        <v>338</v>
      </c>
      <c r="P186" s="190" t="s">
        <v>338</v>
      </c>
      <c r="Q186" s="190" t="s">
        <v>338</v>
      </c>
      <c r="R186" s="190" t="s">
        <v>338</v>
      </c>
      <c r="S186" s="190" t="s">
        <v>338</v>
      </c>
      <c r="T186" s="190" t="s">
        <v>338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1302</v>
      </c>
      <c r="F187" s="190" t="s">
        <v>338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1301</v>
      </c>
      <c r="F188" s="190">
        <v>5</v>
      </c>
      <c r="G188" s="194">
        <v>45809</v>
      </c>
      <c r="H188" s="194"/>
      <c r="I188" s="190" t="s">
        <v>338</v>
      </c>
      <c r="J188" s="190" t="s">
        <v>338</v>
      </c>
      <c r="K188" s="190" t="s">
        <v>338</v>
      </c>
      <c r="L188" s="190" t="s">
        <v>338</v>
      </c>
      <c r="M188" s="190" t="s">
        <v>338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1301</v>
      </c>
      <c r="F189" s="190">
        <v>8</v>
      </c>
      <c r="G189" s="194">
        <v>46082</v>
      </c>
      <c r="H189" s="194"/>
      <c r="I189" s="190" t="s">
        <v>338</v>
      </c>
      <c r="J189" s="190" t="s">
        <v>338</v>
      </c>
      <c r="K189" s="190" t="s">
        <v>338</v>
      </c>
      <c r="L189" s="190" t="s">
        <v>338</v>
      </c>
      <c r="M189" s="190" t="s">
        <v>338</v>
      </c>
      <c r="N189" s="190" t="s">
        <v>338</v>
      </c>
      <c r="O189" s="190" t="s">
        <v>338</v>
      </c>
      <c r="P189" s="190" t="s">
        <v>338</v>
      </c>
      <c r="Q189" s="190" t="s">
        <v>338</v>
      </c>
      <c r="R189" s="190" t="s">
        <v>338</v>
      </c>
      <c r="S189" s="190" t="s">
        <v>338</v>
      </c>
      <c r="T189" s="190" t="s">
        <v>338</v>
      </c>
      <c r="U189" s="190" t="s">
        <v>338</v>
      </c>
      <c r="V189" s="190" t="s">
        <v>338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1301</v>
      </c>
      <c r="F190" s="190">
        <v>21</v>
      </c>
      <c r="G190" s="194">
        <v>46174</v>
      </c>
      <c r="H190" s="194"/>
      <c r="I190" s="190" t="s">
        <v>338</v>
      </c>
      <c r="J190" s="190" t="s">
        <v>338</v>
      </c>
      <c r="K190" s="190" t="s">
        <v>338</v>
      </c>
      <c r="L190" s="190" t="s">
        <v>338</v>
      </c>
      <c r="M190" s="190" t="s">
        <v>338</v>
      </c>
      <c r="N190" s="190" t="s">
        <v>338</v>
      </c>
      <c r="O190" s="190" t="s">
        <v>338</v>
      </c>
      <c r="P190" s="190" t="s">
        <v>338</v>
      </c>
      <c r="Q190" s="190" t="s">
        <v>338</v>
      </c>
      <c r="R190" s="190" t="s">
        <v>338</v>
      </c>
      <c r="S190" s="190" t="s">
        <v>338</v>
      </c>
      <c r="T190" s="190" t="s">
        <v>338</v>
      </c>
      <c r="U190" s="190" t="s">
        <v>338</v>
      </c>
      <c r="V190" s="190" t="s">
        <v>338</v>
      </c>
      <c r="W190" s="190" t="s">
        <v>338</v>
      </c>
      <c r="X190" s="190" t="s">
        <v>338</v>
      </c>
      <c r="Y190" s="190" t="s">
        <v>338</v>
      </c>
      <c r="Z190" s="190">
        <v>2656</v>
      </c>
      <c r="AA190" s="190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90" t="s">
        <v>338</v>
      </c>
      <c r="G191" s="194">
        <v>45870</v>
      </c>
      <c r="H191" s="194">
        <v>46142</v>
      </c>
      <c r="I191" s="190" t="s">
        <v>338</v>
      </c>
      <c r="J191" s="190" t="s">
        <v>338</v>
      </c>
      <c r="K191" s="190" t="s">
        <v>338</v>
      </c>
      <c r="L191" s="190" t="s">
        <v>338</v>
      </c>
      <c r="M191" s="190" t="s">
        <v>338</v>
      </c>
      <c r="N191" s="190" t="s">
        <v>338</v>
      </c>
      <c r="O191" s="190" t="s">
        <v>338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338</v>
      </c>
      <c r="AA191" s="190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1301</v>
      </c>
      <c r="F192" s="190">
        <v>4</v>
      </c>
      <c r="G192" s="194">
        <v>45748</v>
      </c>
      <c r="H192" s="194">
        <v>46112</v>
      </c>
      <c r="I192" s="190" t="s">
        <v>338</v>
      </c>
      <c r="J192" s="190" t="s">
        <v>338</v>
      </c>
      <c r="K192" s="190" t="s">
        <v>338</v>
      </c>
      <c r="L192" s="190">
        <v>350</v>
      </c>
      <c r="M192" s="190" t="s">
        <v>338</v>
      </c>
      <c r="N192" s="190" t="s">
        <v>338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338</v>
      </c>
      <c r="Y192" s="190" t="s">
        <v>338</v>
      </c>
      <c r="Z192" s="190" t="s">
        <v>338</v>
      </c>
      <c r="AA192" s="190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1301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338</v>
      </c>
      <c r="Q193" s="190" t="s">
        <v>338</v>
      </c>
      <c r="R193" s="190" t="s">
        <v>338</v>
      </c>
      <c r="S193" s="190" t="s">
        <v>338</v>
      </c>
      <c r="T193" s="190" t="s">
        <v>338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1301</v>
      </c>
      <c r="F194" s="190">
        <v>22</v>
      </c>
      <c r="G194" s="194">
        <v>46143</v>
      </c>
      <c r="H194" s="194"/>
      <c r="I194" s="190" t="s">
        <v>338</v>
      </c>
      <c r="J194" s="190" t="s">
        <v>338</v>
      </c>
      <c r="K194" s="190" t="s">
        <v>338</v>
      </c>
      <c r="L194" s="190" t="s">
        <v>338</v>
      </c>
      <c r="M194" s="190" t="s">
        <v>338</v>
      </c>
      <c r="N194" s="190" t="s">
        <v>338</v>
      </c>
      <c r="O194" s="190" t="s">
        <v>338</v>
      </c>
      <c r="P194" s="190" t="s">
        <v>338</v>
      </c>
      <c r="Q194" s="190" t="s">
        <v>338</v>
      </c>
      <c r="R194" s="190" t="s">
        <v>338</v>
      </c>
      <c r="S194" s="190" t="s">
        <v>338</v>
      </c>
      <c r="T194" s="190" t="s">
        <v>338</v>
      </c>
      <c r="U194" s="190" t="s">
        <v>338</v>
      </c>
      <c r="V194" s="190" t="s">
        <v>338</v>
      </c>
      <c r="W194" s="190" t="s">
        <v>338</v>
      </c>
      <c r="X194" s="190" t="s">
        <v>338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1301</v>
      </c>
      <c r="F195" s="190">
        <v>6</v>
      </c>
      <c r="G195" s="194">
        <v>45992</v>
      </c>
      <c r="H195" s="194"/>
      <c r="I195" s="190" t="s">
        <v>338</v>
      </c>
      <c r="J195" s="190" t="s">
        <v>338</v>
      </c>
      <c r="K195" s="190" t="s">
        <v>338</v>
      </c>
      <c r="L195" s="190" t="s">
        <v>338</v>
      </c>
      <c r="M195" s="190" t="s">
        <v>338</v>
      </c>
      <c r="N195" s="190" t="s">
        <v>338</v>
      </c>
      <c r="O195" s="190" t="s">
        <v>338</v>
      </c>
      <c r="P195" s="190" t="s">
        <v>338</v>
      </c>
      <c r="Q195" s="190" t="s">
        <v>338</v>
      </c>
      <c r="R195" s="190" t="s">
        <v>338</v>
      </c>
      <c r="S195" s="190" t="s">
        <v>338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1301</v>
      </c>
      <c r="F196" s="190">
        <v>14</v>
      </c>
      <c r="G196" s="194">
        <v>46054</v>
      </c>
      <c r="H196" s="194">
        <v>46203</v>
      </c>
      <c r="I196" s="190" t="s">
        <v>338</v>
      </c>
      <c r="J196" s="190" t="s">
        <v>338</v>
      </c>
      <c r="K196" s="190" t="s">
        <v>338</v>
      </c>
      <c r="L196" s="190" t="s">
        <v>338</v>
      </c>
      <c r="M196" s="190" t="s">
        <v>338</v>
      </c>
      <c r="N196" s="190" t="s">
        <v>338</v>
      </c>
      <c r="O196" s="190" t="s">
        <v>338</v>
      </c>
      <c r="P196" s="190" t="s">
        <v>338</v>
      </c>
      <c r="Q196" s="190" t="s">
        <v>338</v>
      </c>
      <c r="R196" s="190" t="s">
        <v>338</v>
      </c>
      <c r="S196" s="190" t="s">
        <v>338</v>
      </c>
      <c r="T196" s="190" t="s">
        <v>338</v>
      </c>
      <c r="U196" s="190" t="s">
        <v>338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1301</v>
      </c>
      <c r="F197" s="190">
        <v>25</v>
      </c>
      <c r="G197" s="194">
        <v>46113</v>
      </c>
      <c r="H197" s="194"/>
      <c r="I197" s="190" t="s">
        <v>338</v>
      </c>
      <c r="J197" s="190" t="s">
        <v>338</v>
      </c>
      <c r="K197" s="190" t="s">
        <v>338</v>
      </c>
      <c r="L197" s="190" t="s">
        <v>338</v>
      </c>
      <c r="M197" s="190" t="s">
        <v>338</v>
      </c>
      <c r="N197" s="190" t="s">
        <v>338</v>
      </c>
      <c r="O197" s="190" t="s">
        <v>338</v>
      </c>
      <c r="P197" s="190" t="s">
        <v>338</v>
      </c>
      <c r="Q197" s="190" t="s">
        <v>338</v>
      </c>
      <c r="R197" s="190" t="s">
        <v>338</v>
      </c>
      <c r="S197" s="190" t="s">
        <v>338</v>
      </c>
      <c r="T197" s="190" t="s">
        <v>338</v>
      </c>
      <c r="U197" s="190" t="s">
        <v>338</v>
      </c>
      <c r="V197" s="190" t="s">
        <v>338</v>
      </c>
      <c r="W197" s="190" t="s">
        <v>338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90" t="s">
        <v>338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1301</v>
      </c>
      <c r="F199" s="190">
        <v>2</v>
      </c>
      <c r="G199" s="194">
        <v>45901</v>
      </c>
      <c r="H199" s="194"/>
      <c r="I199" s="190" t="s">
        <v>338</v>
      </c>
      <c r="J199" s="190" t="s">
        <v>338</v>
      </c>
      <c r="K199" s="190" t="s">
        <v>338</v>
      </c>
      <c r="L199" s="190" t="s">
        <v>338</v>
      </c>
      <c r="M199" s="190" t="s">
        <v>338</v>
      </c>
      <c r="N199" s="190" t="s">
        <v>338</v>
      </c>
      <c r="O199" s="190" t="s">
        <v>338</v>
      </c>
      <c r="P199" s="190" t="s">
        <v>338</v>
      </c>
      <c r="Q199" s="190" t="s">
        <v>338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90" t="s">
        <v>338</v>
      </c>
      <c r="G200" s="194">
        <v>45962</v>
      </c>
      <c r="H200" s="194"/>
      <c r="I200" s="190" t="s">
        <v>338</v>
      </c>
      <c r="J200" s="190" t="s">
        <v>338</v>
      </c>
      <c r="K200" s="190" t="s">
        <v>338</v>
      </c>
      <c r="L200" s="190" t="s">
        <v>338</v>
      </c>
      <c r="M200" s="190" t="s">
        <v>338</v>
      </c>
      <c r="N200" s="190" t="s">
        <v>338</v>
      </c>
      <c r="O200" s="190" t="s">
        <v>338</v>
      </c>
      <c r="P200" s="190" t="s">
        <v>338</v>
      </c>
      <c r="Q200" s="190" t="s">
        <v>338</v>
      </c>
      <c r="R200" s="190" t="s">
        <v>338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1301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338</v>
      </c>
      <c r="Y201" s="190" t="s">
        <v>338</v>
      </c>
      <c r="Z201" s="190" t="s">
        <v>338</v>
      </c>
      <c r="AA201" s="190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1302</v>
      </c>
      <c r="F202" s="190" t="s">
        <v>338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90" t="s">
        <v>338</v>
      </c>
      <c r="G203" s="194">
        <v>45992</v>
      </c>
      <c r="H203" s="194">
        <v>46173</v>
      </c>
      <c r="I203" s="190" t="s">
        <v>338</v>
      </c>
      <c r="J203" s="190" t="s">
        <v>338</v>
      </c>
      <c r="K203" s="190" t="s">
        <v>338</v>
      </c>
      <c r="L203" s="190" t="s">
        <v>338</v>
      </c>
      <c r="M203" s="190" t="s">
        <v>338</v>
      </c>
      <c r="N203" s="190" t="s">
        <v>338</v>
      </c>
      <c r="O203" s="190" t="s">
        <v>338</v>
      </c>
      <c r="P203" s="190" t="s">
        <v>338</v>
      </c>
      <c r="Q203" s="190" t="s">
        <v>338</v>
      </c>
      <c r="R203" s="190" t="s">
        <v>338</v>
      </c>
      <c r="S203" s="190" t="s">
        <v>338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338</v>
      </c>
      <c r="AA203" s="190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1301</v>
      </c>
      <c r="F204" s="190">
        <v>15</v>
      </c>
      <c r="G204" s="194">
        <v>46174</v>
      </c>
      <c r="H204" s="194"/>
      <c r="I204" s="190" t="s">
        <v>338</v>
      </c>
      <c r="J204" s="190" t="s">
        <v>338</v>
      </c>
      <c r="K204" s="190" t="s">
        <v>338</v>
      </c>
      <c r="L204" s="190" t="s">
        <v>338</v>
      </c>
      <c r="M204" s="190" t="s">
        <v>338</v>
      </c>
      <c r="N204" s="190" t="s">
        <v>338</v>
      </c>
      <c r="O204" s="190" t="s">
        <v>338</v>
      </c>
      <c r="P204" s="190" t="s">
        <v>338</v>
      </c>
      <c r="Q204" s="190" t="s">
        <v>338</v>
      </c>
      <c r="R204" s="190" t="s">
        <v>338</v>
      </c>
      <c r="S204" s="190" t="s">
        <v>338</v>
      </c>
      <c r="T204" s="190" t="s">
        <v>338</v>
      </c>
      <c r="U204" s="190" t="s">
        <v>338</v>
      </c>
      <c r="V204" s="190" t="s">
        <v>338</v>
      </c>
      <c r="W204" s="190" t="s">
        <v>338</v>
      </c>
      <c r="X204" s="190" t="s">
        <v>338</v>
      </c>
      <c r="Y204" s="190" t="s">
        <v>338</v>
      </c>
      <c r="Z204" s="190">
        <v>2360</v>
      </c>
      <c r="AA204" s="190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1301</v>
      </c>
      <c r="F205" s="190">
        <v>10</v>
      </c>
      <c r="G205" s="194">
        <v>46054</v>
      </c>
      <c r="H205" s="194"/>
      <c r="I205" s="190" t="s">
        <v>338</v>
      </c>
      <c r="J205" s="190" t="s">
        <v>338</v>
      </c>
      <c r="K205" s="190" t="s">
        <v>338</v>
      </c>
      <c r="L205" s="190" t="s">
        <v>338</v>
      </c>
      <c r="M205" s="190" t="s">
        <v>338</v>
      </c>
      <c r="N205" s="190" t="s">
        <v>338</v>
      </c>
      <c r="O205" s="190" t="s">
        <v>338</v>
      </c>
      <c r="P205" s="190" t="s">
        <v>338</v>
      </c>
      <c r="Q205" s="190" t="s">
        <v>338</v>
      </c>
      <c r="R205" s="190" t="s">
        <v>338</v>
      </c>
      <c r="S205" s="190" t="s">
        <v>338</v>
      </c>
      <c r="T205" s="190" t="s">
        <v>338</v>
      </c>
      <c r="U205" s="190" t="s">
        <v>338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1302</v>
      </c>
      <c r="F206" s="190" t="s">
        <v>338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1301</v>
      </c>
      <c r="F207" s="190">
        <v>4</v>
      </c>
      <c r="G207" s="194">
        <v>45962</v>
      </c>
      <c r="H207" s="194"/>
      <c r="I207" s="190" t="s">
        <v>338</v>
      </c>
      <c r="J207" s="190" t="s">
        <v>338</v>
      </c>
      <c r="K207" s="190" t="s">
        <v>338</v>
      </c>
      <c r="L207" s="190" t="s">
        <v>338</v>
      </c>
      <c r="M207" s="190" t="s">
        <v>338</v>
      </c>
      <c r="N207" s="190" t="s">
        <v>338</v>
      </c>
      <c r="O207" s="190" t="s">
        <v>338</v>
      </c>
      <c r="P207" s="190" t="s">
        <v>338</v>
      </c>
      <c r="Q207" s="190" t="s">
        <v>338</v>
      </c>
      <c r="R207" s="190" t="s">
        <v>338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1301</v>
      </c>
      <c r="F208" s="190">
        <v>10</v>
      </c>
      <c r="G208" s="194">
        <v>45931</v>
      </c>
      <c r="H208" s="194"/>
      <c r="I208" s="190" t="s">
        <v>338</v>
      </c>
      <c r="J208" s="190" t="s">
        <v>338</v>
      </c>
      <c r="K208" s="190" t="s">
        <v>338</v>
      </c>
      <c r="L208" s="190" t="s">
        <v>338</v>
      </c>
      <c r="M208" s="190" t="s">
        <v>338</v>
      </c>
      <c r="N208" s="190" t="s">
        <v>338</v>
      </c>
      <c r="O208" s="190" t="s">
        <v>338</v>
      </c>
      <c r="P208" s="190" t="s">
        <v>338</v>
      </c>
      <c r="Q208" s="190" t="s">
        <v>338</v>
      </c>
      <c r="R208" s="190">
        <v>595</v>
      </c>
      <c r="S208" s="190" t="s">
        <v>338</v>
      </c>
      <c r="T208" s="190" t="s">
        <v>338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1301</v>
      </c>
      <c r="F209" s="190">
        <v>12</v>
      </c>
      <c r="G209" s="194">
        <v>46023</v>
      </c>
      <c r="H209" s="194"/>
      <c r="I209" s="190" t="s">
        <v>338</v>
      </c>
      <c r="J209" s="190" t="s">
        <v>338</v>
      </c>
      <c r="K209" s="190" t="s">
        <v>338</v>
      </c>
      <c r="L209" s="190" t="s">
        <v>338</v>
      </c>
      <c r="M209" s="190" t="s">
        <v>338</v>
      </c>
      <c r="N209" s="190" t="s">
        <v>338</v>
      </c>
      <c r="O209" s="190" t="s">
        <v>338</v>
      </c>
      <c r="P209" s="190" t="s">
        <v>338</v>
      </c>
      <c r="Q209" s="190" t="s">
        <v>338</v>
      </c>
      <c r="R209" s="190" t="s">
        <v>338</v>
      </c>
      <c r="S209" s="190" t="s">
        <v>338</v>
      </c>
      <c r="T209" s="190" t="s">
        <v>338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1301</v>
      </c>
      <c r="F210" s="190">
        <v>9</v>
      </c>
      <c r="G210" s="194">
        <v>45992</v>
      </c>
      <c r="H210" s="194">
        <v>46173</v>
      </c>
      <c r="I210" s="190" t="s">
        <v>338</v>
      </c>
      <c r="J210" s="190" t="s">
        <v>338</v>
      </c>
      <c r="K210" s="190" t="s">
        <v>338</v>
      </c>
      <c r="L210" s="190" t="s">
        <v>338</v>
      </c>
      <c r="M210" s="190" t="s">
        <v>338</v>
      </c>
      <c r="N210" s="190" t="s">
        <v>338</v>
      </c>
      <c r="O210" s="190" t="s">
        <v>338</v>
      </c>
      <c r="P210" s="190" t="s">
        <v>338</v>
      </c>
      <c r="Q210" s="190" t="s">
        <v>338</v>
      </c>
      <c r="R210" s="190" t="s">
        <v>338</v>
      </c>
      <c r="S210" s="190" t="s">
        <v>338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338</v>
      </c>
      <c r="AA210" s="190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1301</v>
      </c>
      <c r="F211" s="190">
        <v>8</v>
      </c>
      <c r="G211" s="194">
        <v>46023</v>
      </c>
      <c r="H211" s="194">
        <v>46142</v>
      </c>
      <c r="I211" s="190" t="s">
        <v>338</v>
      </c>
      <c r="J211" s="190" t="s">
        <v>338</v>
      </c>
      <c r="K211" s="190" t="s">
        <v>338</v>
      </c>
      <c r="L211" s="190" t="s">
        <v>338</v>
      </c>
      <c r="M211" s="190" t="s">
        <v>338</v>
      </c>
      <c r="N211" s="190" t="s">
        <v>338</v>
      </c>
      <c r="O211" s="190" t="s">
        <v>338</v>
      </c>
      <c r="P211" s="190" t="s">
        <v>338</v>
      </c>
      <c r="Q211" s="190" t="s">
        <v>338</v>
      </c>
      <c r="R211" s="190" t="s">
        <v>338</v>
      </c>
      <c r="S211" s="190" t="s">
        <v>338</v>
      </c>
      <c r="T211" s="190" t="s">
        <v>338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338</v>
      </c>
      <c r="Z211" s="190" t="s">
        <v>338</v>
      </c>
      <c r="AA211" s="190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1303</v>
      </c>
      <c r="F212" s="190" t="s">
        <v>338</v>
      </c>
      <c r="G212" s="194">
        <v>45717</v>
      </c>
      <c r="H212" s="194">
        <v>46022</v>
      </c>
      <c r="I212" s="190" t="s">
        <v>338</v>
      </c>
      <c r="J212" s="190" t="s">
        <v>338</v>
      </c>
      <c r="K212" s="190">
        <v>460</v>
      </c>
      <c r="L212" s="190" t="s">
        <v>338</v>
      </c>
      <c r="M212" s="190" t="s">
        <v>338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338</v>
      </c>
      <c r="V212" s="190" t="s">
        <v>338</v>
      </c>
      <c r="W212" s="190">
        <v>90</v>
      </c>
      <c r="X212" s="190" t="s">
        <v>338</v>
      </c>
      <c r="Y212" s="190" t="s">
        <v>338</v>
      </c>
      <c r="Z212" s="190" t="s">
        <v>338</v>
      </c>
      <c r="AA212" s="190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1301</v>
      </c>
      <c r="F213" s="190">
        <v>5</v>
      </c>
      <c r="G213" s="194">
        <v>45658</v>
      </c>
      <c r="H213" s="194">
        <v>46173</v>
      </c>
      <c r="I213" s="190" t="s">
        <v>338</v>
      </c>
      <c r="J213" s="190" t="s">
        <v>338</v>
      </c>
      <c r="K213" s="190" t="s">
        <v>338</v>
      </c>
      <c r="L213" s="190" t="s">
        <v>338</v>
      </c>
      <c r="M213" s="190" t="s">
        <v>338</v>
      </c>
      <c r="N213" s="190" t="s">
        <v>338</v>
      </c>
      <c r="O213" s="190" t="s">
        <v>338</v>
      </c>
      <c r="P213" s="190" t="s">
        <v>338</v>
      </c>
      <c r="Q213" s="190" t="s">
        <v>338</v>
      </c>
      <c r="R213" s="190" t="s">
        <v>338</v>
      </c>
      <c r="S213" s="190" t="s">
        <v>338</v>
      </c>
      <c r="T213" s="190" t="s">
        <v>338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338</v>
      </c>
      <c r="AA213" s="190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1301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338</v>
      </c>
      <c r="X214" s="190" t="s">
        <v>338</v>
      </c>
      <c r="Y214" s="190" t="s">
        <v>338</v>
      </c>
      <c r="Z214" s="190" t="s">
        <v>338</v>
      </c>
      <c r="AA214" s="190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1301</v>
      </c>
      <c r="F215" s="190">
        <v>6</v>
      </c>
      <c r="G215" s="194">
        <v>46054</v>
      </c>
      <c r="H215" s="194"/>
      <c r="I215" s="190" t="s">
        <v>338</v>
      </c>
      <c r="J215" s="190" t="s">
        <v>338</v>
      </c>
      <c r="K215" s="190" t="s">
        <v>338</v>
      </c>
      <c r="L215" s="190" t="s">
        <v>338</v>
      </c>
      <c r="M215" s="190" t="s">
        <v>338</v>
      </c>
      <c r="N215" s="190" t="s">
        <v>338</v>
      </c>
      <c r="O215" s="190" t="s">
        <v>338</v>
      </c>
      <c r="P215" s="190" t="s">
        <v>338</v>
      </c>
      <c r="Q215" s="190" t="s">
        <v>338</v>
      </c>
      <c r="R215" s="190" t="s">
        <v>338</v>
      </c>
      <c r="S215" s="190" t="s">
        <v>338</v>
      </c>
      <c r="T215" s="190" t="s">
        <v>338</v>
      </c>
      <c r="U215" s="190" t="s">
        <v>338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1303</v>
      </c>
      <c r="F216" s="190" t="s">
        <v>338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338</v>
      </c>
      <c r="V216" s="190" t="s">
        <v>338</v>
      </c>
      <c r="W216" s="190" t="s">
        <v>338</v>
      </c>
      <c r="X216" s="190" t="s">
        <v>338</v>
      </c>
      <c r="Y216" s="190" t="s">
        <v>338</v>
      </c>
      <c r="Z216" s="190" t="s">
        <v>338</v>
      </c>
      <c r="AA216" s="190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90">
        <v>5</v>
      </c>
      <c r="G217" s="194">
        <v>46054</v>
      </c>
      <c r="H217" s="194"/>
      <c r="I217" s="190" t="s">
        <v>338</v>
      </c>
      <c r="J217" s="190" t="s">
        <v>338</v>
      </c>
      <c r="K217" s="190" t="s">
        <v>338</v>
      </c>
      <c r="L217" s="190" t="s">
        <v>338</v>
      </c>
      <c r="M217" s="190" t="s">
        <v>338</v>
      </c>
      <c r="N217" s="190" t="s">
        <v>338</v>
      </c>
      <c r="O217" s="190" t="s">
        <v>338</v>
      </c>
      <c r="P217" s="190" t="s">
        <v>338</v>
      </c>
      <c r="Q217" s="190" t="s">
        <v>338</v>
      </c>
      <c r="R217" s="190" t="s">
        <v>338</v>
      </c>
      <c r="S217" s="190" t="s">
        <v>338</v>
      </c>
      <c r="T217" s="190" t="s">
        <v>338</v>
      </c>
      <c r="U217" s="190" t="s">
        <v>338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1303</v>
      </c>
      <c r="F218" s="190" t="s">
        <v>338</v>
      </c>
      <c r="G218" s="194">
        <v>45717</v>
      </c>
      <c r="H218" s="194">
        <v>46022</v>
      </c>
      <c r="I218" s="190" t="s">
        <v>338</v>
      </c>
      <c r="J218" s="190" t="s">
        <v>338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338</v>
      </c>
      <c r="V218" s="190" t="s">
        <v>338</v>
      </c>
      <c r="W218" s="190" t="s">
        <v>338</v>
      </c>
      <c r="X218" s="190" t="s">
        <v>338</v>
      </c>
      <c r="Y218" s="190" t="s">
        <v>338</v>
      </c>
      <c r="Z218" s="190" t="s">
        <v>338</v>
      </c>
      <c r="AA218" s="190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1301</v>
      </c>
      <c r="F219" s="190">
        <v>8</v>
      </c>
      <c r="G219" s="194">
        <v>46113</v>
      </c>
      <c r="H219" s="194"/>
      <c r="I219" s="190" t="s">
        <v>338</v>
      </c>
      <c r="J219" s="190" t="s">
        <v>338</v>
      </c>
      <c r="K219" s="190" t="s">
        <v>338</v>
      </c>
      <c r="L219" s="190" t="s">
        <v>338</v>
      </c>
      <c r="M219" s="190" t="s">
        <v>338</v>
      </c>
      <c r="N219" s="190" t="s">
        <v>338</v>
      </c>
      <c r="O219" s="190" t="s">
        <v>338</v>
      </c>
      <c r="P219" s="190" t="s">
        <v>338</v>
      </c>
      <c r="Q219" s="190" t="s">
        <v>338</v>
      </c>
      <c r="R219" s="190" t="s">
        <v>338</v>
      </c>
      <c r="S219" s="190" t="s">
        <v>338</v>
      </c>
      <c r="T219" s="190" t="s">
        <v>338</v>
      </c>
      <c r="U219" s="190" t="s">
        <v>338</v>
      </c>
      <c r="V219" s="190" t="s">
        <v>338</v>
      </c>
      <c r="W219" s="190" t="s">
        <v>338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1301</v>
      </c>
      <c r="F220" s="190">
        <v>41</v>
      </c>
      <c r="G220" s="194">
        <v>46204</v>
      </c>
      <c r="H220" s="194"/>
      <c r="I220" s="190" t="s">
        <v>338</v>
      </c>
      <c r="J220" s="190" t="s">
        <v>338</v>
      </c>
      <c r="K220" s="190" t="s">
        <v>338</v>
      </c>
      <c r="L220" s="190" t="s">
        <v>338</v>
      </c>
      <c r="M220" s="190" t="s">
        <v>338</v>
      </c>
      <c r="N220" s="190" t="s">
        <v>338</v>
      </c>
      <c r="O220" s="190" t="s">
        <v>338</v>
      </c>
      <c r="P220" s="190" t="s">
        <v>338</v>
      </c>
      <c r="Q220" s="190" t="s">
        <v>338</v>
      </c>
      <c r="R220" s="190" t="s">
        <v>338</v>
      </c>
      <c r="S220" s="190" t="s">
        <v>338</v>
      </c>
      <c r="T220" s="190" t="s">
        <v>338</v>
      </c>
      <c r="U220" s="190" t="s">
        <v>338</v>
      </c>
      <c r="V220" s="190" t="s">
        <v>338</v>
      </c>
      <c r="W220" s="190" t="s">
        <v>338</v>
      </c>
      <c r="X220" s="190" t="s">
        <v>338</v>
      </c>
      <c r="Y220" s="190" t="s">
        <v>338</v>
      </c>
      <c r="Z220" s="190" t="s">
        <v>338</v>
      </c>
      <c r="AA220" s="190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1301</v>
      </c>
      <c r="F221" s="190">
        <v>8</v>
      </c>
      <c r="G221" s="194">
        <v>46082</v>
      </c>
      <c r="H221" s="194">
        <v>46173</v>
      </c>
      <c r="I221" s="190" t="s">
        <v>338</v>
      </c>
      <c r="J221" s="190" t="s">
        <v>338</v>
      </c>
      <c r="K221" s="190" t="s">
        <v>338</v>
      </c>
      <c r="L221" s="190" t="s">
        <v>338</v>
      </c>
      <c r="M221" s="190" t="s">
        <v>338</v>
      </c>
      <c r="N221" s="190" t="s">
        <v>338</v>
      </c>
      <c r="O221" s="190" t="s">
        <v>338</v>
      </c>
      <c r="P221" s="190" t="s">
        <v>338</v>
      </c>
      <c r="Q221" s="190" t="s">
        <v>338</v>
      </c>
      <c r="R221" s="190" t="s">
        <v>338</v>
      </c>
      <c r="S221" s="190" t="s">
        <v>338</v>
      </c>
      <c r="T221" s="190" t="s">
        <v>338</v>
      </c>
      <c r="U221" s="190" t="s">
        <v>338</v>
      </c>
      <c r="V221" s="190" t="s">
        <v>338</v>
      </c>
      <c r="W221" s="190">
        <v>1020</v>
      </c>
      <c r="X221" s="190">
        <v>670</v>
      </c>
      <c r="Y221" s="190">
        <v>670</v>
      </c>
      <c r="Z221" s="190" t="s">
        <v>338</v>
      </c>
      <c r="AA221" s="190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1303</v>
      </c>
      <c r="F222" s="190" t="s">
        <v>338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338</v>
      </c>
      <c r="S222" s="190" t="s">
        <v>338</v>
      </c>
      <c r="T222" s="190" t="s">
        <v>338</v>
      </c>
      <c r="U222" s="190" t="s">
        <v>338</v>
      </c>
      <c r="V222" s="190" t="s">
        <v>338</v>
      </c>
      <c r="W222" s="190" t="s">
        <v>338</v>
      </c>
      <c r="X222" s="190" t="s">
        <v>338</v>
      </c>
      <c r="Y222" s="190" t="s">
        <v>338</v>
      </c>
      <c r="Z222" s="190" t="s">
        <v>338</v>
      </c>
      <c r="AA222" s="190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1302</v>
      </c>
      <c r="F223" s="190" t="s">
        <v>338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338</v>
      </c>
      <c r="Y223" s="190" t="s">
        <v>338</v>
      </c>
      <c r="Z223" s="190" t="s">
        <v>338</v>
      </c>
      <c r="AA223" s="190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1303</v>
      </c>
      <c r="F224" s="190" t="s">
        <v>338</v>
      </c>
      <c r="G224" s="194">
        <v>45689</v>
      </c>
      <c r="H224" s="194">
        <v>46053</v>
      </c>
      <c r="I224" s="190" t="s">
        <v>338</v>
      </c>
      <c r="J224" s="190">
        <v>350</v>
      </c>
      <c r="K224" s="190" t="s">
        <v>338</v>
      </c>
      <c r="L224" s="190" t="s">
        <v>338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338</v>
      </c>
      <c r="W224" s="190" t="s">
        <v>338</v>
      </c>
      <c r="X224" s="190" t="s">
        <v>338</v>
      </c>
      <c r="Y224" s="190" t="s">
        <v>338</v>
      </c>
      <c r="Z224" s="190" t="s">
        <v>338</v>
      </c>
      <c r="AA224" s="190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1301</v>
      </c>
      <c r="F225" s="190">
        <v>29</v>
      </c>
      <c r="G225" s="194">
        <v>46204</v>
      </c>
      <c r="H225" s="194"/>
      <c r="I225" s="190" t="s">
        <v>338</v>
      </c>
      <c r="J225" s="190" t="s">
        <v>338</v>
      </c>
      <c r="K225" s="190" t="s">
        <v>338</v>
      </c>
      <c r="L225" s="190" t="s">
        <v>338</v>
      </c>
      <c r="M225" s="190" t="s">
        <v>338</v>
      </c>
      <c r="N225" s="190" t="s">
        <v>338</v>
      </c>
      <c r="O225" s="190" t="s">
        <v>338</v>
      </c>
      <c r="P225" s="190" t="s">
        <v>338</v>
      </c>
      <c r="Q225" s="190" t="s">
        <v>338</v>
      </c>
      <c r="R225" s="190" t="s">
        <v>338</v>
      </c>
      <c r="S225" s="190" t="s">
        <v>338</v>
      </c>
      <c r="T225" s="190" t="s">
        <v>338</v>
      </c>
      <c r="U225" s="190" t="s">
        <v>338</v>
      </c>
      <c r="V225" s="190" t="s">
        <v>338</v>
      </c>
      <c r="W225" s="190" t="s">
        <v>338</v>
      </c>
      <c r="X225" s="190" t="s">
        <v>338</v>
      </c>
      <c r="Y225" s="190" t="s">
        <v>338</v>
      </c>
      <c r="Z225" s="190" t="s">
        <v>338</v>
      </c>
      <c r="AA225" s="190">
        <v>2198</v>
      </c>
    </row>
    <row r="226" spans="2:27" ht="12" customHeight="1">
      <c r="B226" s="171" t="s">
        <v>884</v>
      </c>
      <c r="C226" s="171" t="s">
        <v>562</v>
      </c>
      <c r="D226" s="252" t="s">
        <v>728</v>
      </c>
      <c r="E226" s="252" t="s">
        <v>1304</v>
      </c>
      <c r="F226" s="190" t="s">
        <v>338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338</v>
      </c>
      <c r="U226" s="190" t="s">
        <v>338</v>
      </c>
      <c r="V226" s="190" t="s">
        <v>338</v>
      </c>
      <c r="W226" s="190" t="s">
        <v>338</v>
      </c>
      <c r="X226" s="190" t="s">
        <v>338</v>
      </c>
      <c r="Y226" s="190" t="s">
        <v>338</v>
      </c>
      <c r="Z226" s="190" t="s">
        <v>338</v>
      </c>
      <c r="AA226" s="190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1303</v>
      </c>
      <c r="F227" s="190" t="s">
        <v>338</v>
      </c>
      <c r="G227" s="194">
        <v>45778</v>
      </c>
      <c r="H227" s="194">
        <v>45991</v>
      </c>
      <c r="I227" s="190" t="s">
        <v>338</v>
      </c>
      <c r="J227" s="190" t="s">
        <v>338</v>
      </c>
      <c r="K227" s="190" t="s">
        <v>338</v>
      </c>
      <c r="L227" s="190" t="s">
        <v>338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338</v>
      </c>
      <c r="U227" s="190" t="s">
        <v>338</v>
      </c>
      <c r="V227" s="190">
        <v>60</v>
      </c>
      <c r="W227" s="190" t="s">
        <v>338</v>
      </c>
      <c r="X227" s="190" t="s">
        <v>338</v>
      </c>
      <c r="Y227" s="190" t="s">
        <v>338</v>
      </c>
      <c r="Z227" s="190" t="s">
        <v>338</v>
      </c>
      <c r="AA227" s="190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90">
        <v>5</v>
      </c>
      <c r="G228" s="194">
        <v>46023</v>
      </c>
      <c r="H228" s="194"/>
      <c r="I228" s="190" t="s">
        <v>338</v>
      </c>
      <c r="J228" s="190" t="s">
        <v>338</v>
      </c>
      <c r="K228" s="190" t="s">
        <v>338</v>
      </c>
      <c r="L228" s="190" t="s">
        <v>338</v>
      </c>
      <c r="M228" s="190" t="s">
        <v>338</v>
      </c>
      <c r="N228" s="190" t="s">
        <v>338</v>
      </c>
      <c r="O228" s="190" t="s">
        <v>338</v>
      </c>
      <c r="P228" s="190" t="s">
        <v>338</v>
      </c>
      <c r="Q228" s="190" t="s">
        <v>338</v>
      </c>
      <c r="R228" s="190" t="s">
        <v>338</v>
      </c>
      <c r="S228" s="190" t="s">
        <v>338</v>
      </c>
      <c r="T228" s="190" t="s">
        <v>338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1302</v>
      </c>
      <c r="F229" s="190" t="s">
        <v>338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338</v>
      </c>
      <c r="Y229" s="190" t="s">
        <v>338</v>
      </c>
      <c r="Z229" s="190" t="s">
        <v>338</v>
      </c>
      <c r="AA229" s="190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1302</v>
      </c>
      <c r="F230" s="190" t="s">
        <v>338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338</v>
      </c>
      <c r="W230" s="190" t="s">
        <v>338</v>
      </c>
      <c r="X230" s="190" t="s">
        <v>338</v>
      </c>
      <c r="Y230" s="190" t="s">
        <v>338</v>
      </c>
      <c r="Z230" s="190" t="s">
        <v>338</v>
      </c>
      <c r="AA230" s="190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1301</v>
      </c>
      <c r="F231" s="190">
        <v>4</v>
      </c>
      <c r="G231" s="194">
        <v>45778</v>
      </c>
      <c r="H231" s="194">
        <v>46022</v>
      </c>
      <c r="I231" s="190" t="s">
        <v>338</v>
      </c>
      <c r="J231" s="190" t="s">
        <v>338</v>
      </c>
      <c r="K231" s="190" t="s">
        <v>338</v>
      </c>
      <c r="L231" s="190" t="s">
        <v>338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338</v>
      </c>
      <c r="Z231" s="190" t="s">
        <v>338</v>
      </c>
      <c r="AA231" s="190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1303</v>
      </c>
      <c r="F232" s="190" t="s">
        <v>338</v>
      </c>
      <c r="G232" s="194">
        <v>45778</v>
      </c>
      <c r="H232" s="194">
        <v>45991</v>
      </c>
      <c r="I232" s="190" t="s">
        <v>338</v>
      </c>
      <c r="J232" s="190" t="s">
        <v>338</v>
      </c>
      <c r="K232" s="190" t="s">
        <v>338</v>
      </c>
      <c r="L232" s="190" t="s">
        <v>338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338</v>
      </c>
      <c r="U232" s="190" t="s">
        <v>338</v>
      </c>
      <c r="V232" s="190" t="s">
        <v>338</v>
      </c>
      <c r="W232" s="190" t="s">
        <v>338</v>
      </c>
      <c r="X232" s="190" t="s">
        <v>338</v>
      </c>
      <c r="Y232" s="190" t="s">
        <v>338</v>
      </c>
      <c r="Z232" s="190" t="s">
        <v>338</v>
      </c>
      <c r="AA232" s="190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1301</v>
      </c>
      <c r="F233" s="190">
        <v>3</v>
      </c>
      <c r="G233" s="194">
        <v>46143</v>
      </c>
      <c r="H233" s="194"/>
      <c r="I233" s="190" t="s">
        <v>338</v>
      </c>
      <c r="J233" s="190" t="s">
        <v>338</v>
      </c>
      <c r="K233" s="190" t="s">
        <v>338</v>
      </c>
      <c r="L233" s="190" t="s">
        <v>338</v>
      </c>
      <c r="M233" s="190" t="s">
        <v>338</v>
      </c>
      <c r="N233" s="190" t="s">
        <v>338</v>
      </c>
      <c r="O233" s="190" t="s">
        <v>338</v>
      </c>
      <c r="P233" s="190" t="s">
        <v>338</v>
      </c>
      <c r="Q233" s="190" t="s">
        <v>338</v>
      </c>
      <c r="R233" s="190" t="s">
        <v>338</v>
      </c>
      <c r="S233" s="190" t="s">
        <v>338</v>
      </c>
      <c r="T233" s="190" t="s">
        <v>338</v>
      </c>
      <c r="U233" s="190" t="s">
        <v>338</v>
      </c>
      <c r="V233" s="190" t="s">
        <v>338</v>
      </c>
      <c r="W233" s="190" t="s">
        <v>338</v>
      </c>
      <c r="X233" s="190" t="s">
        <v>338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90" t="s">
        <v>338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338</v>
      </c>
      <c r="AA234" s="190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1303</v>
      </c>
      <c r="F235" s="190" t="s">
        <v>338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338</v>
      </c>
      <c r="AA235" s="190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1303</v>
      </c>
      <c r="F236" s="190" t="s">
        <v>338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338</v>
      </c>
      <c r="T236" s="190" t="s">
        <v>338</v>
      </c>
      <c r="U236" s="190" t="s">
        <v>338</v>
      </c>
      <c r="V236" s="190">
        <v>0</v>
      </c>
      <c r="W236" s="190" t="s">
        <v>338</v>
      </c>
      <c r="X236" s="190" t="s">
        <v>338</v>
      </c>
      <c r="Y236" s="190" t="s">
        <v>338</v>
      </c>
      <c r="Z236" s="190" t="s">
        <v>338</v>
      </c>
      <c r="AA236" s="190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1301</v>
      </c>
      <c r="F237" s="190">
        <v>9</v>
      </c>
      <c r="G237" s="194">
        <v>46113</v>
      </c>
      <c r="H237" s="194">
        <v>46173</v>
      </c>
      <c r="I237" s="190" t="s">
        <v>338</v>
      </c>
      <c r="J237" s="190" t="s">
        <v>338</v>
      </c>
      <c r="K237" s="190" t="s">
        <v>338</v>
      </c>
      <c r="L237" s="190" t="s">
        <v>338</v>
      </c>
      <c r="M237" s="190" t="s">
        <v>338</v>
      </c>
      <c r="N237" s="190" t="s">
        <v>338</v>
      </c>
      <c r="O237" s="190" t="s">
        <v>338</v>
      </c>
      <c r="P237" s="190" t="s">
        <v>338</v>
      </c>
      <c r="Q237" s="190" t="s">
        <v>338</v>
      </c>
      <c r="R237" s="190" t="s">
        <v>338</v>
      </c>
      <c r="S237" s="190" t="s">
        <v>338</v>
      </c>
      <c r="T237" s="190" t="s">
        <v>338</v>
      </c>
      <c r="U237" s="190" t="s">
        <v>338</v>
      </c>
      <c r="V237" s="190" t="s">
        <v>338</v>
      </c>
      <c r="W237" s="190" t="s">
        <v>338</v>
      </c>
      <c r="X237" s="190">
        <v>1036</v>
      </c>
      <c r="Y237" s="190">
        <v>758</v>
      </c>
      <c r="Z237" s="190" t="s">
        <v>338</v>
      </c>
      <c r="AA237" s="190" t="s">
        <v>338</v>
      </c>
    </row>
    <row r="238" spans="2:27" ht="12" customHeight="1">
      <c r="B238" s="171" t="s">
        <v>916</v>
      </c>
      <c r="C238" s="171" t="s">
        <v>562</v>
      </c>
      <c r="D238" s="252" t="s">
        <v>728</v>
      </c>
      <c r="E238" s="252" t="s">
        <v>1304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338</v>
      </c>
      <c r="S238" s="190" t="s">
        <v>338</v>
      </c>
      <c r="T238" s="190" t="s">
        <v>338</v>
      </c>
      <c r="U238" s="190" t="s">
        <v>338</v>
      </c>
      <c r="V238" s="190" t="s">
        <v>338</v>
      </c>
      <c r="W238" s="190" t="s">
        <v>338</v>
      </c>
      <c r="X238" s="190" t="s">
        <v>338</v>
      </c>
      <c r="Y238" s="190" t="s">
        <v>338</v>
      </c>
      <c r="Z238" s="190" t="s">
        <v>338</v>
      </c>
      <c r="AA238" s="190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1301</v>
      </c>
      <c r="F239" s="190">
        <v>9</v>
      </c>
      <c r="G239" s="194">
        <v>45931</v>
      </c>
      <c r="H239" s="194"/>
      <c r="I239" s="190" t="s">
        <v>338</v>
      </c>
      <c r="J239" s="190" t="s">
        <v>338</v>
      </c>
      <c r="K239" s="190" t="s">
        <v>338</v>
      </c>
      <c r="L239" s="190" t="s">
        <v>338</v>
      </c>
      <c r="M239" s="190" t="s">
        <v>338</v>
      </c>
      <c r="N239" s="190" t="s">
        <v>338</v>
      </c>
      <c r="O239" s="190" t="s">
        <v>338</v>
      </c>
      <c r="P239" s="190" t="s">
        <v>338</v>
      </c>
      <c r="Q239" s="190" t="s">
        <v>338</v>
      </c>
      <c r="R239" s="190" t="s">
        <v>338</v>
      </c>
      <c r="S239" s="190" t="s">
        <v>338</v>
      </c>
      <c r="T239" s="190" t="s">
        <v>338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1303</v>
      </c>
      <c r="F240" s="190" t="s">
        <v>338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338</v>
      </c>
      <c r="U240" s="190" t="s">
        <v>338</v>
      </c>
      <c r="V240" s="190">
        <v>225</v>
      </c>
      <c r="W240" s="190" t="s">
        <v>338</v>
      </c>
      <c r="X240" s="190" t="s">
        <v>338</v>
      </c>
      <c r="Y240" s="190" t="s">
        <v>338</v>
      </c>
      <c r="Z240" s="190" t="s">
        <v>338</v>
      </c>
      <c r="AA240" s="190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1304</v>
      </c>
      <c r="F241" s="190" t="s">
        <v>338</v>
      </c>
      <c r="G241" s="194">
        <v>45901</v>
      </c>
      <c r="H241" s="251"/>
      <c r="I241" s="190" t="s">
        <v>338</v>
      </c>
      <c r="J241" s="190" t="s">
        <v>338</v>
      </c>
      <c r="K241" s="190" t="s">
        <v>338</v>
      </c>
      <c r="L241" s="190" t="s">
        <v>338</v>
      </c>
      <c r="M241" s="190" t="s">
        <v>338</v>
      </c>
      <c r="N241" s="190" t="s">
        <v>338</v>
      </c>
      <c r="O241" s="190" t="s">
        <v>338</v>
      </c>
      <c r="P241" s="190" t="s">
        <v>338</v>
      </c>
      <c r="Q241" s="190">
        <v>3537.5</v>
      </c>
      <c r="R241" s="190" t="s">
        <v>338</v>
      </c>
      <c r="S241" s="190" t="s">
        <v>338</v>
      </c>
      <c r="T241" s="190">
        <v>875</v>
      </c>
      <c r="U241" s="190" t="s">
        <v>338</v>
      </c>
      <c r="V241" s="190" t="s">
        <v>338</v>
      </c>
      <c r="W241" s="190">
        <v>0</v>
      </c>
      <c r="X241" s="190">
        <v>2662.5</v>
      </c>
      <c r="Y241" s="190" t="s">
        <v>338</v>
      </c>
      <c r="Z241" s="190" t="s">
        <v>338</v>
      </c>
      <c r="AA241" s="190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1304</v>
      </c>
      <c r="F242" s="190" t="s">
        <v>338</v>
      </c>
      <c r="G242" s="194">
        <v>45931</v>
      </c>
      <c r="H242" s="251"/>
      <c r="I242" s="190" t="s">
        <v>338</v>
      </c>
      <c r="J242" s="190" t="s">
        <v>338</v>
      </c>
      <c r="K242" s="190" t="s">
        <v>338</v>
      </c>
      <c r="L242" s="190" t="s">
        <v>338</v>
      </c>
      <c r="M242" s="190" t="s">
        <v>338</v>
      </c>
      <c r="N242" s="190" t="s">
        <v>338</v>
      </c>
      <c r="O242" s="190" t="s">
        <v>338</v>
      </c>
      <c r="P242" s="190" t="s">
        <v>338</v>
      </c>
      <c r="Q242" s="190" t="s">
        <v>338</v>
      </c>
      <c r="R242" s="190">
        <v>765</v>
      </c>
      <c r="S242" s="190" t="s">
        <v>338</v>
      </c>
      <c r="T242" s="190" t="s">
        <v>338</v>
      </c>
      <c r="U242" s="190" t="s">
        <v>338</v>
      </c>
      <c r="V242" s="190" t="s">
        <v>338</v>
      </c>
      <c r="W242" s="190">
        <v>765</v>
      </c>
      <c r="X242" s="190" t="s">
        <v>338</v>
      </c>
      <c r="Y242" s="190" t="s">
        <v>338</v>
      </c>
      <c r="Z242" s="190" t="s">
        <v>338</v>
      </c>
      <c r="AA242" s="190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1304</v>
      </c>
      <c r="F243" s="190" t="s">
        <v>338</v>
      </c>
      <c r="G243" s="194">
        <v>45931</v>
      </c>
      <c r="H243" s="251"/>
      <c r="I243" s="190" t="s">
        <v>338</v>
      </c>
      <c r="J243" s="190" t="s">
        <v>338</v>
      </c>
      <c r="K243" s="190" t="s">
        <v>338</v>
      </c>
      <c r="L243" s="190" t="s">
        <v>338</v>
      </c>
      <c r="M243" s="190" t="s">
        <v>338</v>
      </c>
      <c r="N243" s="190" t="s">
        <v>338</v>
      </c>
      <c r="O243" s="190" t="s">
        <v>338</v>
      </c>
      <c r="P243" s="190" t="s">
        <v>338</v>
      </c>
      <c r="Q243" s="190" t="s">
        <v>338</v>
      </c>
      <c r="R243" s="190">
        <v>765</v>
      </c>
      <c r="S243" s="190" t="s">
        <v>338</v>
      </c>
      <c r="T243" s="190" t="s">
        <v>338</v>
      </c>
      <c r="U243" s="190" t="s">
        <v>338</v>
      </c>
      <c r="V243" s="190" t="s">
        <v>338</v>
      </c>
      <c r="W243" s="190">
        <v>765</v>
      </c>
      <c r="X243" s="190" t="s">
        <v>338</v>
      </c>
      <c r="Y243" s="190" t="s">
        <v>338</v>
      </c>
      <c r="Z243" s="190" t="s">
        <v>338</v>
      </c>
      <c r="AA243" s="190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1304</v>
      </c>
      <c r="F244" s="190" t="s">
        <v>338</v>
      </c>
      <c r="G244" s="194">
        <v>45931</v>
      </c>
      <c r="H244" s="251"/>
      <c r="I244" s="190" t="s">
        <v>338</v>
      </c>
      <c r="J244" s="190" t="s">
        <v>338</v>
      </c>
      <c r="K244" s="190" t="s">
        <v>338</v>
      </c>
      <c r="L244" s="190" t="s">
        <v>338</v>
      </c>
      <c r="M244" s="190" t="s">
        <v>338</v>
      </c>
      <c r="N244" s="190" t="s">
        <v>338</v>
      </c>
      <c r="O244" s="190" t="s">
        <v>338</v>
      </c>
      <c r="P244" s="190" t="s">
        <v>338</v>
      </c>
      <c r="Q244" s="190" t="s">
        <v>338</v>
      </c>
      <c r="R244" s="190">
        <v>765</v>
      </c>
      <c r="S244" s="190" t="s">
        <v>338</v>
      </c>
      <c r="T244" s="190" t="s">
        <v>338</v>
      </c>
      <c r="U244" s="190" t="s">
        <v>338</v>
      </c>
      <c r="V244" s="190" t="s">
        <v>338</v>
      </c>
      <c r="W244" s="190">
        <v>765</v>
      </c>
      <c r="X244" s="190" t="s">
        <v>338</v>
      </c>
      <c r="Y244" s="190" t="s">
        <v>338</v>
      </c>
      <c r="Z244" s="190" t="s">
        <v>338</v>
      </c>
      <c r="AA244" s="190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1304</v>
      </c>
      <c r="F245" s="190" t="s">
        <v>338</v>
      </c>
      <c r="G245" s="194">
        <v>45931</v>
      </c>
      <c r="H245" s="251"/>
      <c r="I245" s="190" t="s">
        <v>338</v>
      </c>
      <c r="J245" s="190" t="s">
        <v>338</v>
      </c>
      <c r="K245" s="190" t="s">
        <v>338</v>
      </c>
      <c r="L245" s="190" t="s">
        <v>338</v>
      </c>
      <c r="M245" s="190" t="s">
        <v>338</v>
      </c>
      <c r="N245" s="190" t="s">
        <v>338</v>
      </c>
      <c r="O245" s="190" t="s">
        <v>338</v>
      </c>
      <c r="P245" s="190" t="s">
        <v>338</v>
      </c>
      <c r="Q245" s="190" t="s">
        <v>338</v>
      </c>
      <c r="R245" s="190">
        <v>765</v>
      </c>
      <c r="S245" s="190" t="s">
        <v>338</v>
      </c>
      <c r="T245" s="190" t="s">
        <v>338</v>
      </c>
      <c r="U245" s="190" t="s">
        <v>338</v>
      </c>
      <c r="V245" s="190" t="s">
        <v>338</v>
      </c>
      <c r="W245" s="190">
        <v>765</v>
      </c>
      <c r="X245" s="190" t="s">
        <v>338</v>
      </c>
      <c r="Y245" s="190" t="s">
        <v>338</v>
      </c>
      <c r="Z245" s="190" t="s">
        <v>338</v>
      </c>
      <c r="AA245" s="190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1304</v>
      </c>
      <c r="F246" s="190" t="s">
        <v>338</v>
      </c>
      <c r="G246" s="194">
        <v>45931</v>
      </c>
      <c r="H246" s="251"/>
      <c r="I246" s="190" t="s">
        <v>338</v>
      </c>
      <c r="J246" s="190" t="s">
        <v>338</v>
      </c>
      <c r="K246" s="190" t="s">
        <v>338</v>
      </c>
      <c r="L246" s="190" t="s">
        <v>338</v>
      </c>
      <c r="M246" s="190" t="s">
        <v>338</v>
      </c>
      <c r="N246" s="190" t="s">
        <v>338</v>
      </c>
      <c r="O246" s="190" t="s">
        <v>338</v>
      </c>
      <c r="P246" s="190" t="s">
        <v>338</v>
      </c>
      <c r="Q246" s="190" t="s">
        <v>338</v>
      </c>
      <c r="R246" s="190">
        <v>765</v>
      </c>
      <c r="S246" s="190" t="s">
        <v>338</v>
      </c>
      <c r="T246" s="190" t="s">
        <v>338</v>
      </c>
      <c r="U246" s="190" t="s">
        <v>338</v>
      </c>
      <c r="V246" s="190" t="s">
        <v>338</v>
      </c>
      <c r="W246" s="190">
        <v>765</v>
      </c>
      <c r="X246" s="190" t="s">
        <v>338</v>
      </c>
      <c r="Y246" s="190" t="s">
        <v>338</v>
      </c>
      <c r="Z246" s="190" t="s">
        <v>338</v>
      </c>
      <c r="AA246" s="190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1302</v>
      </c>
      <c r="F247" s="190" t="s">
        <v>338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338</v>
      </c>
      <c r="V247" s="190" t="s">
        <v>338</v>
      </c>
      <c r="W247" s="190" t="s">
        <v>338</v>
      </c>
      <c r="X247" s="190" t="s">
        <v>338</v>
      </c>
      <c r="Y247" s="190" t="s">
        <v>338</v>
      </c>
      <c r="Z247" s="190" t="s">
        <v>338</v>
      </c>
      <c r="AA247" s="190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90">
        <v>0</v>
      </c>
      <c r="G248" s="194">
        <v>46082</v>
      </c>
      <c r="H248" s="194"/>
      <c r="I248" s="190" t="s">
        <v>338</v>
      </c>
      <c r="J248" s="190" t="s">
        <v>338</v>
      </c>
      <c r="K248" s="190" t="s">
        <v>338</v>
      </c>
      <c r="L248" s="190" t="s">
        <v>338</v>
      </c>
      <c r="M248" s="190" t="s">
        <v>338</v>
      </c>
      <c r="N248" s="190" t="s">
        <v>338</v>
      </c>
      <c r="O248" s="190" t="s">
        <v>338</v>
      </c>
      <c r="P248" s="190" t="s">
        <v>338</v>
      </c>
      <c r="Q248" s="190" t="s">
        <v>338</v>
      </c>
      <c r="R248" s="190" t="s">
        <v>338</v>
      </c>
      <c r="S248" s="190" t="s">
        <v>338</v>
      </c>
      <c r="T248" s="190" t="s">
        <v>338</v>
      </c>
      <c r="U248" s="190" t="s">
        <v>338</v>
      </c>
      <c r="V248" s="190" t="s">
        <v>338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1301</v>
      </c>
      <c r="F249" s="190">
        <v>5</v>
      </c>
      <c r="G249" s="194">
        <v>45748</v>
      </c>
      <c r="H249" s="194"/>
      <c r="I249" s="190" t="s">
        <v>338</v>
      </c>
      <c r="J249" s="190" t="s">
        <v>338</v>
      </c>
      <c r="K249" s="190" t="s">
        <v>338</v>
      </c>
      <c r="L249" s="190">
        <v>350</v>
      </c>
      <c r="M249" s="190" t="s">
        <v>338</v>
      </c>
      <c r="N249" s="190">
        <v>150</v>
      </c>
      <c r="O249" s="190" t="s">
        <v>338</v>
      </c>
      <c r="P249" s="190" t="s">
        <v>338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1301</v>
      </c>
      <c r="F250" s="190">
        <v>2</v>
      </c>
      <c r="G250" s="194">
        <v>46054</v>
      </c>
      <c r="H250" s="194"/>
      <c r="I250" s="190" t="s">
        <v>338</v>
      </c>
      <c r="J250" s="190" t="s">
        <v>338</v>
      </c>
      <c r="K250" s="190" t="s">
        <v>338</v>
      </c>
      <c r="L250" s="190" t="s">
        <v>338</v>
      </c>
      <c r="M250" s="190" t="s">
        <v>338</v>
      </c>
      <c r="N250" s="190" t="s">
        <v>338</v>
      </c>
      <c r="O250" s="190" t="s">
        <v>338</v>
      </c>
      <c r="P250" s="190" t="s">
        <v>338</v>
      </c>
      <c r="Q250" s="190" t="s">
        <v>338</v>
      </c>
      <c r="R250" s="190" t="s">
        <v>338</v>
      </c>
      <c r="S250" s="190" t="s">
        <v>338</v>
      </c>
      <c r="T250" s="190" t="s">
        <v>338</v>
      </c>
      <c r="U250" s="190" t="s">
        <v>338</v>
      </c>
      <c r="V250" s="190" t="s">
        <v>338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1303</v>
      </c>
      <c r="F251" s="190" t="s">
        <v>338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338</v>
      </c>
      <c r="V251" s="190" t="s">
        <v>338</v>
      </c>
      <c r="W251" s="190" t="s">
        <v>338</v>
      </c>
      <c r="X251" s="190" t="s">
        <v>338</v>
      </c>
      <c r="Y251" s="190" t="s">
        <v>338</v>
      </c>
      <c r="Z251" s="190" t="s">
        <v>338</v>
      </c>
      <c r="AA251" s="190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1303</v>
      </c>
      <c r="F252" s="190" t="s">
        <v>338</v>
      </c>
      <c r="G252" s="194">
        <v>45839</v>
      </c>
      <c r="H252" s="194">
        <v>46053</v>
      </c>
      <c r="I252" s="190" t="s">
        <v>338</v>
      </c>
      <c r="J252" s="190" t="s">
        <v>338</v>
      </c>
      <c r="K252" s="190" t="s">
        <v>338</v>
      </c>
      <c r="L252" s="190" t="s">
        <v>338</v>
      </c>
      <c r="M252" s="190" t="s">
        <v>338</v>
      </c>
      <c r="N252" s="190" t="s">
        <v>338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338</v>
      </c>
      <c r="W252" s="190" t="s">
        <v>338</v>
      </c>
      <c r="X252" s="190" t="s">
        <v>338</v>
      </c>
      <c r="Y252" s="190" t="s">
        <v>338</v>
      </c>
      <c r="Z252" s="190" t="s">
        <v>338</v>
      </c>
      <c r="AA252" s="190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90">
        <v>4</v>
      </c>
      <c r="G253" s="194">
        <v>46054</v>
      </c>
      <c r="H253" s="194">
        <v>46173</v>
      </c>
      <c r="I253" s="190" t="s">
        <v>338</v>
      </c>
      <c r="J253" s="190" t="s">
        <v>338</v>
      </c>
      <c r="K253" s="190" t="s">
        <v>338</v>
      </c>
      <c r="L253" s="190" t="s">
        <v>338</v>
      </c>
      <c r="M253" s="190" t="s">
        <v>338</v>
      </c>
      <c r="N253" s="190" t="s">
        <v>338</v>
      </c>
      <c r="O253" s="190" t="s">
        <v>338</v>
      </c>
      <c r="P253" s="190" t="s">
        <v>338</v>
      </c>
      <c r="Q253" s="190" t="s">
        <v>338</v>
      </c>
      <c r="R253" s="190" t="s">
        <v>338</v>
      </c>
      <c r="S253" s="190" t="s">
        <v>338</v>
      </c>
      <c r="T253" s="190" t="s">
        <v>338</v>
      </c>
      <c r="U253" s="190" t="s">
        <v>338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90" t="s">
        <v>338</v>
      </c>
      <c r="G254" s="194">
        <v>46113</v>
      </c>
      <c r="H254" s="194"/>
      <c r="I254" s="190" t="s">
        <v>338</v>
      </c>
      <c r="J254" s="190" t="s">
        <v>338</v>
      </c>
      <c r="K254" s="190" t="s">
        <v>338</v>
      </c>
      <c r="L254" s="190" t="s">
        <v>338</v>
      </c>
      <c r="M254" s="190" t="s">
        <v>338</v>
      </c>
      <c r="N254" s="190" t="s">
        <v>338</v>
      </c>
      <c r="O254" s="190" t="s">
        <v>338</v>
      </c>
      <c r="P254" s="190" t="s">
        <v>338</v>
      </c>
      <c r="Q254" s="190" t="s">
        <v>338</v>
      </c>
      <c r="R254" s="190" t="s">
        <v>338</v>
      </c>
      <c r="S254" s="190" t="s">
        <v>338</v>
      </c>
      <c r="T254" s="190" t="s">
        <v>338</v>
      </c>
      <c r="U254" s="190" t="s">
        <v>338</v>
      </c>
      <c r="V254" s="190" t="s">
        <v>338</v>
      </c>
      <c r="W254" s="190" t="s">
        <v>338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1301</v>
      </c>
      <c r="F255" s="190">
        <v>4</v>
      </c>
      <c r="G255" s="194">
        <v>46174</v>
      </c>
      <c r="H255" s="194"/>
      <c r="I255" s="190" t="s">
        <v>338</v>
      </c>
      <c r="J255" s="190" t="s">
        <v>338</v>
      </c>
      <c r="K255" s="190" t="s">
        <v>338</v>
      </c>
      <c r="L255" s="190" t="s">
        <v>338</v>
      </c>
      <c r="M255" s="190" t="s">
        <v>338</v>
      </c>
      <c r="N255" s="190" t="s">
        <v>338</v>
      </c>
      <c r="O255" s="190" t="s">
        <v>338</v>
      </c>
      <c r="P255" s="190" t="s">
        <v>338</v>
      </c>
      <c r="Q255" s="190" t="s">
        <v>338</v>
      </c>
      <c r="R255" s="190" t="s">
        <v>338</v>
      </c>
      <c r="S255" s="190" t="s">
        <v>338</v>
      </c>
      <c r="T255" s="190" t="s">
        <v>338</v>
      </c>
      <c r="U255" s="190" t="s">
        <v>338</v>
      </c>
      <c r="V255" s="190" t="s">
        <v>338</v>
      </c>
      <c r="W255" s="190" t="s">
        <v>338</v>
      </c>
      <c r="X255" s="190" t="s">
        <v>338</v>
      </c>
      <c r="Y255" s="190" t="s">
        <v>338</v>
      </c>
      <c r="Z255" s="190">
        <v>811</v>
      </c>
      <c r="AA255" s="190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90">
        <v>0</v>
      </c>
      <c r="G256" s="194">
        <v>45992</v>
      </c>
      <c r="H256" s="194"/>
      <c r="I256" s="190" t="s">
        <v>338</v>
      </c>
      <c r="J256" s="190" t="s">
        <v>338</v>
      </c>
      <c r="K256" s="190" t="s">
        <v>338</v>
      </c>
      <c r="L256" s="190" t="s">
        <v>338</v>
      </c>
      <c r="M256" s="190" t="s">
        <v>338</v>
      </c>
      <c r="N256" s="190" t="s">
        <v>338</v>
      </c>
      <c r="O256" s="190" t="s">
        <v>338</v>
      </c>
      <c r="P256" s="190" t="s">
        <v>338</v>
      </c>
      <c r="Q256" s="190" t="s">
        <v>338</v>
      </c>
      <c r="R256" s="190" t="s">
        <v>338</v>
      </c>
      <c r="S256" s="190" t="s">
        <v>338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1301</v>
      </c>
      <c r="F257" s="190">
        <v>3</v>
      </c>
      <c r="G257" s="194">
        <v>46174</v>
      </c>
      <c r="H257" s="194"/>
      <c r="I257" s="190" t="s">
        <v>338</v>
      </c>
      <c r="J257" s="190" t="s">
        <v>338</v>
      </c>
      <c r="K257" s="190" t="s">
        <v>338</v>
      </c>
      <c r="L257" s="190" t="s">
        <v>338</v>
      </c>
      <c r="M257" s="190" t="s">
        <v>338</v>
      </c>
      <c r="N257" s="190" t="s">
        <v>338</v>
      </c>
      <c r="O257" s="190" t="s">
        <v>338</v>
      </c>
      <c r="P257" s="190" t="s">
        <v>338</v>
      </c>
      <c r="Q257" s="190" t="s">
        <v>338</v>
      </c>
      <c r="R257" s="190" t="s">
        <v>338</v>
      </c>
      <c r="S257" s="190" t="s">
        <v>338</v>
      </c>
      <c r="T257" s="190" t="s">
        <v>338</v>
      </c>
      <c r="U257" s="190" t="s">
        <v>338</v>
      </c>
      <c r="V257" s="190" t="s">
        <v>338</v>
      </c>
      <c r="W257" s="190" t="s">
        <v>338</v>
      </c>
      <c r="X257" s="190" t="s">
        <v>338</v>
      </c>
      <c r="Y257" s="190" t="s">
        <v>338</v>
      </c>
      <c r="Z257" s="190">
        <v>833.5</v>
      </c>
      <c r="AA257" s="190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1304</v>
      </c>
      <c r="F258" s="190" t="s">
        <v>338</v>
      </c>
      <c r="G258" s="194">
        <v>45931</v>
      </c>
      <c r="H258" s="251"/>
      <c r="I258" s="190" t="s">
        <v>338</v>
      </c>
      <c r="J258" s="190" t="s">
        <v>338</v>
      </c>
      <c r="K258" s="190" t="s">
        <v>338</v>
      </c>
      <c r="L258" s="190" t="s">
        <v>338</v>
      </c>
      <c r="M258" s="190" t="s">
        <v>338</v>
      </c>
      <c r="N258" s="190" t="s">
        <v>338</v>
      </c>
      <c r="O258" s="190" t="s">
        <v>338</v>
      </c>
      <c r="P258" s="190" t="s">
        <v>338</v>
      </c>
      <c r="Q258" s="190" t="s">
        <v>338</v>
      </c>
      <c r="R258" s="190">
        <v>765</v>
      </c>
      <c r="S258" s="190" t="s">
        <v>338</v>
      </c>
      <c r="T258" s="190" t="s">
        <v>338</v>
      </c>
      <c r="U258" s="190" t="s">
        <v>338</v>
      </c>
      <c r="V258" s="190" t="s">
        <v>338</v>
      </c>
      <c r="W258" s="190">
        <v>765</v>
      </c>
      <c r="X258" s="190" t="s">
        <v>338</v>
      </c>
      <c r="Y258" s="190" t="s">
        <v>338</v>
      </c>
      <c r="Z258" s="190" t="s">
        <v>338</v>
      </c>
      <c r="AA258" s="190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1301</v>
      </c>
      <c r="F259" s="190">
        <v>6</v>
      </c>
      <c r="G259" s="194">
        <v>46204</v>
      </c>
      <c r="H259" s="194"/>
      <c r="I259" s="190" t="s">
        <v>338</v>
      </c>
      <c r="J259" s="190" t="s">
        <v>338</v>
      </c>
      <c r="K259" s="190" t="s">
        <v>338</v>
      </c>
      <c r="L259" s="190" t="s">
        <v>338</v>
      </c>
      <c r="M259" s="190" t="s">
        <v>338</v>
      </c>
      <c r="N259" s="190" t="s">
        <v>338</v>
      </c>
      <c r="O259" s="190" t="s">
        <v>338</v>
      </c>
      <c r="P259" s="190" t="s">
        <v>338</v>
      </c>
      <c r="Q259" s="190" t="s">
        <v>338</v>
      </c>
      <c r="R259" s="190" t="s">
        <v>338</v>
      </c>
      <c r="S259" s="190" t="s">
        <v>338</v>
      </c>
      <c r="T259" s="190" t="s">
        <v>338</v>
      </c>
      <c r="U259" s="190" t="s">
        <v>338</v>
      </c>
      <c r="V259" s="190" t="s">
        <v>338</v>
      </c>
      <c r="W259" s="190" t="s">
        <v>338</v>
      </c>
      <c r="X259" s="190" t="s">
        <v>338</v>
      </c>
      <c r="Y259" s="190" t="s">
        <v>338</v>
      </c>
      <c r="Z259" s="190" t="s">
        <v>338</v>
      </c>
      <c r="AA259" s="190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1304</v>
      </c>
      <c r="F260" s="190" t="s">
        <v>338</v>
      </c>
      <c r="G260" s="194">
        <v>46023</v>
      </c>
      <c r="H260" s="251"/>
      <c r="I260" s="190" t="s">
        <v>338</v>
      </c>
      <c r="J260" s="190" t="s">
        <v>338</v>
      </c>
      <c r="K260" s="190" t="s">
        <v>338</v>
      </c>
      <c r="L260" s="190" t="s">
        <v>338</v>
      </c>
      <c r="M260" s="190" t="s">
        <v>338</v>
      </c>
      <c r="N260" s="190" t="s">
        <v>338</v>
      </c>
      <c r="O260" s="190" t="s">
        <v>338</v>
      </c>
      <c r="P260" s="190" t="s">
        <v>338</v>
      </c>
      <c r="Q260" s="190" t="s">
        <v>338</v>
      </c>
      <c r="R260" s="190" t="s">
        <v>338</v>
      </c>
      <c r="S260" s="190" t="s">
        <v>338</v>
      </c>
      <c r="T260" s="190" t="s">
        <v>338</v>
      </c>
      <c r="U260" s="190">
        <v>1125</v>
      </c>
      <c r="V260" s="190" t="s">
        <v>338</v>
      </c>
      <c r="W260" s="190" t="s">
        <v>338</v>
      </c>
      <c r="X260" s="190" t="s">
        <v>338</v>
      </c>
      <c r="Y260" s="190" t="s">
        <v>338</v>
      </c>
      <c r="Z260" s="190" t="s">
        <v>338</v>
      </c>
      <c r="AA260" s="190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90" t="s">
        <v>338</v>
      </c>
      <c r="G261" s="194">
        <v>46113</v>
      </c>
      <c r="H261" s="194"/>
      <c r="I261" s="190" t="s">
        <v>338</v>
      </c>
      <c r="J261" s="190" t="s">
        <v>338</v>
      </c>
      <c r="K261" s="190" t="s">
        <v>338</v>
      </c>
      <c r="L261" s="190" t="s">
        <v>338</v>
      </c>
      <c r="M261" s="190" t="s">
        <v>338</v>
      </c>
      <c r="N261" s="190" t="s">
        <v>338</v>
      </c>
      <c r="O261" s="190" t="s">
        <v>338</v>
      </c>
      <c r="P261" s="190" t="s">
        <v>338</v>
      </c>
      <c r="Q261" s="190" t="s">
        <v>338</v>
      </c>
      <c r="R261" s="190" t="s">
        <v>338</v>
      </c>
      <c r="S261" s="190" t="s">
        <v>338</v>
      </c>
      <c r="T261" s="190" t="s">
        <v>338</v>
      </c>
      <c r="U261" s="190" t="s">
        <v>338</v>
      </c>
      <c r="V261" s="190" t="s">
        <v>338</v>
      </c>
      <c r="W261" s="190" t="s">
        <v>338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1302</v>
      </c>
      <c r="F262" s="190" t="s">
        <v>338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338</v>
      </c>
      <c r="V262" s="190">
        <v>75</v>
      </c>
      <c r="W262" s="190" t="s">
        <v>338</v>
      </c>
      <c r="X262" s="190" t="s">
        <v>338</v>
      </c>
      <c r="Y262" s="190" t="s">
        <v>338</v>
      </c>
      <c r="Z262" s="190" t="s">
        <v>338</v>
      </c>
      <c r="AA262" s="190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1303</v>
      </c>
      <c r="F263" s="190" t="s">
        <v>338</v>
      </c>
      <c r="G263" s="194">
        <v>45870</v>
      </c>
      <c r="H263" s="194">
        <v>45930</v>
      </c>
      <c r="I263" s="190" t="s">
        <v>338</v>
      </c>
      <c r="J263" s="190" t="s">
        <v>338</v>
      </c>
      <c r="K263" s="190" t="s">
        <v>338</v>
      </c>
      <c r="L263" s="190" t="s">
        <v>338</v>
      </c>
      <c r="M263" s="190" t="s">
        <v>338</v>
      </c>
      <c r="N263" s="190" t="s">
        <v>338</v>
      </c>
      <c r="O263" s="190" t="s">
        <v>338</v>
      </c>
      <c r="P263" s="190">
        <v>640</v>
      </c>
      <c r="Q263" s="190">
        <v>340</v>
      </c>
      <c r="R263" s="190" t="s">
        <v>338</v>
      </c>
      <c r="S263" s="190" t="s">
        <v>338</v>
      </c>
      <c r="T263" s="190" t="s">
        <v>338</v>
      </c>
      <c r="U263" s="190" t="s">
        <v>338</v>
      </c>
      <c r="V263" s="190" t="s">
        <v>338</v>
      </c>
      <c r="W263" s="190" t="s">
        <v>338</v>
      </c>
      <c r="X263" s="190" t="s">
        <v>338</v>
      </c>
      <c r="Y263" s="190" t="s">
        <v>338</v>
      </c>
      <c r="Z263" s="190" t="s">
        <v>338</v>
      </c>
      <c r="AA263" s="190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90" t="s">
        <v>338</v>
      </c>
      <c r="G264" s="194">
        <v>46054</v>
      </c>
      <c r="H264" s="194"/>
      <c r="I264" s="190" t="s">
        <v>338</v>
      </c>
      <c r="J264" s="190" t="s">
        <v>338</v>
      </c>
      <c r="K264" s="190" t="s">
        <v>338</v>
      </c>
      <c r="L264" s="190" t="s">
        <v>338</v>
      </c>
      <c r="M264" s="190" t="s">
        <v>338</v>
      </c>
      <c r="N264" s="190" t="s">
        <v>338</v>
      </c>
      <c r="O264" s="190" t="s">
        <v>338</v>
      </c>
      <c r="P264" s="190" t="s">
        <v>338</v>
      </c>
      <c r="Q264" s="190" t="s">
        <v>338</v>
      </c>
      <c r="R264" s="190" t="s">
        <v>338</v>
      </c>
      <c r="S264" s="190" t="s">
        <v>338</v>
      </c>
      <c r="T264" s="190" t="s">
        <v>338</v>
      </c>
      <c r="U264" s="190" t="s">
        <v>338</v>
      </c>
      <c r="V264" s="190">
        <v>975</v>
      </c>
      <c r="W264" s="190" t="s">
        <v>338</v>
      </c>
      <c r="X264" s="190" t="s">
        <v>338</v>
      </c>
      <c r="Y264" s="190" t="s">
        <v>338</v>
      </c>
      <c r="Z264" s="190" t="s">
        <v>338</v>
      </c>
      <c r="AA264" s="190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1304</v>
      </c>
      <c r="F265" s="190" t="s">
        <v>338</v>
      </c>
      <c r="G265" s="194">
        <v>45901</v>
      </c>
      <c r="H265" s="251"/>
      <c r="I265" s="190" t="s">
        <v>338</v>
      </c>
      <c r="J265" s="190" t="s">
        <v>338</v>
      </c>
      <c r="K265" s="190" t="s">
        <v>338</v>
      </c>
      <c r="L265" s="190" t="s">
        <v>338</v>
      </c>
      <c r="M265" s="190" t="s">
        <v>338</v>
      </c>
      <c r="N265" s="190" t="s">
        <v>338</v>
      </c>
      <c r="O265" s="190" t="s">
        <v>338</v>
      </c>
      <c r="P265" s="190" t="s">
        <v>338</v>
      </c>
      <c r="Q265" s="190">
        <v>1080</v>
      </c>
      <c r="R265" s="190" t="s">
        <v>338</v>
      </c>
      <c r="S265" s="190" t="s">
        <v>338</v>
      </c>
      <c r="T265" s="190" t="s">
        <v>338</v>
      </c>
      <c r="U265" s="190" t="s">
        <v>338</v>
      </c>
      <c r="V265" s="190" t="s">
        <v>338</v>
      </c>
      <c r="W265" s="190" t="s">
        <v>338</v>
      </c>
      <c r="X265" s="190" t="s">
        <v>338</v>
      </c>
      <c r="Y265" s="190" t="s">
        <v>338</v>
      </c>
      <c r="Z265" s="190" t="s">
        <v>338</v>
      </c>
      <c r="AA265" s="190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1302</v>
      </c>
      <c r="F266" s="190" t="s">
        <v>338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338</v>
      </c>
      <c r="Y266" s="190" t="s">
        <v>338</v>
      </c>
      <c r="Z266" s="190" t="s">
        <v>338</v>
      </c>
      <c r="AA266" s="190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1303</v>
      </c>
      <c r="F267" s="190" t="s">
        <v>338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338</v>
      </c>
      <c r="S267" s="190" t="s">
        <v>338</v>
      </c>
      <c r="T267" s="190" t="s">
        <v>338</v>
      </c>
      <c r="U267" s="190" t="s">
        <v>338</v>
      </c>
      <c r="V267" s="190" t="s">
        <v>338</v>
      </c>
      <c r="W267" s="190" t="s">
        <v>338</v>
      </c>
      <c r="X267" s="190" t="s">
        <v>338</v>
      </c>
      <c r="Y267" s="190" t="s">
        <v>338</v>
      </c>
      <c r="Z267" s="190" t="s">
        <v>338</v>
      </c>
      <c r="AA267" s="190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1304</v>
      </c>
      <c r="F268" s="190" t="s">
        <v>338</v>
      </c>
      <c r="G268" s="194">
        <v>46054</v>
      </c>
      <c r="H268" s="251"/>
      <c r="I268" s="190" t="s">
        <v>338</v>
      </c>
      <c r="J268" s="190" t="s">
        <v>338</v>
      </c>
      <c r="K268" s="190" t="s">
        <v>338</v>
      </c>
      <c r="L268" s="190" t="s">
        <v>338</v>
      </c>
      <c r="M268" s="190" t="s">
        <v>338</v>
      </c>
      <c r="N268" s="190" t="s">
        <v>338</v>
      </c>
      <c r="O268" s="190" t="s">
        <v>338</v>
      </c>
      <c r="P268" s="190" t="s">
        <v>338</v>
      </c>
      <c r="Q268" s="190" t="s">
        <v>338</v>
      </c>
      <c r="R268" s="190" t="s">
        <v>338</v>
      </c>
      <c r="S268" s="190" t="s">
        <v>338</v>
      </c>
      <c r="T268" s="190" t="s">
        <v>338</v>
      </c>
      <c r="U268" s="190" t="s">
        <v>338</v>
      </c>
      <c r="V268" s="190">
        <v>975</v>
      </c>
      <c r="W268" s="190" t="s">
        <v>338</v>
      </c>
      <c r="X268" s="190" t="s">
        <v>338</v>
      </c>
      <c r="Y268" s="190" t="s">
        <v>338</v>
      </c>
      <c r="Z268" s="190" t="s">
        <v>338</v>
      </c>
      <c r="AA268" s="190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90">
        <v>0</v>
      </c>
      <c r="G269" s="194">
        <v>46023</v>
      </c>
      <c r="H269" s="194">
        <v>46173</v>
      </c>
      <c r="I269" s="190" t="s">
        <v>338</v>
      </c>
      <c r="J269" s="190" t="s">
        <v>338</v>
      </c>
      <c r="K269" s="190" t="s">
        <v>338</v>
      </c>
      <c r="L269" s="190" t="s">
        <v>338</v>
      </c>
      <c r="M269" s="190" t="s">
        <v>338</v>
      </c>
      <c r="N269" s="190" t="s">
        <v>338</v>
      </c>
      <c r="O269" s="190" t="s">
        <v>338</v>
      </c>
      <c r="P269" s="190" t="s">
        <v>338</v>
      </c>
      <c r="Q269" s="190" t="s">
        <v>338</v>
      </c>
      <c r="R269" s="190" t="s">
        <v>338</v>
      </c>
      <c r="S269" s="190" t="s">
        <v>338</v>
      </c>
      <c r="T269" s="190" t="s">
        <v>338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338</v>
      </c>
      <c r="AA269" s="190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90">
        <v>0</v>
      </c>
      <c r="G270" s="194">
        <v>46023</v>
      </c>
      <c r="H270" s="194">
        <v>46173</v>
      </c>
      <c r="I270" s="190" t="s">
        <v>338</v>
      </c>
      <c r="J270" s="190" t="s">
        <v>338</v>
      </c>
      <c r="K270" s="190" t="s">
        <v>338</v>
      </c>
      <c r="L270" s="190" t="s">
        <v>338</v>
      </c>
      <c r="M270" s="190" t="s">
        <v>338</v>
      </c>
      <c r="N270" s="190" t="s">
        <v>338</v>
      </c>
      <c r="O270" s="190" t="s">
        <v>338</v>
      </c>
      <c r="P270" s="190" t="s">
        <v>338</v>
      </c>
      <c r="Q270" s="190" t="s">
        <v>338</v>
      </c>
      <c r="R270" s="190" t="s">
        <v>338</v>
      </c>
      <c r="S270" s="190" t="s">
        <v>338</v>
      </c>
      <c r="T270" s="190" t="s">
        <v>338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338</v>
      </c>
      <c r="AA270" s="190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1302</v>
      </c>
      <c r="F271" s="190" t="s">
        <v>338</v>
      </c>
      <c r="G271" s="194">
        <v>45870</v>
      </c>
      <c r="H271" s="194">
        <v>45930</v>
      </c>
      <c r="I271" s="190" t="s">
        <v>338</v>
      </c>
      <c r="J271" s="190" t="s">
        <v>338</v>
      </c>
      <c r="K271" s="190" t="s">
        <v>338</v>
      </c>
      <c r="L271" s="190" t="s">
        <v>338</v>
      </c>
      <c r="M271" s="190" t="s">
        <v>338</v>
      </c>
      <c r="N271" s="190" t="s">
        <v>338</v>
      </c>
      <c r="O271" s="190" t="s">
        <v>338</v>
      </c>
      <c r="P271" s="190">
        <v>400</v>
      </c>
      <c r="Q271" s="190">
        <v>400</v>
      </c>
      <c r="R271" s="190">
        <v>0</v>
      </c>
      <c r="S271" s="190" t="s">
        <v>338</v>
      </c>
      <c r="T271" s="190" t="s">
        <v>338</v>
      </c>
      <c r="U271" s="190" t="s">
        <v>338</v>
      </c>
      <c r="V271" s="190" t="s">
        <v>338</v>
      </c>
      <c r="W271" s="190" t="s">
        <v>338</v>
      </c>
      <c r="X271" s="190" t="s">
        <v>338</v>
      </c>
      <c r="Y271" s="190" t="s">
        <v>338</v>
      </c>
      <c r="Z271" s="190" t="s">
        <v>338</v>
      </c>
      <c r="AA271" s="190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1303</v>
      </c>
      <c r="F272" s="190" t="s">
        <v>338</v>
      </c>
      <c r="G272" s="194">
        <v>45962</v>
      </c>
      <c r="H272" s="194">
        <v>46022</v>
      </c>
      <c r="I272" s="190" t="s">
        <v>338</v>
      </c>
      <c r="J272" s="190" t="s">
        <v>338</v>
      </c>
      <c r="K272" s="190" t="s">
        <v>338</v>
      </c>
      <c r="L272" s="190" t="s">
        <v>338</v>
      </c>
      <c r="M272" s="190" t="s">
        <v>338</v>
      </c>
      <c r="N272" s="190" t="s">
        <v>338</v>
      </c>
      <c r="O272" s="190" t="s">
        <v>338</v>
      </c>
      <c r="P272" s="190" t="s">
        <v>338</v>
      </c>
      <c r="Q272" s="190" t="s">
        <v>338</v>
      </c>
      <c r="R272" s="190" t="s">
        <v>338</v>
      </c>
      <c r="S272" s="190">
        <v>100</v>
      </c>
      <c r="T272" s="190">
        <v>700</v>
      </c>
      <c r="U272" s="190">
        <v>0</v>
      </c>
      <c r="V272" s="190" t="s">
        <v>338</v>
      </c>
      <c r="W272" s="190" t="s">
        <v>338</v>
      </c>
      <c r="X272" s="190" t="s">
        <v>338</v>
      </c>
      <c r="Y272" s="190" t="s">
        <v>338</v>
      </c>
      <c r="Z272" s="190" t="s">
        <v>338</v>
      </c>
      <c r="AA272" s="190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1302</v>
      </c>
      <c r="F273" s="190" t="s">
        <v>338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338</v>
      </c>
      <c r="V273" s="190" t="s">
        <v>338</v>
      </c>
      <c r="W273" s="190" t="s">
        <v>338</v>
      </c>
      <c r="X273" s="190" t="s">
        <v>338</v>
      </c>
      <c r="Y273" s="190" t="s">
        <v>338</v>
      </c>
      <c r="Z273" s="190" t="s">
        <v>338</v>
      </c>
      <c r="AA273" s="190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1303</v>
      </c>
      <c r="F274" s="190" t="s">
        <v>338</v>
      </c>
      <c r="G274" s="194">
        <v>45931</v>
      </c>
      <c r="H274" s="194">
        <v>45991</v>
      </c>
      <c r="I274" s="190" t="s">
        <v>338</v>
      </c>
      <c r="J274" s="190" t="s">
        <v>338</v>
      </c>
      <c r="K274" s="190" t="s">
        <v>338</v>
      </c>
      <c r="L274" s="190" t="s">
        <v>338</v>
      </c>
      <c r="M274" s="190" t="s">
        <v>338</v>
      </c>
      <c r="N274" s="190" t="s">
        <v>338</v>
      </c>
      <c r="O274" s="190" t="s">
        <v>338</v>
      </c>
      <c r="P274" s="190" t="s">
        <v>338</v>
      </c>
      <c r="Q274" s="190" t="s">
        <v>338</v>
      </c>
      <c r="R274" s="190">
        <v>400</v>
      </c>
      <c r="S274" s="190">
        <v>325</v>
      </c>
      <c r="T274" s="190" t="s">
        <v>338</v>
      </c>
      <c r="U274" s="190" t="s">
        <v>338</v>
      </c>
      <c r="V274" s="190" t="s">
        <v>338</v>
      </c>
      <c r="W274" s="190" t="s">
        <v>338</v>
      </c>
      <c r="X274" s="190" t="s">
        <v>338</v>
      </c>
      <c r="Y274" s="190" t="s">
        <v>338</v>
      </c>
      <c r="Z274" s="190" t="s">
        <v>338</v>
      </c>
      <c r="AA274" s="190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1304</v>
      </c>
      <c r="F275" s="190" t="s">
        <v>338</v>
      </c>
      <c r="G275" s="194">
        <v>46054</v>
      </c>
      <c r="H275" s="251"/>
      <c r="I275" s="190" t="s">
        <v>338</v>
      </c>
      <c r="J275" s="190" t="s">
        <v>338</v>
      </c>
      <c r="K275" s="190" t="s">
        <v>338</v>
      </c>
      <c r="L275" s="190" t="s">
        <v>338</v>
      </c>
      <c r="M275" s="190" t="s">
        <v>338</v>
      </c>
      <c r="N275" s="190" t="s">
        <v>338</v>
      </c>
      <c r="O275" s="190" t="s">
        <v>338</v>
      </c>
      <c r="P275" s="190" t="s">
        <v>338</v>
      </c>
      <c r="Q275" s="190" t="s">
        <v>338</v>
      </c>
      <c r="R275" s="190" t="s">
        <v>338</v>
      </c>
      <c r="S275" s="190" t="s">
        <v>338</v>
      </c>
      <c r="T275" s="190" t="s">
        <v>338</v>
      </c>
      <c r="U275" s="190" t="s">
        <v>338</v>
      </c>
      <c r="V275" s="190">
        <v>650</v>
      </c>
      <c r="W275" s="190" t="s">
        <v>338</v>
      </c>
      <c r="X275" s="190" t="s">
        <v>338</v>
      </c>
      <c r="Y275" s="190" t="s">
        <v>338</v>
      </c>
      <c r="Z275" s="190" t="s">
        <v>338</v>
      </c>
      <c r="AA275" s="190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1303</v>
      </c>
      <c r="F276" s="190" t="s">
        <v>338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338</v>
      </c>
      <c r="T276" s="190" t="s">
        <v>338</v>
      </c>
      <c r="U276" s="190" t="s">
        <v>338</v>
      </c>
      <c r="V276" s="190" t="s">
        <v>338</v>
      </c>
      <c r="W276" s="190" t="s">
        <v>338</v>
      </c>
      <c r="X276" s="190" t="s">
        <v>338</v>
      </c>
      <c r="Y276" s="190" t="s">
        <v>338</v>
      </c>
      <c r="Z276" s="190" t="s">
        <v>338</v>
      </c>
      <c r="AA276" s="190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1304</v>
      </c>
      <c r="F277" s="190" t="s">
        <v>338</v>
      </c>
      <c r="G277" s="194">
        <v>45931</v>
      </c>
      <c r="H277" s="251"/>
      <c r="I277" s="190" t="s">
        <v>338</v>
      </c>
      <c r="J277" s="190" t="s">
        <v>338</v>
      </c>
      <c r="K277" s="190" t="s">
        <v>338</v>
      </c>
      <c r="L277" s="190" t="s">
        <v>338</v>
      </c>
      <c r="M277" s="190" t="s">
        <v>338</v>
      </c>
      <c r="N277" s="190" t="s">
        <v>338</v>
      </c>
      <c r="O277" s="190" t="s">
        <v>338</v>
      </c>
      <c r="P277" s="190" t="s">
        <v>338</v>
      </c>
      <c r="Q277" s="190" t="s">
        <v>338</v>
      </c>
      <c r="R277" s="190">
        <v>495</v>
      </c>
      <c r="S277" s="190" t="s">
        <v>338</v>
      </c>
      <c r="T277" s="190" t="s">
        <v>338</v>
      </c>
      <c r="U277" s="190" t="s">
        <v>338</v>
      </c>
      <c r="V277" s="190" t="s">
        <v>338</v>
      </c>
      <c r="W277" s="190">
        <v>0</v>
      </c>
      <c r="X277" s="190" t="s">
        <v>338</v>
      </c>
      <c r="Y277" s="190" t="s">
        <v>338</v>
      </c>
      <c r="Z277" s="190" t="s">
        <v>338</v>
      </c>
      <c r="AA277" s="190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90" t="s">
        <v>338</v>
      </c>
      <c r="G278" s="194">
        <v>46204</v>
      </c>
      <c r="H278" s="194"/>
      <c r="I278" s="190" t="s">
        <v>338</v>
      </c>
      <c r="J278" s="190" t="s">
        <v>338</v>
      </c>
      <c r="K278" s="190" t="s">
        <v>338</v>
      </c>
      <c r="L278" s="190" t="s">
        <v>338</v>
      </c>
      <c r="M278" s="190" t="s">
        <v>338</v>
      </c>
      <c r="N278" s="190" t="s">
        <v>338</v>
      </c>
      <c r="O278" s="190" t="s">
        <v>338</v>
      </c>
      <c r="P278" s="190" t="s">
        <v>338</v>
      </c>
      <c r="Q278" s="190" t="s">
        <v>338</v>
      </c>
      <c r="R278" s="190" t="s">
        <v>338</v>
      </c>
      <c r="S278" s="190" t="s">
        <v>338</v>
      </c>
      <c r="T278" s="190" t="s">
        <v>338</v>
      </c>
      <c r="U278" s="190" t="s">
        <v>338</v>
      </c>
      <c r="V278" s="190" t="s">
        <v>338</v>
      </c>
      <c r="W278" s="190" t="s">
        <v>338</v>
      </c>
      <c r="X278" s="190" t="s">
        <v>338</v>
      </c>
      <c r="Y278" s="190" t="s">
        <v>338</v>
      </c>
      <c r="Z278" s="190" t="s">
        <v>338</v>
      </c>
      <c r="AA278" s="190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1303</v>
      </c>
      <c r="F279" s="190" t="s">
        <v>338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338</v>
      </c>
      <c r="R279" s="190" t="s">
        <v>338</v>
      </c>
      <c r="S279" s="190" t="s">
        <v>338</v>
      </c>
      <c r="T279" s="190" t="s">
        <v>338</v>
      </c>
      <c r="U279" s="190" t="s">
        <v>338</v>
      </c>
      <c r="V279" s="190" t="s">
        <v>338</v>
      </c>
      <c r="W279" s="190" t="s">
        <v>338</v>
      </c>
      <c r="X279" s="190" t="s">
        <v>338</v>
      </c>
      <c r="Y279" s="190" t="s">
        <v>338</v>
      </c>
      <c r="Z279" s="190" t="s">
        <v>338</v>
      </c>
      <c r="AA279" s="190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1304</v>
      </c>
      <c r="F280" s="190" t="s">
        <v>338</v>
      </c>
      <c r="G280" s="194">
        <v>45931</v>
      </c>
      <c r="H280" s="251"/>
      <c r="I280" s="190" t="s">
        <v>338</v>
      </c>
      <c r="J280" s="190" t="s">
        <v>338</v>
      </c>
      <c r="K280" s="190" t="s">
        <v>338</v>
      </c>
      <c r="L280" s="190" t="s">
        <v>338</v>
      </c>
      <c r="M280" s="190" t="s">
        <v>338</v>
      </c>
      <c r="N280" s="190" t="s">
        <v>338</v>
      </c>
      <c r="O280" s="190" t="s">
        <v>338</v>
      </c>
      <c r="P280" s="190" t="s">
        <v>338</v>
      </c>
      <c r="Q280" s="190" t="s">
        <v>338</v>
      </c>
      <c r="R280" s="190">
        <v>380.25</v>
      </c>
      <c r="S280" s="190" t="s">
        <v>338</v>
      </c>
      <c r="T280" s="190" t="s">
        <v>338</v>
      </c>
      <c r="U280" s="190" t="s">
        <v>338</v>
      </c>
      <c r="V280" s="190" t="s">
        <v>338</v>
      </c>
      <c r="W280" s="190" t="s">
        <v>338</v>
      </c>
      <c r="X280" s="190" t="s">
        <v>338</v>
      </c>
      <c r="Y280" s="190" t="s">
        <v>338</v>
      </c>
      <c r="Z280" s="190" t="s">
        <v>338</v>
      </c>
      <c r="AA280" s="190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1303</v>
      </c>
      <c r="F281" s="190" t="s">
        <v>338</v>
      </c>
      <c r="G281" s="194">
        <v>45901</v>
      </c>
      <c r="H281" s="194">
        <v>45991</v>
      </c>
      <c r="I281" s="190" t="s">
        <v>338</v>
      </c>
      <c r="J281" s="190" t="s">
        <v>338</v>
      </c>
      <c r="K281" s="190" t="s">
        <v>338</v>
      </c>
      <c r="L281" s="190" t="s">
        <v>338</v>
      </c>
      <c r="M281" s="190" t="s">
        <v>338</v>
      </c>
      <c r="N281" s="190" t="s">
        <v>338</v>
      </c>
      <c r="O281" s="190" t="s">
        <v>338</v>
      </c>
      <c r="P281" s="190" t="s">
        <v>338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338</v>
      </c>
      <c r="V281" s="190" t="s">
        <v>338</v>
      </c>
      <c r="W281" s="190" t="s">
        <v>338</v>
      </c>
      <c r="X281" s="190" t="s">
        <v>338</v>
      </c>
      <c r="Y281" s="190" t="s">
        <v>338</v>
      </c>
      <c r="Z281" s="190" t="s">
        <v>338</v>
      </c>
      <c r="AA281" s="190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1303</v>
      </c>
      <c r="F282" s="190" t="s">
        <v>338</v>
      </c>
      <c r="G282" s="194">
        <v>45992</v>
      </c>
      <c r="H282" s="194">
        <v>46022</v>
      </c>
      <c r="I282" s="190" t="s">
        <v>338</v>
      </c>
      <c r="J282" s="190" t="s">
        <v>338</v>
      </c>
      <c r="K282" s="190" t="s">
        <v>338</v>
      </c>
      <c r="L282" s="190" t="s">
        <v>338</v>
      </c>
      <c r="M282" s="190" t="s">
        <v>338</v>
      </c>
      <c r="N282" s="190" t="s">
        <v>338</v>
      </c>
      <c r="O282" s="190" t="s">
        <v>338</v>
      </c>
      <c r="P282" s="190" t="s">
        <v>338</v>
      </c>
      <c r="Q282" s="190" t="s">
        <v>338</v>
      </c>
      <c r="R282" s="190" t="s">
        <v>338</v>
      </c>
      <c r="S282" s="190" t="s">
        <v>338</v>
      </c>
      <c r="T282" s="190">
        <v>200</v>
      </c>
      <c r="U282" s="190">
        <v>0</v>
      </c>
      <c r="V282" s="190" t="s">
        <v>338</v>
      </c>
      <c r="W282" s="190" t="s">
        <v>338</v>
      </c>
      <c r="X282" s="190" t="s">
        <v>338</v>
      </c>
      <c r="Y282" s="190" t="s">
        <v>338</v>
      </c>
      <c r="Z282" s="190" t="s">
        <v>338</v>
      </c>
      <c r="AA282" s="190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1303</v>
      </c>
      <c r="F283" s="190" t="s">
        <v>338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338</v>
      </c>
      <c r="P283" s="190" t="s">
        <v>338</v>
      </c>
      <c r="Q283" s="190" t="s">
        <v>338</v>
      </c>
      <c r="R283" s="190" t="s">
        <v>338</v>
      </c>
      <c r="S283" s="190" t="s">
        <v>338</v>
      </c>
      <c r="T283" s="190" t="s">
        <v>338</v>
      </c>
      <c r="U283" s="190">
        <v>75</v>
      </c>
      <c r="V283" s="190">
        <v>15</v>
      </c>
      <c r="W283" s="190" t="s">
        <v>338</v>
      </c>
      <c r="X283" s="190" t="s">
        <v>338</v>
      </c>
      <c r="Y283" s="190" t="s">
        <v>338</v>
      </c>
      <c r="Z283" s="190" t="s">
        <v>338</v>
      </c>
      <c r="AA283" s="190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1303</v>
      </c>
      <c r="F284" s="190" t="s">
        <v>338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338</v>
      </c>
      <c r="N284" s="190">
        <v>500</v>
      </c>
      <c r="O284" s="190" t="s">
        <v>338</v>
      </c>
      <c r="P284" s="190" t="s">
        <v>338</v>
      </c>
      <c r="Q284" s="190" t="s">
        <v>338</v>
      </c>
      <c r="R284" s="190" t="s">
        <v>338</v>
      </c>
      <c r="S284" s="190" t="s">
        <v>338</v>
      </c>
      <c r="T284" s="190" t="s">
        <v>338</v>
      </c>
      <c r="U284" s="190" t="s">
        <v>338</v>
      </c>
      <c r="V284" s="190" t="s">
        <v>338</v>
      </c>
      <c r="W284" s="190" t="s">
        <v>338</v>
      </c>
      <c r="X284" s="190" t="s">
        <v>338</v>
      </c>
      <c r="Y284" s="190" t="s">
        <v>338</v>
      </c>
      <c r="Z284" s="190" t="s">
        <v>338</v>
      </c>
      <c r="AA284" s="190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1302</v>
      </c>
      <c r="F285" s="190" t="s">
        <v>338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338</v>
      </c>
      <c r="Q285" s="190" t="s">
        <v>338</v>
      </c>
      <c r="R285" s="190" t="s">
        <v>338</v>
      </c>
      <c r="S285" s="190" t="s">
        <v>338</v>
      </c>
      <c r="T285" s="190" t="s">
        <v>338</v>
      </c>
      <c r="U285" s="190" t="s">
        <v>338</v>
      </c>
      <c r="V285" s="190" t="s">
        <v>338</v>
      </c>
      <c r="W285" s="190" t="s">
        <v>338</v>
      </c>
      <c r="X285" s="190" t="s">
        <v>338</v>
      </c>
      <c r="Y285" s="190" t="s">
        <v>338</v>
      </c>
      <c r="Z285" s="190" t="s">
        <v>338</v>
      </c>
      <c r="AA285" s="190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1303</v>
      </c>
      <c r="F286" s="190" t="s">
        <v>338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338</v>
      </c>
      <c r="P286" s="190" t="s">
        <v>338</v>
      </c>
      <c r="Q286" s="190" t="s">
        <v>338</v>
      </c>
      <c r="R286" s="190" t="s">
        <v>338</v>
      </c>
      <c r="S286" s="190" t="s">
        <v>338</v>
      </c>
      <c r="T286" s="190" t="s">
        <v>338</v>
      </c>
      <c r="U286" s="190" t="s">
        <v>338</v>
      </c>
      <c r="V286" s="190" t="s">
        <v>338</v>
      </c>
      <c r="W286" s="190" t="s">
        <v>338</v>
      </c>
      <c r="X286" s="190" t="s">
        <v>338</v>
      </c>
      <c r="Y286" s="190" t="s">
        <v>338</v>
      </c>
      <c r="Z286" s="190" t="s">
        <v>338</v>
      </c>
      <c r="AA286" s="190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1303</v>
      </c>
      <c r="F287" s="190" t="s">
        <v>338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338</v>
      </c>
      <c r="P287" s="190" t="s">
        <v>338</v>
      </c>
      <c r="Q287" s="190" t="s">
        <v>338</v>
      </c>
      <c r="R287" s="190" t="s">
        <v>338</v>
      </c>
      <c r="S287" s="190" t="s">
        <v>338</v>
      </c>
      <c r="T287" s="190" t="s">
        <v>338</v>
      </c>
      <c r="U287" s="190" t="s">
        <v>338</v>
      </c>
      <c r="V287" s="190" t="s">
        <v>338</v>
      </c>
      <c r="W287" s="190" t="s">
        <v>338</v>
      </c>
      <c r="X287" s="190" t="s">
        <v>338</v>
      </c>
      <c r="Y287" s="190" t="s">
        <v>338</v>
      </c>
      <c r="Z287" s="190" t="s">
        <v>338</v>
      </c>
      <c r="AA287" s="190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1303</v>
      </c>
      <c r="F288" s="190" t="s">
        <v>338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338</v>
      </c>
      <c r="P288" s="190" t="s">
        <v>338</v>
      </c>
      <c r="Q288" s="190" t="s">
        <v>338</v>
      </c>
      <c r="R288" s="190" t="s">
        <v>338</v>
      </c>
      <c r="S288" s="190" t="s">
        <v>338</v>
      </c>
      <c r="T288" s="190" t="s">
        <v>338</v>
      </c>
      <c r="U288" s="190" t="s">
        <v>338</v>
      </c>
      <c r="V288" s="190" t="s">
        <v>338</v>
      </c>
      <c r="W288" s="190" t="s">
        <v>338</v>
      </c>
      <c r="X288" s="190" t="s">
        <v>338</v>
      </c>
      <c r="Y288" s="190" t="s">
        <v>338</v>
      </c>
      <c r="Z288" s="190" t="s">
        <v>338</v>
      </c>
      <c r="AA288" s="190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1303</v>
      </c>
      <c r="F289" s="190" t="s">
        <v>338</v>
      </c>
      <c r="G289" s="194">
        <v>45748</v>
      </c>
      <c r="H289" s="194">
        <v>45838</v>
      </c>
      <c r="I289" s="190" t="s">
        <v>338</v>
      </c>
      <c r="J289" s="190" t="s">
        <v>338</v>
      </c>
      <c r="K289" s="190" t="s">
        <v>338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338</v>
      </c>
      <c r="Q289" s="190" t="s">
        <v>338</v>
      </c>
      <c r="R289" s="190" t="s">
        <v>338</v>
      </c>
      <c r="S289" s="190" t="s">
        <v>338</v>
      </c>
      <c r="T289" s="190" t="s">
        <v>338</v>
      </c>
      <c r="U289" s="190" t="s">
        <v>338</v>
      </c>
      <c r="V289" s="190" t="s">
        <v>338</v>
      </c>
      <c r="W289" s="190" t="s">
        <v>338</v>
      </c>
      <c r="X289" s="190" t="s">
        <v>338</v>
      </c>
      <c r="Y289" s="190" t="s">
        <v>338</v>
      </c>
      <c r="Z289" s="190" t="s">
        <v>338</v>
      </c>
      <c r="AA289" s="190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1302</v>
      </c>
      <c r="F290" s="190" t="s">
        <v>338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338</v>
      </c>
      <c r="P290" s="190" t="s">
        <v>338</v>
      </c>
      <c r="Q290" s="190" t="s">
        <v>338</v>
      </c>
      <c r="R290" s="190" t="s">
        <v>338</v>
      </c>
      <c r="S290" s="190" t="s">
        <v>338</v>
      </c>
      <c r="T290" s="190" t="s">
        <v>338</v>
      </c>
      <c r="U290" s="190" t="s">
        <v>338</v>
      </c>
      <c r="V290" s="190" t="s">
        <v>338</v>
      </c>
      <c r="W290" s="190" t="s">
        <v>338</v>
      </c>
      <c r="X290" s="190" t="s">
        <v>338</v>
      </c>
      <c r="Y290" s="190" t="s">
        <v>338</v>
      </c>
      <c r="Z290" s="190" t="s">
        <v>338</v>
      </c>
      <c r="AA290" s="190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1303</v>
      </c>
      <c r="F291" s="190" t="s">
        <v>338</v>
      </c>
      <c r="G291" s="194">
        <v>45689</v>
      </c>
      <c r="H291" s="194">
        <v>45838</v>
      </c>
      <c r="I291" s="190" t="s">
        <v>338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338</v>
      </c>
      <c r="P291" s="190" t="s">
        <v>338</v>
      </c>
      <c r="Q291" s="190" t="s">
        <v>338</v>
      </c>
      <c r="R291" s="190" t="s">
        <v>338</v>
      </c>
      <c r="S291" s="190" t="s">
        <v>338</v>
      </c>
      <c r="T291" s="190" t="s">
        <v>338</v>
      </c>
      <c r="U291" s="190" t="s">
        <v>338</v>
      </c>
      <c r="V291" s="190" t="s">
        <v>338</v>
      </c>
      <c r="W291" s="190" t="s">
        <v>338</v>
      </c>
      <c r="X291" s="190" t="s">
        <v>338</v>
      </c>
      <c r="Y291" s="190" t="s">
        <v>338</v>
      </c>
      <c r="Z291" s="190" t="s">
        <v>338</v>
      </c>
      <c r="AA291" s="190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1303</v>
      </c>
      <c r="F292" s="190" t="s">
        <v>338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338</v>
      </c>
      <c r="N292" s="190" t="s">
        <v>338</v>
      </c>
      <c r="O292" s="190" t="s">
        <v>338</v>
      </c>
      <c r="P292" s="190" t="s">
        <v>338</v>
      </c>
      <c r="Q292" s="190" t="s">
        <v>338</v>
      </c>
      <c r="R292" s="190" t="s">
        <v>338</v>
      </c>
      <c r="S292" s="190" t="s">
        <v>338</v>
      </c>
      <c r="T292" s="190" t="s">
        <v>338</v>
      </c>
      <c r="U292" s="190" t="s">
        <v>338</v>
      </c>
      <c r="V292" s="190" t="s">
        <v>338</v>
      </c>
      <c r="W292" s="190" t="s">
        <v>338</v>
      </c>
      <c r="X292" s="190" t="s">
        <v>338</v>
      </c>
      <c r="Y292" s="190" t="s">
        <v>338</v>
      </c>
      <c r="Z292" s="190" t="s">
        <v>338</v>
      </c>
      <c r="AA292" s="190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1303</v>
      </c>
      <c r="F293" s="190" t="s">
        <v>338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338</v>
      </c>
      <c r="O293" s="190" t="s">
        <v>338</v>
      </c>
      <c r="P293" s="190" t="s">
        <v>338</v>
      </c>
      <c r="Q293" s="190" t="s">
        <v>338</v>
      </c>
      <c r="R293" s="190" t="s">
        <v>338</v>
      </c>
      <c r="S293" s="190" t="s">
        <v>338</v>
      </c>
      <c r="T293" s="190" t="s">
        <v>338</v>
      </c>
      <c r="U293" s="190" t="s">
        <v>338</v>
      </c>
      <c r="V293" s="190" t="s">
        <v>338</v>
      </c>
      <c r="W293" s="190" t="s">
        <v>338</v>
      </c>
      <c r="X293" s="190" t="s">
        <v>338</v>
      </c>
      <c r="Y293" s="190" t="s">
        <v>338</v>
      </c>
      <c r="Z293" s="190" t="s">
        <v>338</v>
      </c>
      <c r="AA293" s="190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1303</v>
      </c>
      <c r="F294" s="190" t="s">
        <v>338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338</v>
      </c>
      <c r="N294" s="190" t="s">
        <v>338</v>
      </c>
      <c r="O294" s="190" t="s">
        <v>338</v>
      </c>
      <c r="P294" s="190" t="s">
        <v>338</v>
      </c>
      <c r="Q294" s="190" t="s">
        <v>338</v>
      </c>
      <c r="R294" s="190" t="s">
        <v>338</v>
      </c>
      <c r="S294" s="190" t="s">
        <v>338</v>
      </c>
      <c r="T294" s="190" t="s">
        <v>338</v>
      </c>
      <c r="U294" s="190" t="s">
        <v>338</v>
      </c>
      <c r="V294" s="190" t="s">
        <v>338</v>
      </c>
      <c r="W294" s="190" t="s">
        <v>338</v>
      </c>
      <c r="X294" s="190" t="s">
        <v>338</v>
      </c>
      <c r="Y294" s="190" t="s">
        <v>338</v>
      </c>
      <c r="Z294" s="190" t="s">
        <v>338</v>
      </c>
      <c r="AA294" s="190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1303</v>
      </c>
      <c r="F295" s="190" t="s">
        <v>338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338</v>
      </c>
      <c r="N295" s="190" t="s">
        <v>338</v>
      </c>
      <c r="O295" s="190" t="s">
        <v>338</v>
      </c>
      <c r="P295" s="190" t="s">
        <v>338</v>
      </c>
      <c r="Q295" s="190" t="s">
        <v>338</v>
      </c>
      <c r="R295" s="190" t="s">
        <v>338</v>
      </c>
      <c r="S295" s="190" t="s">
        <v>338</v>
      </c>
      <c r="T295" s="190" t="s">
        <v>338</v>
      </c>
      <c r="U295" s="190" t="s">
        <v>338</v>
      </c>
      <c r="V295" s="190" t="s">
        <v>338</v>
      </c>
      <c r="W295" s="190" t="s">
        <v>338</v>
      </c>
      <c r="X295" s="190" t="s">
        <v>338</v>
      </c>
      <c r="Y295" s="190" t="s">
        <v>338</v>
      </c>
      <c r="Z295" s="190" t="s">
        <v>338</v>
      </c>
      <c r="AA295" s="190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1302</v>
      </c>
      <c r="F296" s="190" t="s">
        <v>338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338</v>
      </c>
      <c r="O296" s="190" t="s">
        <v>338</v>
      </c>
      <c r="P296" s="190" t="s">
        <v>338</v>
      </c>
      <c r="Q296" s="190" t="s">
        <v>338</v>
      </c>
      <c r="R296" s="190" t="s">
        <v>338</v>
      </c>
      <c r="S296" s="190" t="s">
        <v>338</v>
      </c>
      <c r="T296" s="190" t="s">
        <v>338</v>
      </c>
      <c r="U296" s="190" t="s">
        <v>338</v>
      </c>
      <c r="V296" s="190" t="s">
        <v>338</v>
      </c>
      <c r="W296" s="190" t="s">
        <v>338</v>
      </c>
      <c r="X296" s="190" t="s">
        <v>338</v>
      </c>
      <c r="Y296" s="190" t="s">
        <v>338</v>
      </c>
      <c r="Z296" s="190" t="s">
        <v>338</v>
      </c>
      <c r="AA296" s="190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1303</v>
      </c>
      <c r="F297" s="190" t="s">
        <v>338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338</v>
      </c>
      <c r="M297" s="190" t="s">
        <v>338</v>
      </c>
      <c r="N297" s="190" t="s">
        <v>338</v>
      </c>
      <c r="O297" s="190" t="s">
        <v>338</v>
      </c>
      <c r="P297" s="190" t="s">
        <v>338</v>
      </c>
      <c r="Q297" s="190" t="s">
        <v>338</v>
      </c>
      <c r="R297" s="190" t="s">
        <v>338</v>
      </c>
      <c r="S297" s="190" t="s">
        <v>338</v>
      </c>
      <c r="T297" s="190" t="s">
        <v>338</v>
      </c>
      <c r="U297" s="190" t="s">
        <v>338</v>
      </c>
      <c r="V297" s="190" t="s">
        <v>338</v>
      </c>
      <c r="W297" s="190" t="s">
        <v>338</v>
      </c>
      <c r="X297" s="190" t="s">
        <v>338</v>
      </c>
      <c r="Y297" s="190" t="s">
        <v>338</v>
      </c>
      <c r="Z297" s="190" t="s">
        <v>338</v>
      </c>
      <c r="AA297" s="190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1303</v>
      </c>
      <c r="F298" s="190" t="s">
        <v>338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338</v>
      </c>
      <c r="M298" s="190" t="s">
        <v>338</v>
      </c>
      <c r="N298" s="190" t="s">
        <v>338</v>
      </c>
      <c r="O298" s="190" t="s">
        <v>338</v>
      </c>
      <c r="P298" s="190" t="s">
        <v>338</v>
      </c>
      <c r="Q298" s="190" t="s">
        <v>338</v>
      </c>
      <c r="R298" s="190" t="s">
        <v>338</v>
      </c>
      <c r="S298" s="190" t="s">
        <v>338</v>
      </c>
      <c r="T298" s="190" t="s">
        <v>338</v>
      </c>
      <c r="U298" s="190" t="s">
        <v>338</v>
      </c>
      <c r="V298" s="190" t="s">
        <v>338</v>
      </c>
      <c r="W298" s="190" t="s">
        <v>338</v>
      </c>
      <c r="X298" s="190" t="s">
        <v>338</v>
      </c>
      <c r="Y298" s="190" t="s">
        <v>338</v>
      </c>
      <c r="Z298" s="190" t="s">
        <v>338</v>
      </c>
      <c r="AA298" s="190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1302</v>
      </c>
      <c r="F299" s="190" t="s">
        <v>338</v>
      </c>
      <c r="G299" s="194">
        <v>44958</v>
      </c>
      <c r="H299" s="194">
        <v>45688</v>
      </c>
      <c r="I299" s="190">
        <v>875</v>
      </c>
      <c r="J299" s="190" t="s">
        <v>338</v>
      </c>
      <c r="K299" s="190" t="s">
        <v>338</v>
      </c>
      <c r="L299" s="190" t="s">
        <v>338</v>
      </c>
      <c r="M299" s="190" t="s">
        <v>338</v>
      </c>
      <c r="N299" s="190" t="s">
        <v>338</v>
      </c>
      <c r="O299" s="190" t="s">
        <v>338</v>
      </c>
      <c r="P299" s="190" t="s">
        <v>338</v>
      </c>
      <c r="Q299" s="190" t="s">
        <v>338</v>
      </c>
      <c r="R299" s="190" t="s">
        <v>338</v>
      </c>
      <c r="S299" s="190" t="s">
        <v>338</v>
      </c>
      <c r="T299" s="190" t="s">
        <v>338</v>
      </c>
      <c r="U299" s="190" t="s">
        <v>338</v>
      </c>
      <c r="V299" s="190" t="s">
        <v>338</v>
      </c>
      <c r="W299" s="190" t="s">
        <v>338</v>
      </c>
      <c r="X299" s="190" t="s">
        <v>338</v>
      </c>
      <c r="Y299" s="190" t="s">
        <v>338</v>
      </c>
      <c r="Z299" s="190" t="s">
        <v>338</v>
      </c>
      <c r="AA299" s="190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1303</v>
      </c>
      <c r="F300" s="190" t="s">
        <v>338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338</v>
      </c>
      <c r="L300" s="190" t="s">
        <v>338</v>
      </c>
      <c r="M300" s="190" t="s">
        <v>338</v>
      </c>
      <c r="N300" s="190" t="s">
        <v>338</v>
      </c>
      <c r="O300" s="190" t="s">
        <v>338</v>
      </c>
      <c r="P300" s="190" t="s">
        <v>338</v>
      </c>
      <c r="Q300" s="190" t="s">
        <v>338</v>
      </c>
      <c r="R300" s="190" t="s">
        <v>338</v>
      </c>
      <c r="S300" s="190" t="s">
        <v>338</v>
      </c>
      <c r="T300" s="190" t="s">
        <v>338</v>
      </c>
      <c r="U300" s="190" t="s">
        <v>338</v>
      </c>
      <c r="V300" s="190" t="s">
        <v>338</v>
      </c>
      <c r="W300" s="190" t="s">
        <v>338</v>
      </c>
      <c r="X300" s="190" t="s">
        <v>338</v>
      </c>
      <c r="Y300" s="190" t="s">
        <v>338</v>
      </c>
      <c r="Z300" s="190" t="s">
        <v>338</v>
      </c>
      <c r="AA300" s="190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1302</v>
      </c>
      <c r="F301" s="190" t="s">
        <v>338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338</v>
      </c>
      <c r="L301" s="190" t="s">
        <v>338</v>
      </c>
      <c r="M301" s="190" t="s">
        <v>338</v>
      </c>
      <c r="N301" s="190" t="s">
        <v>338</v>
      </c>
      <c r="O301" s="190" t="s">
        <v>338</v>
      </c>
      <c r="P301" s="190" t="s">
        <v>338</v>
      </c>
      <c r="Q301" s="190" t="s">
        <v>338</v>
      </c>
      <c r="R301" s="190" t="s">
        <v>338</v>
      </c>
      <c r="S301" s="190" t="s">
        <v>338</v>
      </c>
      <c r="T301" s="190" t="s">
        <v>338</v>
      </c>
      <c r="U301" s="190" t="s">
        <v>338</v>
      </c>
      <c r="V301" s="190" t="s">
        <v>338</v>
      </c>
      <c r="W301" s="190" t="s">
        <v>338</v>
      </c>
      <c r="X301" s="190" t="s">
        <v>338</v>
      </c>
      <c r="Y301" s="190" t="s">
        <v>338</v>
      </c>
      <c r="Z301" s="190" t="s">
        <v>338</v>
      </c>
      <c r="AA301" s="190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1303</v>
      </c>
      <c r="F302" s="190" t="s">
        <v>338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338</v>
      </c>
      <c r="L302" s="190" t="s">
        <v>338</v>
      </c>
      <c r="M302" s="190" t="s">
        <v>338</v>
      </c>
      <c r="N302" s="190" t="s">
        <v>338</v>
      </c>
      <c r="O302" s="190" t="s">
        <v>338</v>
      </c>
      <c r="P302" s="190" t="s">
        <v>338</v>
      </c>
      <c r="Q302" s="190" t="s">
        <v>338</v>
      </c>
      <c r="R302" s="190" t="s">
        <v>338</v>
      </c>
      <c r="S302" s="190" t="s">
        <v>338</v>
      </c>
      <c r="T302" s="190" t="s">
        <v>338</v>
      </c>
      <c r="U302" s="190" t="s">
        <v>338</v>
      </c>
      <c r="V302" s="190" t="s">
        <v>338</v>
      </c>
      <c r="W302" s="190" t="s">
        <v>338</v>
      </c>
      <c r="X302" s="190" t="s">
        <v>338</v>
      </c>
      <c r="Y302" s="190" t="s">
        <v>338</v>
      </c>
      <c r="Z302" s="190" t="s">
        <v>338</v>
      </c>
      <c r="AA302" s="190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1302</v>
      </c>
      <c r="F303" s="190" t="s">
        <v>338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338</v>
      </c>
      <c r="L303" s="190" t="s">
        <v>338</v>
      </c>
      <c r="M303" s="190" t="s">
        <v>338</v>
      </c>
      <c r="N303" s="190" t="s">
        <v>338</v>
      </c>
      <c r="O303" s="190" t="s">
        <v>338</v>
      </c>
      <c r="P303" s="190" t="s">
        <v>338</v>
      </c>
      <c r="Q303" s="190" t="s">
        <v>338</v>
      </c>
      <c r="R303" s="190" t="s">
        <v>338</v>
      </c>
      <c r="S303" s="190" t="s">
        <v>338</v>
      </c>
      <c r="T303" s="190" t="s">
        <v>338</v>
      </c>
      <c r="U303" s="190" t="s">
        <v>338</v>
      </c>
      <c r="V303" s="190" t="s">
        <v>338</v>
      </c>
      <c r="W303" s="190" t="s">
        <v>338</v>
      </c>
      <c r="X303" s="190" t="s">
        <v>338</v>
      </c>
      <c r="Y303" s="190" t="s">
        <v>338</v>
      </c>
      <c r="Z303" s="190" t="s">
        <v>338</v>
      </c>
      <c r="AA303" s="190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1303</v>
      </c>
      <c r="F304" s="190" t="s">
        <v>338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338</v>
      </c>
      <c r="O304" s="190" t="s">
        <v>338</v>
      </c>
      <c r="P304" s="190" t="s">
        <v>338</v>
      </c>
      <c r="Q304" s="190" t="s">
        <v>338</v>
      </c>
      <c r="R304" s="190" t="s">
        <v>338</v>
      </c>
      <c r="S304" s="190" t="s">
        <v>338</v>
      </c>
      <c r="T304" s="190" t="s">
        <v>338</v>
      </c>
      <c r="U304" s="190" t="s">
        <v>338</v>
      </c>
      <c r="V304" s="190" t="s">
        <v>338</v>
      </c>
      <c r="W304" s="190" t="s">
        <v>338</v>
      </c>
      <c r="X304" s="190" t="s">
        <v>338</v>
      </c>
      <c r="Y304" s="190" t="s">
        <v>338</v>
      </c>
      <c r="Z304" s="190" t="s">
        <v>338</v>
      </c>
      <c r="AA304" s="190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1303</v>
      </c>
      <c r="F305" s="190" t="s">
        <v>338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338</v>
      </c>
      <c r="L305" s="190" t="s">
        <v>338</v>
      </c>
      <c r="M305" s="190" t="s">
        <v>338</v>
      </c>
      <c r="N305" s="190" t="s">
        <v>338</v>
      </c>
      <c r="O305" s="190" t="s">
        <v>338</v>
      </c>
      <c r="P305" s="190" t="s">
        <v>338</v>
      </c>
      <c r="Q305" s="190" t="s">
        <v>338</v>
      </c>
      <c r="R305" s="190" t="s">
        <v>338</v>
      </c>
      <c r="S305" s="190" t="s">
        <v>338</v>
      </c>
      <c r="T305" s="190" t="s">
        <v>338</v>
      </c>
      <c r="U305" s="190" t="s">
        <v>338</v>
      </c>
      <c r="V305" s="190" t="s">
        <v>338</v>
      </c>
      <c r="W305" s="190" t="s">
        <v>338</v>
      </c>
      <c r="X305" s="190" t="s">
        <v>338</v>
      </c>
      <c r="Y305" s="190" t="s">
        <v>338</v>
      </c>
      <c r="Z305" s="190" t="s">
        <v>338</v>
      </c>
      <c r="AA305" s="190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1303</v>
      </c>
      <c r="F306" s="190" t="s">
        <v>338</v>
      </c>
      <c r="G306" s="194">
        <v>45323</v>
      </c>
      <c r="H306" s="194">
        <v>45688</v>
      </c>
      <c r="I306" s="190">
        <v>510</v>
      </c>
      <c r="J306" s="190" t="s">
        <v>338</v>
      </c>
      <c r="K306" s="190" t="s">
        <v>338</v>
      </c>
      <c r="L306" s="190" t="s">
        <v>338</v>
      </c>
      <c r="M306" s="190" t="s">
        <v>338</v>
      </c>
      <c r="N306" s="190" t="s">
        <v>338</v>
      </c>
      <c r="O306" s="190" t="s">
        <v>338</v>
      </c>
      <c r="P306" s="190" t="s">
        <v>338</v>
      </c>
      <c r="Q306" s="190" t="s">
        <v>338</v>
      </c>
      <c r="R306" s="190" t="s">
        <v>338</v>
      </c>
      <c r="S306" s="190" t="s">
        <v>338</v>
      </c>
      <c r="T306" s="190" t="s">
        <v>338</v>
      </c>
      <c r="U306" s="190" t="s">
        <v>338</v>
      </c>
      <c r="V306" s="190" t="s">
        <v>338</v>
      </c>
      <c r="W306" s="190" t="s">
        <v>338</v>
      </c>
      <c r="X306" s="190" t="s">
        <v>338</v>
      </c>
      <c r="Y306" s="190" t="s">
        <v>338</v>
      </c>
      <c r="Z306" s="190" t="s">
        <v>338</v>
      </c>
      <c r="AA306" s="190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1303</v>
      </c>
      <c r="F307" s="190" t="s">
        <v>338</v>
      </c>
      <c r="G307" s="194">
        <v>45352</v>
      </c>
      <c r="H307" s="194">
        <v>45688</v>
      </c>
      <c r="I307" s="190">
        <v>375</v>
      </c>
      <c r="J307" s="190" t="s">
        <v>338</v>
      </c>
      <c r="K307" s="190" t="s">
        <v>338</v>
      </c>
      <c r="L307" s="190" t="s">
        <v>338</v>
      </c>
      <c r="M307" s="190" t="s">
        <v>338</v>
      </c>
      <c r="N307" s="190" t="s">
        <v>338</v>
      </c>
      <c r="O307" s="190" t="s">
        <v>338</v>
      </c>
      <c r="P307" s="190" t="s">
        <v>338</v>
      </c>
      <c r="Q307" s="190" t="s">
        <v>338</v>
      </c>
      <c r="R307" s="190" t="s">
        <v>338</v>
      </c>
      <c r="S307" s="190" t="s">
        <v>338</v>
      </c>
      <c r="T307" s="190" t="s">
        <v>338</v>
      </c>
      <c r="U307" s="190" t="s">
        <v>338</v>
      </c>
      <c r="V307" s="190" t="s">
        <v>338</v>
      </c>
      <c r="W307" s="190" t="s">
        <v>338</v>
      </c>
      <c r="X307" s="190" t="s">
        <v>338</v>
      </c>
      <c r="Y307" s="190" t="s">
        <v>338</v>
      </c>
      <c r="Z307" s="190" t="s">
        <v>338</v>
      </c>
      <c r="AA307" s="190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1303</v>
      </c>
      <c r="F308" s="190" t="s">
        <v>338</v>
      </c>
      <c r="G308" s="194">
        <v>45627</v>
      </c>
      <c r="H308" s="194">
        <v>45688</v>
      </c>
      <c r="I308" s="190">
        <v>360</v>
      </c>
      <c r="J308" s="190" t="s">
        <v>338</v>
      </c>
      <c r="K308" s="190" t="s">
        <v>338</v>
      </c>
      <c r="L308" s="190" t="s">
        <v>338</v>
      </c>
      <c r="M308" s="190" t="s">
        <v>338</v>
      </c>
      <c r="N308" s="190" t="s">
        <v>338</v>
      </c>
      <c r="O308" s="190" t="s">
        <v>338</v>
      </c>
      <c r="P308" s="190" t="s">
        <v>338</v>
      </c>
      <c r="Q308" s="190" t="s">
        <v>338</v>
      </c>
      <c r="R308" s="190" t="s">
        <v>338</v>
      </c>
      <c r="S308" s="190" t="s">
        <v>338</v>
      </c>
      <c r="T308" s="190" t="s">
        <v>338</v>
      </c>
      <c r="U308" s="190" t="s">
        <v>338</v>
      </c>
      <c r="V308" s="190" t="s">
        <v>338</v>
      </c>
      <c r="W308" s="190" t="s">
        <v>338</v>
      </c>
      <c r="X308" s="190" t="s">
        <v>338</v>
      </c>
      <c r="Y308" s="190" t="s">
        <v>338</v>
      </c>
      <c r="Z308" s="190" t="s">
        <v>338</v>
      </c>
      <c r="AA308" s="190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1302</v>
      </c>
      <c r="F309" s="190" t="s">
        <v>338</v>
      </c>
      <c r="G309" s="194">
        <v>45597</v>
      </c>
      <c r="H309" s="194">
        <v>45688</v>
      </c>
      <c r="I309" s="190">
        <v>350</v>
      </c>
      <c r="J309" s="190" t="s">
        <v>338</v>
      </c>
      <c r="K309" s="190" t="s">
        <v>338</v>
      </c>
      <c r="L309" s="190" t="s">
        <v>338</v>
      </c>
      <c r="M309" s="190" t="s">
        <v>338</v>
      </c>
      <c r="N309" s="190" t="s">
        <v>338</v>
      </c>
      <c r="O309" s="190" t="s">
        <v>338</v>
      </c>
      <c r="P309" s="190" t="s">
        <v>338</v>
      </c>
      <c r="Q309" s="190" t="s">
        <v>338</v>
      </c>
      <c r="R309" s="190" t="s">
        <v>338</v>
      </c>
      <c r="S309" s="190" t="s">
        <v>338</v>
      </c>
      <c r="T309" s="190" t="s">
        <v>338</v>
      </c>
      <c r="U309" s="190" t="s">
        <v>338</v>
      </c>
      <c r="V309" s="190" t="s">
        <v>338</v>
      </c>
      <c r="W309" s="190" t="s">
        <v>338</v>
      </c>
      <c r="X309" s="190" t="s">
        <v>338</v>
      </c>
      <c r="Y309" s="190" t="s">
        <v>338</v>
      </c>
      <c r="Z309" s="190" t="s">
        <v>338</v>
      </c>
      <c r="AA309" s="190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1303</v>
      </c>
      <c r="F310" s="190" t="s">
        <v>338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338</v>
      </c>
      <c r="M310" s="190" t="s">
        <v>338</v>
      </c>
      <c r="N310" s="190" t="s">
        <v>338</v>
      </c>
      <c r="O310" s="190" t="s">
        <v>338</v>
      </c>
      <c r="P310" s="190" t="s">
        <v>338</v>
      </c>
      <c r="Q310" s="190" t="s">
        <v>338</v>
      </c>
      <c r="R310" s="190" t="s">
        <v>338</v>
      </c>
      <c r="S310" s="190" t="s">
        <v>338</v>
      </c>
      <c r="T310" s="190" t="s">
        <v>338</v>
      </c>
      <c r="U310" s="190" t="s">
        <v>338</v>
      </c>
      <c r="V310" s="190" t="s">
        <v>338</v>
      </c>
      <c r="W310" s="190" t="s">
        <v>338</v>
      </c>
      <c r="X310" s="190" t="s">
        <v>338</v>
      </c>
      <c r="Y310" s="190" t="s">
        <v>338</v>
      </c>
      <c r="Z310" s="190" t="s">
        <v>338</v>
      </c>
      <c r="AA310" s="190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1303</v>
      </c>
      <c r="F311" s="190" t="s">
        <v>338</v>
      </c>
      <c r="G311" s="194">
        <v>45261</v>
      </c>
      <c r="H311" s="194">
        <v>45657</v>
      </c>
      <c r="I311" s="190">
        <v>210</v>
      </c>
      <c r="J311" s="190" t="s">
        <v>338</v>
      </c>
      <c r="K311" s="190" t="s">
        <v>338</v>
      </c>
      <c r="L311" s="190" t="s">
        <v>338</v>
      </c>
      <c r="M311" s="190" t="s">
        <v>338</v>
      </c>
      <c r="N311" s="190" t="s">
        <v>338</v>
      </c>
      <c r="O311" s="190" t="s">
        <v>338</v>
      </c>
      <c r="P311" s="190" t="s">
        <v>338</v>
      </c>
      <c r="Q311" s="190" t="s">
        <v>338</v>
      </c>
      <c r="R311" s="190" t="s">
        <v>338</v>
      </c>
      <c r="S311" s="190" t="s">
        <v>338</v>
      </c>
      <c r="T311" s="190" t="s">
        <v>338</v>
      </c>
      <c r="U311" s="190" t="s">
        <v>338</v>
      </c>
      <c r="V311" s="190" t="s">
        <v>338</v>
      </c>
      <c r="W311" s="190" t="s">
        <v>338</v>
      </c>
      <c r="X311" s="190" t="s">
        <v>338</v>
      </c>
      <c r="Y311" s="190" t="s">
        <v>338</v>
      </c>
      <c r="Z311" s="190" t="s">
        <v>338</v>
      </c>
      <c r="AA311" s="190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1303</v>
      </c>
      <c r="F312" s="190" t="s">
        <v>338</v>
      </c>
      <c r="G312" s="194">
        <v>45689</v>
      </c>
      <c r="H312" s="194">
        <v>45716</v>
      </c>
      <c r="I312" s="190" t="s">
        <v>338</v>
      </c>
      <c r="J312" s="190">
        <v>85</v>
      </c>
      <c r="K312" s="190" t="s">
        <v>338</v>
      </c>
      <c r="L312" s="190" t="s">
        <v>338</v>
      </c>
      <c r="M312" s="190" t="s">
        <v>338</v>
      </c>
      <c r="N312" s="190" t="s">
        <v>338</v>
      </c>
      <c r="O312" s="190" t="s">
        <v>338</v>
      </c>
      <c r="P312" s="190" t="s">
        <v>338</v>
      </c>
      <c r="Q312" s="190" t="s">
        <v>338</v>
      </c>
      <c r="R312" s="190" t="s">
        <v>338</v>
      </c>
      <c r="S312" s="190" t="s">
        <v>338</v>
      </c>
      <c r="T312" s="190" t="s">
        <v>338</v>
      </c>
      <c r="U312" s="190" t="s">
        <v>338</v>
      </c>
      <c r="V312" s="190" t="s">
        <v>338</v>
      </c>
      <c r="W312" s="190" t="s">
        <v>338</v>
      </c>
      <c r="X312" s="190" t="s">
        <v>338</v>
      </c>
      <c r="Y312" s="190" t="s">
        <v>338</v>
      </c>
      <c r="Z312" s="190" t="s">
        <v>338</v>
      </c>
      <c r="AA312" s="190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1302</v>
      </c>
      <c r="F313" s="190" t="s">
        <v>338</v>
      </c>
      <c r="G313" s="194">
        <v>44470</v>
      </c>
      <c r="H313" s="194">
        <v>45657</v>
      </c>
      <c r="I313" s="190">
        <v>15</v>
      </c>
      <c r="J313" s="190" t="s">
        <v>338</v>
      </c>
      <c r="K313" s="190" t="s">
        <v>338</v>
      </c>
      <c r="L313" s="190" t="s">
        <v>338</v>
      </c>
      <c r="M313" s="190" t="s">
        <v>338</v>
      </c>
      <c r="N313" s="190" t="s">
        <v>338</v>
      </c>
      <c r="O313" s="190" t="s">
        <v>338</v>
      </c>
      <c r="P313" s="190" t="s">
        <v>338</v>
      </c>
      <c r="Q313" s="190" t="s">
        <v>338</v>
      </c>
      <c r="R313" s="190" t="s">
        <v>338</v>
      </c>
      <c r="S313" s="190" t="s">
        <v>338</v>
      </c>
      <c r="T313" s="190" t="s">
        <v>338</v>
      </c>
      <c r="U313" s="190" t="s">
        <v>338</v>
      </c>
      <c r="V313" s="190" t="s">
        <v>338</v>
      </c>
      <c r="W313" s="190" t="s">
        <v>338</v>
      </c>
      <c r="X313" s="190" t="s">
        <v>338</v>
      </c>
      <c r="Y313" s="190" t="s">
        <v>338</v>
      </c>
      <c r="Z313" s="190" t="s">
        <v>338</v>
      </c>
      <c r="AA313" s="190" t="s">
        <v>338</v>
      </c>
    </row>
    <row r="314" spans="2:27" hidden="1">
      <c r="B314" s="220" t="s">
        <v>1523</v>
      </c>
      <c r="C314" s="220" t="s">
        <v>497</v>
      </c>
      <c r="D314" s="220" t="s">
        <v>498</v>
      </c>
      <c r="E314" s="220" t="s">
        <v>1301</v>
      </c>
      <c r="G314" s="245">
        <v>46235</v>
      </c>
    </row>
    <row r="315" spans="2:27" hidden="1">
      <c r="B315" s="220" t="s">
        <v>1524</v>
      </c>
      <c r="C315" s="220" t="s">
        <v>497</v>
      </c>
      <c r="D315" s="220" t="s">
        <v>498</v>
      </c>
      <c r="E315" s="220" t="s">
        <v>1301</v>
      </c>
      <c r="G315" s="245">
        <v>46235</v>
      </c>
    </row>
    <row r="316" spans="2:27" hidden="1">
      <c r="B316" s="220" t="s">
        <v>1525</v>
      </c>
      <c r="C316" s="220" t="s">
        <v>497</v>
      </c>
      <c r="D316" s="220" t="s">
        <v>498</v>
      </c>
      <c r="E316" s="220" t="s">
        <v>1301</v>
      </c>
      <c r="G316" s="245">
        <v>46235</v>
      </c>
    </row>
    <row r="317" spans="2:27" hidden="1">
      <c r="B317" s="220" t="s">
        <v>1526</v>
      </c>
      <c r="C317" s="220" t="s">
        <v>497</v>
      </c>
      <c r="D317" s="220" t="s">
        <v>498</v>
      </c>
      <c r="E317" s="220" t="s">
        <v>1301</v>
      </c>
      <c r="F317" s="220">
        <v>14</v>
      </c>
      <c r="G317" s="245">
        <v>46266</v>
      </c>
    </row>
    <row r="318" spans="2:27" hidden="1">
      <c r="B318" s="220" t="s">
        <v>1527</v>
      </c>
      <c r="C318" s="220" t="s">
        <v>497</v>
      </c>
      <c r="D318" s="220" t="s">
        <v>498</v>
      </c>
      <c r="E318" s="220" t="s">
        <v>1301</v>
      </c>
      <c r="F318" s="220">
        <v>2</v>
      </c>
      <c r="G318" s="245">
        <v>46266</v>
      </c>
    </row>
    <row r="319" spans="2:27" hidden="1">
      <c r="B319" s="220" t="s">
        <v>1528</v>
      </c>
      <c r="C319" s="220" t="s">
        <v>497</v>
      </c>
      <c r="D319" s="220" t="s">
        <v>498</v>
      </c>
      <c r="E319" s="220" t="s">
        <v>1301</v>
      </c>
      <c r="F319" s="220">
        <v>15</v>
      </c>
      <c r="G319" s="245">
        <v>46266</v>
      </c>
    </row>
    <row r="320" spans="2:27" hidden="1">
      <c r="B320" s="220" t="s">
        <v>1529</v>
      </c>
      <c r="C320" s="220" t="s">
        <v>497</v>
      </c>
      <c r="D320" s="220" t="s">
        <v>498</v>
      </c>
      <c r="E320" s="220" t="s">
        <v>1301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1298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1299</v>
      </c>
      <c r="C6" s="177" t="s">
        <v>1300</v>
      </c>
    </row>
    <row r="7" spans="2:7">
      <c r="B7" s="171" t="s">
        <v>498</v>
      </c>
      <c r="C7" s="171" t="s">
        <v>1301</v>
      </c>
    </row>
    <row r="8" spans="2:7">
      <c r="B8" s="171" t="s">
        <v>632</v>
      </c>
      <c r="C8" s="171" t="s">
        <v>1302</v>
      </c>
    </row>
    <row r="9" spans="2:7">
      <c r="B9" s="171" t="s">
        <v>657</v>
      </c>
      <c r="C9" s="171" t="s">
        <v>1303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1304</v>
      </c>
    </row>
    <row r="12" spans="2:7">
      <c r="B12" s="171" t="s">
        <v>872</v>
      </c>
      <c r="C12" s="171" t="s">
        <v>1302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6" activePane="bottomLeft" state="frozen"/>
      <selection pane="bottomLeft" activeCell="B37" sqref="B37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1328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424" t="s">
        <v>116</v>
      </c>
    </row>
    <row r="157" spans="3:6">
      <c r="D157" s="424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32</vt:i4>
      </vt:variant>
    </vt:vector>
  </HeadingPairs>
  <TitlesOfParts>
    <vt:vector size="81" baseType="lpstr">
      <vt:lpstr>Cover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Steady-State Staffing</vt:lpstr>
      <vt:lpstr>Tenure Charts</vt:lpstr>
      <vt:lpstr>Employee Retention Charts</vt:lpstr>
      <vt:lpstr>Yearly Employee Wins &amp; Losses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Concentration'!Print_Area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2026-09-15T19:42:35Z</cp:lastPrinted>
  <dcterms:created xsi:type="dcterms:W3CDTF">2015-06-05T18:17:20Z</dcterms:created>
  <dcterms:modified xsi:type="dcterms:W3CDTF">2026-09-15T19:43:04Z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