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32DBF746-B330-4A64-B430-368867A862D3}" xr6:coauthVersionLast="47" xr6:coauthVersionMax="47" xr10:uidLastSave="{00000000-0000-0000-0000-000000000000}"/>
  <bookViews>
    <workbookView xWindow="-120" yWindow="-120" windowWidth="51840" windowHeight="21840" activeTab="2" xr2:uid="{00000000-000D-0000-FFFF-FFFF00000000}"/>
  </bookViews>
  <sheets>
    <sheet name="Cover" sheetId="1" r:id="rId1"/>
    <sheet name="Offer Overview" sheetId="60" r:id="rId2"/>
    <sheet name="100% Buyout Analysis" sheetId="61" r:id="rId3"/>
    <sheet name="Partnership Analysis" sheetId="63" r:id="rId4"/>
    <sheet name="Valuation Growth Tables" sheetId="62" r:id="rId5"/>
    <sheet name="P&amp;L Overview" sheetId="8" r:id="rId6"/>
    <sheet name="Software Overview" sheetId="55" r:id="rId7"/>
    <sheet name="Earnings Sensitivity Table" sheetId="56" r:id="rId8"/>
    <sheet name="P&amp;L Overview (Target Version)" sheetId="18" r:id="rId9"/>
    <sheet name="P&amp;L Forecast" sheetId="11" r:id="rId10"/>
    <sheet name="Expense Charts" sheetId="16" r:id="rId11"/>
    <sheet name="Tech Stack" sheetId="19" r:id="rId12"/>
    <sheet name="Revenue Analysis" sheetId="9" r:id="rId13"/>
    <sheet name="Revenue Charts" sheetId="10" r:id="rId14"/>
    <sheet name="Expense Analysis" sheetId="17" r:id="rId15"/>
    <sheet name="Client Overview" sheetId="31" r:id="rId16"/>
    <sheet name="Client Retention" sheetId="33" r:id="rId17"/>
    <sheet name="Customer Retention Charts" sheetId="37" r:id="rId18"/>
    <sheet name="Client Retention $" sheetId="38" r:id="rId19"/>
    <sheet name="Client Retention Charts $" sheetId="39" r:id="rId20"/>
    <sheet name="Client Concentration" sheetId="51" r:id="rId21"/>
    <sheet name="Employee Overview" sheetId="35" r:id="rId22"/>
    <sheet name="Employee Retention" sheetId="46" r:id="rId23"/>
    <sheet name="Adj. Employee Retention" sheetId="59" r:id="rId24"/>
    <sheet name="Steady-State Staffing" sheetId="52" r:id="rId25"/>
    <sheet name="Tenure Charts" sheetId="47" r:id="rId26"/>
    <sheet name="Employee Retention Charts" sheetId="48" r:id="rId27"/>
    <sheet name="Yearly Employee Wins &amp; Losses" sheetId="49" r:id="rId28"/>
    <sheet name="Raw Data" sheetId="57" r:id="rId29"/>
    <sheet name="Employee Data --&gt;" sheetId="41" r:id="rId30"/>
    <sheet name="Combined Employee Worksheet" sheetId="45" r:id="rId31"/>
    <sheet name="Headcount &amp; Compensation" sheetId="34" r:id="rId32"/>
    <sheet name="Inactive Employees" sheetId="42" r:id="rId33"/>
    <sheet name="Employee Mapping" sheetId="44" r:id="rId34"/>
    <sheet name="Employee Summary" sheetId="43" r:id="rId35"/>
    <sheet name="Owner Mapped P&amp;L" sheetId="40" r:id="rId36"/>
    <sheet name="Customer Data --&gt;" sheetId="20" r:id="rId37"/>
    <sheet name="Full Customer List" sheetId="30" r:id="rId38"/>
    <sheet name="Missing End Dates" sheetId="36" r:id="rId39"/>
    <sheet name="Client Departures" sheetId="29" r:id="rId40"/>
    <sheet name="Revenue by Customer" sheetId="23" r:id="rId41"/>
    <sheet name="Customer List w Software" sheetId="27" r:id="rId42"/>
    <sheet name="Customer List Mapping" sheetId="32" r:id="rId43"/>
    <sheet name="README" sheetId="21" r:id="rId44"/>
    <sheet name="Summary" sheetId="22" r:id="rId45"/>
    <sheet name="Monthly Trend" sheetId="24" r:id="rId46"/>
    <sheet name="New &amp; Lost Revenue" sheetId="25" r:id="rId47"/>
    <sheet name="Recurring vs Total" sheetId="26" r:id="rId48"/>
    <sheet name="Definitions" sheetId="28" r:id="rId49"/>
    <sheet name="Financial Data --&gt;" sheetId="6" r:id="rId50"/>
    <sheet name="Combined P&amp;L" sheetId="2" r:id="rId51"/>
    <sheet name="Software" sheetId="12" r:id="rId52"/>
    <sheet name="Raw - 2024 PL" sheetId="3" r:id="rId53"/>
    <sheet name="Raw - 2025 PL" sheetId="4" r:id="rId54"/>
    <sheet name="Raw - 2026 PL" sheetId="5" r:id="rId55"/>
  </sheets>
  <definedNames>
    <definedName name="_xlnm._FilterDatabase" localSheetId="31">'Headcount &amp; Compensation'!A1:L91</definedName>
    <definedName name="_xlnm._FilterDatabase" localSheetId="32" hidden="1">'Inactive Employees'!$A$1:$T$57</definedName>
    <definedName name="_xlnm._FilterDatabase" localSheetId="38" hidden="1">'Missing End Dates'!$B$6:$AA$320</definedName>
    <definedName name="_xlnm._FilterDatabase" localSheetId="51">Software!A5:H67</definedName>
    <definedName name="_xlnm.Print_Area" localSheetId="2">'100% Buyout Analysis'!$B$2:$D$80,'100% Buyout Analysis'!$B$82:$D$142</definedName>
    <definedName name="_xlnm.Print_Area" localSheetId="23">'Adj. Employee Retention'!$B$2:$AB$60,'Adj. Employee Retention'!$B$62:$AB$105</definedName>
    <definedName name="_xlnm.Print_Area" localSheetId="20">'Client Concentration'!$B$2:$J$29</definedName>
    <definedName name="_xlnm.Print_Area" localSheetId="15">'Client Overview'!$B$2:$J$46</definedName>
    <definedName name="_xlnm.Print_Area" localSheetId="16">'Client Retention'!$B$2:$AD$48,'Client Retention'!$B$50:$AD$93</definedName>
    <definedName name="_xlnm.Print_Area" localSheetId="18">'Client Retention $'!$B$2:$AD$51,'Client Retention $'!$B$53:$AD$99</definedName>
    <definedName name="_xlnm.Print_Area" localSheetId="19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7">'Customer Retention Charts'!$B$32:$L$56,'Customer Retention Charts'!$B$2:$L$30,'Customer Retention Charts'!$B$58:$L$83,'Customer Retention Charts'!$B$85:$L$109</definedName>
    <definedName name="_xlnm.Print_Area" localSheetId="21">'Employee Overview'!$B$2:$T$40</definedName>
    <definedName name="_xlnm.Print_Area" localSheetId="22">'Employee Retention'!$B$2:$AB$60,'Employee Retention'!$B$62:$AB$105</definedName>
    <definedName name="_xlnm.Print_Area" localSheetId="26">'Employee Retention Charts'!$B$32:$L$56,'Employee Retention Charts'!$B$2:$L$30,'Employee Retention Charts'!$B$58:$L$83,'Employee Retention Charts'!$B$85:$L$109</definedName>
    <definedName name="_xlnm.Print_Area" localSheetId="14">'Expense Analysis'!$B$2:$S$40,'Expense Analysis'!$B$42:$S$83</definedName>
    <definedName name="_xlnm.Print_Area" localSheetId="10">'Expense Charts'!$B$2:$L$84</definedName>
    <definedName name="_xlnm.Print_Area" localSheetId="38">'Missing End Dates'!$B$2:$AA$280</definedName>
    <definedName name="_xlnm.Print_Area" localSheetId="1">'Offer Overview'!$B$2:$E$54</definedName>
    <definedName name="_xlnm.Print_Area" localSheetId="5">'P&amp;L Overview'!$B$2:$N$73</definedName>
    <definedName name="_xlnm.Print_Area" localSheetId="8">'P&amp;L Overview (Target Version)'!$B$2:$N$48</definedName>
    <definedName name="_xlnm.Print_Area" localSheetId="3">'Partnership Analysis'!$B$2:$D$41,'Partnership Analysis'!$B$43:$D$59,'Partnership Analysis'!$B$61:$D$101,'Partnership Analysis'!$B$103:$D$147</definedName>
    <definedName name="_xlnm.Print_Area" localSheetId="12">'Revenue Analysis'!$B$2:$R$46</definedName>
    <definedName name="_xlnm.Print_Area" localSheetId="13">'Revenue Charts'!$B$2:$L$44</definedName>
    <definedName name="_xlnm.Print_Area" localSheetId="6">'Software Overview'!$B$2:$M$36</definedName>
    <definedName name="_xlnm.Print_Area" localSheetId="24">'Steady-State Staffing'!$B$2:$AB$35</definedName>
    <definedName name="_xlnm.Print_Area" localSheetId="11">'Tech Stack'!$B$2:$H$48</definedName>
    <definedName name="_xlnm.Print_Area" localSheetId="25">'Tenure Charts'!$B$2:$G$42</definedName>
    <definedName name="_xlnm.Print_Area" localSheetId="4">'Valuation Growth Tables'!$B$2:$G$56</definedName>
    <definedName name="_xlnm.Print_Area" localSheetId="27">'Yearly Employee Wins &amp; Losses'!$B$2:$G$78</definedName>
    <definedName name="_xlnm.Print_Titles" localSheetId="2">'100% Buyout Analysis'!$1:$4</definedName>
    <definedName name="_xlnm.Print_Titles" localSheetId="23">'Adj. Employee Retention'!$2:$4</definedName>
    <definedName name="_xlnm.Print_Titles" localSheetId="16">'Client Retention'!$2:$4</definedName>
    <definedName name="_xlnm.Print_Titles" localSheetId="18">'Client Retention $'!$2:$4</definedName>
    <definedName name="_xlnm.Print_Titles" localSheetId="19">'Client Retention Charts $'!$2:$4</definedName>
    <definedName name="_xlnm.Print_Titles" localSheetId="50">'Combined P&amp;L'!$5:$5</definedName>
    <definedName name="_xlnm.Print_Titles" localSheetId="17">'Customer Retention Charts'!$2:$4</definedName>
    <definedName name="_xlnm.Print_Titles" localSheetId="22">'Employee Retention'!$2:$4</definedName>
    <definedName name="_xlnm.Print_Titles" localSheetId="26">'Employee Retention Charts'!$2:$4</definedName>
    <definedName name="_xlnm.Print_Titles" localSheetId="14">'Expense Analysis'!$2:$6</definedName>
    <definedName name="_xlnm.Print_Titles" localSheetId="10">'Expense Charts'!$2:$4</definedName>
    <definedName name="_xlnm.Print_Titles" localSheetId="3">'Partnership Analysis'!$1:$4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9" i="61" l="1"/>
  <c r="D179" i="61"/>
  <c r="C180" i="61"/>
  <c r="B180" i="61" s="1"/>
  <c r="D180" i="61"/>
  <c r="C52" i="61"/>
  <c r="C55" i="61" s="1"/>
  <c r="C53" i="61"/>
  <c r="C46" i="63"/>
  <c r="C53" i="63"/>
  <c r="C56" i="63" s="1"/>
  <c r="C54" i="63"/>
  <c r="B203" i="63"/>
  <c r="D203" i="63"/>
  <c r="C204" i="63"/>
  <c r="B204" i="63" s="1"/>
  <c r="D204" i="63"/>
  <c r="B171" i="61"/>
  <c r="C172" i="61"/>
  <c r="B172" i="61" s="1"/>
  <c r="B195" i="63"/>
  <c r="C196" i="63"/>
  <c r="B196" i="63" s="1"/>
  <c r="C93" i="63"/>
  <c r="C183" i="63"/>
  <c r="C186" i="63" s="1"/>
  <c r="D132" i="63"/>
  <c r="C162" i="63"/>
  <c r="C163" i="63" s="1"/>
  <c r="C97" i="63" s="1"/>
  <c r="C142" i="63"/>
  <c r="D126" i="63"/>
  <c r="C117" i="63"/>
  <c r="C66" i="63"/>
  <c r="C84" i="63"/>
  <c r="C61" i="63"/>
  <c r="C178" i="63"/>
  <c r="C177" i="63"/>
  <c r="C176" i="63"/>
  <c r="C167" i="63"/>
  <c r="C165" i="63"/>
  <c r="C80" i="63" s="1"/>
  <c r="C161" i="63"/>
  <c r="C67" i="63" s="1"/>
  <c r="C160" i="63"/>
  <c r="C62" i="63" s="1"/>
  <c r="C63" i="63"/>
  <c r="D63" i="63" s="1"/>
  <c r="D61" i="63"/>
  <c r="D66" i="63" s="1"/>
  <c r="B36" i="63"/>
  <c r="B32" i="63"/>
  <c r="C24" i="63"/>
  <c r="C25" i="63" s="1"/>
  <c r="C22" i="63"/>
  <c r="C32" i="63" s="1"/>
  <c r="C16" i="63"/>
  <c r="C10" i="63"/>
  <c r="C14" i="63" s="1"/>
  <c r="B2" i="63"/>
  <c r="C137" i="61"/>
  <c r="D130" i="61"/>
  <c r="D126" i="61"/>
  <c r="C115" i="61"/>
  <c r="C107" i="61"/>
  <c r="C23" i="61"/>
  <c r="C35" i="62"/>
  <c r="D45" i="62" s="1"/>
  <c r="C164" i="61"/>
  <c r="C165" i="61"/>
  <c r="C166" i="61"/>
  <c r="C152" i="61"/>
  <c r="C61" i="61" s="1"/>
  <c r="C9" i="61"/>
  <c r="AD8" i="52"/>
  <c r="C21" i="61"/>
  <c r="C36" i="62" s="1"/>
  <c r="B25" i="62" s="1"/>
  <c r="B24" i="62" s="1"/>
  <c r="B23" i="62" s="1"/>
  <c r="C38" i="62"/>
  <c r="E6" i="62" s="1"/>
  <c r="C31" i="62"/>
  <c r="B13" i="62" s="1"/>
  <c r="B2" i="62"/>
  <c r="D60" i="61"/>
  <c r="D65" i="61" s="1"/>
  <c r="C15" i="61"/>
  <c r="B35" i="61"/>
  <c r="B31" i="61"/>
  <c r="D49" i="60"/>
  <c r="C74" i="61"/>
  <c r="C65" i="61"/>
  <c r="C60" i="61"/>
  <c r="C62" i="61"/>
  <c r="C34" i="62" s="1"/>
  <c r="C156" i="61"/>
  <c r="C154" i="61"/>
  <c r="B2" i="61"/>
  <c r="E49" i="60"/>
  <c r="C17" i="60"/>
  <c r="E52" i="60" s="1"/>
  <c r="C20" i="60"/>
  <c r="C14" i="60"/>
  <c r="C21" i="60" s="1"/>
  <c r="C13" i="60"/>
  <c r="C67" i="60"/>
  <c r="C66" i="60"/>
  <c r="C65" i="60"/>
  <c r="C64" i="60"/>
  <c r="C63" i="60"/>
  <c r="C62" i="60"/>
  <c r="C61" i="60"/>
  <c r="C6" i="60"/>
  <c r="C58" i="60" s="1"/>
  <c r="E32" i="60"/>
  <c r="E42" i="60" s="1"/>
  <c r="D32" i="60"/>
  <c r="D42" i="60" s="1"/>
  <c r="B45" i="60"/>
  <c r="B44" i="60"/>
  <c r="B43" i="60"/>
  <c r="B40" i="60"/>
  <c r="B39" i="60"/>
  <c r="B38" i="60"/>
  <c r="E27" i="60"/>
  <c r="D27" i="60"/>
  <c r="B2" i="60"/>
  <c r="P122" i="59"/>
  <c r="Q122" i="59" s="1"/>
  <c r="R122" i="59" s="1"/>
  <c r="S122" i="59" s="1"/>
  <c r="T122" i="59" s="1"/>
  <c r="U122" i="59" s="1"/>
  <c r="V122" i="59" s="1"/>
  <c r="W122" i="59" s="1"/>
  <c r="X122" i="59" s="1"/>
  <c r="Y122" i="59" s="1"/>
  <c r="Z122" i="59" s="1"/>
  <c r="AA122" i="59" s="1"/>
  <c r="AB122" i="59" s="1"/>
  <c r="I122" i="59"/>
  <c r="J122" i="59" s="1"/>
  <c r="K122" i="59" s="1"/>
  <c r="L122" i="59" s="1"/>
  <c r="M122" i="59" s="1"/>
  <c r="N122" i="59" s="1"/>
  <c r="P107" i="59"/>
  <c r="Q107" i="59" s="1"/>
  <c r="R107" i="59" s="1"/>
  <c r="S107" i="59" s="1"/>
  <c r="T107" i="59" s="1"/>
  <c r="U107" i="59" s="1"/>
  <c r="V107" i="59" s="1"/>
  <c r="W107" i="59" s="1"/>
  <c r="X107" i="59" s="1"/>
  <c r="Y107" i="59" s="1"/>
  <c r="Z107" i="59" s="1"/>
  <c r="AA107" i="59" s="1"/>
  <c r="AB107" i="59" s="1"/>
  <c r="J107" i="59"/>
  <c r="K107" i="59" s="1"/>
  <c r="L107" i="59" s="1"/>
  <c r="M107" i="59" s="1"/>
  <c r="N107" i="59" s="1"/>
  <c r="I107" i="59"/>
  <c r="P92" i="59"/>
  <c r="Q92" i="59" s="1"/>
  <c r="R92" i="59" s="1"/>
  <c r="S92" i="59" s="1"/>
  <c r="T92" i="59" s="1"/>
  <c r="U92" i="59" s="1"/>
  <c r="V92" i="59" s="1"/>
  <c r="W92" i="59" s="1"/>
  <c r="X92" i="59" s="1"/>
  <c r="Y92" i="59" s="1"/>
  <c r="Z92" i="59" s="1"/>
  <c r="AA92" i="59" s="1"/>
  <c r="AB92" i="59" s="1"/>
  <c r="I92" i="59"/>
  <c r="J92" i="59" s="1"/>
  <c r="K92" i="59" s="1"/>
  <c r="L92" i="59" s="1"/>
  <c r="M92" i="59" s="1"/>
  <c r="N92" i="59" s="1"/>
  <c r="P77" i="59"/>
  <c r="Q77" i="59" s="1"/>
  <c r="R77" i="59" s="1"/>
  <c r="S77" i="59" s="1"/>
  <c r="T77" i="59" s="1"/>
  <c r="U77" i="59" s="1"/>
  <c r="V77" i="59" s="1"/>
  <c r="W77" i="59" s="1"/>
  <c r="X77" i="59" s="1"/>
  <c r="Y77" i="59" s="1"/>
  <c r="Z77" i="59" s="1"/>
  <c r="AA77" i="59" s="1"/>
  <c r="AB77" i="59" s="1"/>
  <c r="I77" i="59"/>
  <c r="J77" i="59" s="1"/>
  <c r="K77" i="59" s="1"/>
  <c r="L77" i="59" s="1"/>
  <c r="M77" i="59" s="1"/>
  <c r="N77" i="59" s="1"/>
  <c r="P62" i="59"/>
  <c r="Q62" i="59" s="1"/>
  <c r="R62" i="59" s="1"/>
  <c r="S62" i="59" s="1"/>
  <c r="T62" i="59" s="1"/>
  <c r="U62" i="59" s="1"/>
  <c r="V62" i="59" s="1"/>
  <c r="W62" i="59" s="1"/>
  <c r="X62" i="59" s="1"/>
  <c r="Y62" i="59" s="1"/>
  <c r="Z62" i="59" s="1"/>
  <c r="AA62" i="59" s="1"/>
  <c r="AB62" i="59" s="1"/>
  <c r="I62" i="59"/>
  <c r="J62" i="59" s="1"/>
  <c r="K62" i="59" s="1"/>
  <c r="L62" i="59" s="1"/>
  <c r="M62" i="59" s="1"/>
  <c r="N62" i="59" s="1"/>
  <c r="P47" i="59"/>
  <c r="Q47" i="59" s="1"/>
  <c r="R47" i="59" s="1"/>
  <c r="S47" i="59" s="1"/>
  <c r="T47" i="59" s="1"/>
  <c r="U47" i="59" s="1"/>
  <c r="V47" i="59" s="1"/>
  <c r="W47" i="59" s="1"/>
  <c r="X47" i="59" s="1"/>
  <c r="Y47" i="59" s="1"/>
  <c r="Z47" i="59" s="1"/>
  <c r="AA47" i="59" s="1"/>
  <c r="AB47" i="59" s="1"/>
  <c r="J47" i="59"/>
  <c r="K47" i="59" s="1"/>
  <c r="L47" i="59" s="1"/>
  <c r="M47" i="59" s="1"/>
  <c r="N47" i="59" s="1"/>
  <c r="I47" i="59"/>
  <c r="P32" i="59"/>
  <c r="Q32" i="59" s="1"/>
  <c r="R32" i="59" s="1"/>
  <c r="S32" i="59" s="1"/>
  <c r="T32" i="59" s="1"/>
  <c r="U32" i="59" s="1"/>
  <c r="V32" i="59" s="1"/>
  <c r="W32" i="59" s="1"/>
  <c r="X32" i="59" s="1"/>
  <c r="Y32" i="59" s="1"/>
  <c r="Z32" i="59" s="1"/>
  <c r="AA32" i="59" s="1"/>
  <c r="AB32" i="59" s="1"/>
  <c r="J32" i="59"/>
  <c r="K32" i="59" s="1"/>
  <c r="L32" i="59" s="1"/>
  <c r="M32" i="59" s="1"/>
  <c r="N32" i="59" s="1"/>
  <c r="I32" i="59"/>
  <c r="P17" i="59"/>
  <c r="Q17" i="59" s="1"/>
  <c r="R17" i="59" s="1"/>
  <c r="S17" i="59" s="1"/>
  <c r="T17" i="59" s="1"/>
  <c r="U17" i="59" s="1"/>
  <c r="V17" i="59" s="1"/>
  <c r="W17" i="59" s="1"/>
  <c r="X17" i="59" s="1"/>
  <c r="Y17" i="59" s="1"/>
  <c r="Z17" i="59" s="1"/>
  <c r="AA17" i="59" s="1"/>
  <c r="AB17" i="59" s="1"/>
  <c r="I17" i="59"/>
  <c r="J17" i="59" s="1"/>
  <c r="K17" i="59" s="1"/>
  <c r="L17" i="59" s="1"/>
  <c r="M17" i="59" s="1"/>
  <c r="N17" i="59" s="1"/>
  <c r="AB10" i="59"/>
  <c r="P5" i="59"/>
  <c r="J5" i="59"/>
  <c r="J1" i="59" s="1"/>
  <c r="I5" i="59"/>
  <c r="B2" i="59"/>
  <c r="O1" i="59"/>
  <c r="I1" i="59"/>
  <c r="H1" i="59"/>
  <c r="O30" i="31"/>
  <c r="B20" i="56"/>
  <c r="B19" i="56"/>
  <c r="B18" i="56"/>
  <c r="B17" i="56"/>
  <c r="B16" i="56"/>
  <c r="C9" i="56"/>
  <c r="I15" i="56" s="1"/>
  <c r="I24" i="56" s="1"/>
  <c r="B2" i="56"/>
  <c r="C53" i="55"/>
  <c r="C41" i="55"/>
  <c r="C40" i="55"/>
  <c r="I36" i="55"/>
  <c r="H36" i="55"/>
  <c r="G36" i="55"/>
  <c r="E36" i="55"/>
  <c r="D36" i="55"/>
  <c r="C36" i="55"/>
  <c r="I35" i="55"/>
  <c r="H35" i="55"/>
  <c r="G35" i="55"/>
  <c r="E35" i="55"/>
  <c r="D35" i="55"/>
  <c r="C35" i="55"/>
  <c r="I34" i="55"/>
  <c r="H34" i="55"/>
  <c r="G34" i="55"/>
  <c r="E34" i="55"/>
  <c r="D34" i="55"/>
  <c r="L34" i="55" s="1"/>
  <c r="C34" i="55"/>
  <c r="K34" i="55" s="1"/>
  <c r="I33" i="55"/>
  <c r="H33" i="55"/>
  <c r="G33" i="55"/>
  <c r="E33" i="55"/>
  <c r="D33" i="55"/>
  <c r="L33" i="55" s="1"/>
  <c r="C33" i="55"/>
  <c r="K33" i="55" s="1"/>
  <c r="I32" i="55"/>
  <c r="H32" i="55"/>
  <c r="G32" i="55"/>
  <c r="E32" i="55"/>
  <c r="D32" i="55"/>
  <c r="C32" i="55"/>
  <c r="I29" i="55"/>
  <c r="H29" i="55"/>
  <c r="G29" i="55"/>
  <c r="E29" i="55"/>
  <c r="D29" i="55"/>
  <c r="L29" i="55" s="1"/>
  <c r="C29" i="55"/>
  <c r="I28" i="55"/>
  <c r="H28" i="55"/>
  <c r="G28" i="55"/>
  <c r="E28" i="55"/>
  <c r="D28" i="55"/>
  <c r="C28" i="55"/>
  <c r="K28" i="55" s="1"/>
  <c r="I27" i="55"/>
  <c r="H27" i="55"/>
  <c r="G27" i="55"/>
  <c r="E27" i="55"/>
  <c r="D27" i="55"/>
  <c r="L27" i="55" s="1"/>
  <c r="C27" i="55"/>
  <c r="K27" i="55" s="1"/>
  <c r="I26" i="55"/>
  <c r="H26" i="55"/>
  <c r="G26" i="55"/>
  <c r="E26" i="55"/>
  <c r="D26" i="55"/>
  <c r="C26" i="55"/>
  <c r="I25" i="55"/>
  <c r="H25" i="55"/>
  <c r="G25" i="55"/>
  <c r="E25" i="55"/>
  <c r="D25" i="55"/>
  <c r="C25" i="55"/>
  <c r="K25" i="55" s="1"/>
  <c r="I24" i="55"/>
  <c r="H24" i="55"/>
  <c r="G24" i="55"/>
  <c r="E24" i="55"/>
  <c r="D24" i="55"/>
  <c r="L24" i="55" s="1"/>
  <c r="C24" i="55"/>
  <c r="K24" i="55" s="1"/>
  <c r="I23" i="55"/>
  <c r="H23" i="55"/>
  <c r="G23" i="55"/>
  <c r="E23" i="55"/>
  <c r="D23" i="55"/>
  <c r="L23" i="55" s="1"/>
  <c r="C23" i="55"/>
  <c r="K23" i="55" s="1"/>
  <c r="I22" i="55"/>
  <c r="H22" i="55"/>
  <c r="G22" i="55"/>
  <c r="E22" i="55"/>
  <c r="D22" i="55"/>
  <c r="C22" i="55"/>
  <c r="I21" i="55"/>
  <c r="H21" i="55"/>
  <c r="G21" i="55"/>
  <c r="E21" i="55"/>
  <c r="D21" i="55"/>
  <c r="L21" i="55" s="1"/>
  <c r="C21" i="55"/>
  <c r="I17" i="55"/>
  <c r="H17" i="55"/>
  <c r="G17" i="55"/>
  <c r="E17" i="55"/>
  <c r="D17" i="55"/>
  <c r="C17" i="55"/>
  <c r="K17" i="55" s="1"/>
  <c r="I9" i="55"/>
  <c r="H9" i="55"/>
  <c r="G9" i="55"/>
  <c r="E9" i="55"/>
  <c r="D9" i="55"/>
  <c r="L9" i="55" s="1"/>
  <c r="C9" i="55"/>
  <c r="K9" i="55" s="1"/>
  <c r="I18" i="55"/>
  <c r="H18" i="55"/>
  <c r="G18" i="55"/>
  <c r="E18" i="55"/>
  <c r="D18" i="55"/>
  <c r="C18" i="55"/>
  <c r="I16" i="55"/>
  <c r="H16" i="55"/>
  <c r="G16" i="55"/>
  <c r="E16" i="55"/>
  <c r="D16" i="55"/>
  <c r="C16" i="55"/>
  <c r="K16" i="55" s="1"/>
  <c r="I15" i="55"/>
  <c r="H15" i="55"/>
  <c r="G15" i="55"/>
  <c r="E15" i="55"/>
  <c r="D15" i="55"/>
  <c r="L15" i="55" s="1"/>
  <c r="C15" i="55"/>
  <c r="K15" i="55" s="1"/>
  <c r="I14" i="55"/>
  <c r="H14" i="55"/>
  <c r="G14" i="55"/>
  <c r="E14" i="55"/>
  <c r="D14" i="55"/>
  <c r="L14" i="55" s="1"/>
  <c r="C14" i="55"/>
  <c r="K14" i="55" s="1"/>
  <c r="I13" i="55"/>
  <c r="H13" i="55"/>
  <c r="G13" i="55"/>
  <c r="E13" i="55"/>
  <c r="D13" i="55"/>
  <c r="C13" i="55"/>
  <c r="I10" i="55"/>
  <c r="H10" i="55"/>
  <c r="G10" i="55"/>
  <c r="E10" i="55"/>
  <c r="C45" i="55" s="1"/>
  <c r="D10" i="55"/>
  <c r="L10" i="55" s="1"/>
  <c r="C10" i="55"/>
  <c r="C51" i="55" s="1"/>
  <c r="I8" i="55"/>
  <c r="H8" i="55"/>
  <c r="G8" i="55"/>
  <c r="E8" i="55"/>
  <c r="D8" i="55"/>
  <c r="C8" i="55"/>
  <c r="K8" i="55" s="1"/>
  <c r="I7" i="55"/>
  <c r="H7" i="55"/>
  <c r="G7" i="55"/>
  <c r="E7" i="55"/>
  <c r="D7" i="55"/>
  <c r="L7" i="55" s="1"/>
  <c r="C7" i="55"/>
  <c r="K7" i="55" s="1"/>
  <c r="B2" i="55"/>
  <c r="J17" i="8"/>
  <c r="I17" i="8"/>
  <c r="G17" i="8"/>
  <c r="F17" i="8"/>
  <c r="D17" i="8"/>
  <c r="C17" i="8"/>
  <c r="I68" i="8"/>
  <c r="G68" i="8"/>
  <c r="F68" i="8"/>
  <c r="D68" i="8"/>
  <c r="C68" i="8"/>
  <c r="I66" i="8"/>
  <c r="G66" i="8"/>
  <c r="F66" i="8"/>
  <c r="D66" i="8"/>
  <c r="C66" i="8"/>
  <c r="J65" i="8"/>
  <c r="I65" i="8"/>
  <c r="G65" i="8"/>
  <c r="F65" i="8"/>
  <c r="D65" i="8"/>
  <c r="C65" i="8"/>
  <c r="I58" i="8"/>
  <c r="G58" i="8"/>
  <c r="F58" i="8"/>
  <c r="D58" i="8"/>
  <c r="C58" i="8"/>
  <c r="I53" i="8"/>
  <c r="G53" i="8"/>
  <c r="F53" i="8"/>
  <c r="D53" i="8"/>
  <c r="C53" i="8"/>
  <c r="O5" i="52"/>
  <c r="H5" i="52"/>
  <c r="F5" i="52"/>
  <c r="D5" i="52"/>
  <c r="C5" i="52"/>
  <c r="B2" i="52"/>
  <c r="B2" i="51"/>
  <c r="C181" i="61" l="1"/>
  <c r="C173" i="61"/>
  <c r="C205" i="63"/>
  <c r="C44" i="61"/>
  <c r="D172" i="61"/>
  <c r="D173" i="61"/>
  <c r="C83" i="61"/>
  <c r="C45" i="63"/>
  <c r="C197" i="63"/>
  <c r="D196" i="63"/>
  <c r="C187" i="63"/>
  <c r="D84" i="63"/>
  <c r="C145" i="63"/>
  <c r="D80" i="63"/>
  <c r="C68" i="63"/>
  <c r="C69" i="63" s="1"/>
  <c r="C77" i="63" s="1"/>
  <c r="B66" i="63"/>
  <c r="D68" i="63"/>
  <c r="C72" i="63"/>
  <c r="C11" i="63"/>
  <c r="C179" i="63"/>
  <c r="C103" i="63"/>
  <c r="D142" i="63"/>
  <c r="C34" i="63"/>
  <c r="C164" i="63"/>
  <c r="C143" i="63"/>
  <c r="C170" i="63"/>
  <c r="C71" i="63" s="1"/>
  <c r="C26" i="63"/>
  <c r="C36" i="63"/>
  <c r="C38" i="63" s="1"/>
  <c r="C39" i="63" s="1"/>
  <c r="C17" i="63"/>
  <c r="C110" i="63"/>
  <c r="C120" i="61"/>
  <c r="B9" i="62"/>
  <c r="B8" i="62" s="1"/>
  <c r="B7" i="62" s="1"/>
  <c r="D137" i="61"/>
  <c r="C138" i="61"/>
  <c r="C167" i="61"/>
  <c r="C168" i="61" s="1"/>
  <c r="D44" i="62"/>
  <c r="C100" i="61"/>
  <c r="C10" i="61"/>
  <c r="C93" i="61"/>
  <c r="C35" i="61"/>
  <c r="C37" i="61" s="1"/>
  <c r="C38" i="61" s="1"/>
  <c r="C13" i="61"/>
  <c r="C32" i="62"/>
  <c r="C31" i="61"/>
  <c r="C33" i="61" s="1"/>
  <c r="C39" i="62" s="1"/>
  <c r="B17" i="62" s="1"/>
  <c r="B16" i="62" s="1"/>
  <c r="B15" i="62" s="1"/>
  <c r="D6" i="62"/>
  <c r="C6" i="62" s="1"/>
  <c r="F6" i="62"/>
  <c r="G6" i="62" s="1"/>
  <c r="D74" i="61"/>
  <c r="B21" i="62"/>
  <c r="B5" i="62"/>
  <c r="B51" i="62"/>
  <c r="B50" i="62"/>
  <c r="B26" i="62"/>
  <c r="B27" i="62" s="1"/>
  <c r="C70" i="61"/>
  <c r="D70" i="61"/>
  <c r="C110" i="61" s="1"/>
  <c r="C153" i="61"/>
  <c r="C139" i="61" s="1"/>
  <c r="D52" i="60"/>
  <c r="D62" i="61"/>
  <c r="D47" i="60"/>
  <c r="E47" i="60"/>
  <c r="D37" i="60"/>
  <c r="E37" i="60"/>
  <c r="C15" i="60"/>
  <c r="C22" i="60"/>
  <c r="D45" i="55"/>
  <c r="C15" i="56"/>
  <c r="C24" i="56" s="1"/>
  <c r="K13" i="55"/>
  <c r="K22" i="55"/>
  <c r="K32" i="55"/>
  <c r="D15" i="56"/>
  <c r="D24" i="56" s="1"/>
  <c r="L13" i="55"/>
  <c r="L22" i="55"/>
  <c r="L32" i="55"/>
  <c r="E15" i="56"/>
  <c r="E24" i="56" s="1"/>
  <c r="K35" i="55"/>
  <c r="F15" i="56"/>
  <c r="F24" i="56" s="1"/>
  <c r="L16" i="55"/>
  <c r="L25" i="55"/>
  <c r="L35" i="55"/>
  <c r="G15" i="56"/>
  <c r="G24" i="56" s="1"/>
  <c r="H15" i="56"/>
  <c r="H24" i="56" s="1"/>
  <c r="L8" i="55"/>
  <c r="L17" i="55"/>
  <c r="L28" i="55"/>
  <c r="K18" i="55"/>
  <c r="M18" i="55" s="1"/>
  <c r="K26" i="55"/>
  <c r="K36" i="55"/>
  <c r="M36" i="55" s="1"/>
  <c r="L18" i="55"/>
  <c r="L26" i="55"/>
  <c r="L36" i="55"/>
  <c r="K10" i="55"/>
  <c r="M10" i="55" s="1"/>
  <c r="K21" i="55"/>
  <c r="M21" i="55" s="1"/>
  <c r="K29" i="55"/>
  <c r="M29" i="55" s="1"/>
  <c r="D10" i="59"/>
  <c r="K5" i="59"/>
  <c r="F10" i="59"/>
  <c r="Q5" i="59"/>
  <c r="P1" i="59"/>
  <c r="M24" i="55"/>
  <c r="M27" i="55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G309" i="30"/>
  <c r="F309" i="30"/>
  <c r="D309" i="30"/>
  <c r="C309" i="30"/>
  <c r="H309" i="30" s="1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G307" i="30"/>
  <c r="F307" i="30"/>
  <c r="D307" i="30"/>
  <c r="C307" i="30"/>
  <c r="H307" i="30" s="1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G298" i="30"/>
  <c r="F298" i="30"/>
  <c r="D298" i="30"/>
  <c r="C298" i="30"/>
  <c r="H298" i="30" s="1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G273" i="30"/>
  <c r="F273" i="30"/>
  <c r="D273" i="30"/>
  <c r="C273" i="30"/>
  <c r="H273" i="30" s="1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G271" i="30"/>
  <c r="F271" i="30"/>
  <c r="D271" i="30"/>
  <c r="C271" i="30"/>
  <c r="H271" i="30" s="1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G266" i="30"/>
  <c r="F266" i="30"/>
  <c r="D266" i="30"/>
  <c r="C266" i="30"/>
  <c r="H266" i="30" s="1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G261" i="30"/>
  <c r="F261" i="30"/>
  <c r="D261" i="30"/>
  <c r="C261" i="30"/>
  <c r="H261" i="30" s="1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G257" i="30"/>
  <c r="F257" i="30"/>
  <c r="D257" i="30"/>
  <c r="C257" i="30"/>
  <c r="H257" i="30" s="1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G255" i="30"/>
  <c r="F255" i="30"/>
  <c r="D255" i="30"/>
  <c r="C255" i="30"/>
  <c r="H255" i="30" s="1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G250" i="30"/>
  <c r="F250" i="30"/>
  <c r="D250" i="30"/>
  <c r="C250" i="30"/>
  <c r="H250" i="30" s="1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G234" i="30"/>
  <c r="F234" i="30"/>
  <c r="D234" i="30"/>
  <c r="C234" i="30"/>
  <c r="H234" i="30" s="1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G230" i="30"/>
  <c r="F230" i="30"/>
  <c r="D230" i="30"/>
  <c r="C230" i="30"/>
  <c r="H230" i="30" s="1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G229" i="30"/>
  <c r="F229" i="30"/>
  <c r="D229" i="30"/>
  <c r="C229" i="30"/>
  <c r="H229" i="30" s="1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G227" i="30"/>
  <c r="F227" i="30"/>
  <c r="D227" i="30"/>
  <c r="C227" i="30"/>
  <c r="H227" i="30" s="1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G216" i="30"/>
  <c r="F216" i="30"/>
  <c r="D216" i="30"/>
  <c r="C216" i="30"/>
  <c r="H216" i="30" s="1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G215" i="30"/>
  <c r="F215" i="30"/>
  <c r="D215" i="30"/>
  <c r="C215" i="30"/>
  <c r="H215" i="30" s="1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G213" i="30"/>
  <c r="F213" i="30"/>
  <c r="D213" i="30"/>
  <c r="C213" i="30"/>
  <c r="H213" i="30" s="1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G209" i="30"/>
  <c r="F209" i="30"/>
  <c r="D209" i="30"/>
  <c r="C209" i="30"/>
  <c r="H209" i="30" s="1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G202" i="30"/>
  <c r="F202" i="30"/>
  <c r="D202" i="30"/>
  <c r="C202" i="30"/>
  <c r="H202" i="30" s="1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G200" i="30"/>
  <c r="F200" i="30"/>
  <c r="D200" i="30"/>
  <c r="C200" i="30"/>
  <c r="H200" i="30" s="1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G199" i="30"/>
  <c r="F199" i="30"/>
  <c r="D199" i="30"/>
  <c r="C199" i="30"/>
  <c r="H199" i="30" s="1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G197" i="30"/>
  <c r="F197" i="30"/>
  <c r="D197" i="30"/>
  <c r="C197" i="30"/>
  <c r="H197" i="30" s="1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G195" i="30"/>
  <c r="F195" i="30"/>
  <c r="D195" i="30"/>
  <c r="C195" i="30"/>
  <c r="H195" i="30" s="1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G193" i="30"/>
  <c r="F193" i="30"/>
  <c r="D193" i="30"/>
  <c r="C193" i="30"/>
  <c r="H193" i="30" s="1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G191" i="30"/>
  <c r="F191" i="30"/>
  <c r="D191" i="30"/>
  <c r="C191" i="30"/>
  <c r="H191" i="30" s="1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G186" i="30"/>
  <c r="F186" i="30"/>
  <c r="D186" i="30"/>
  <c r="C186" i="30"/>
  <c r="H186" i="30" s="1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G183" i="30"/>
  <c r="F183" i="30"/>
  <c r="D183" i="30"/>
  <c r="C183" i="30"/>
  <c r="H183" i="30" s="1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G182" i="30"/>
  <c r="F182" i="30"/>
  <c r="D182" i="30"/>
  <c r="C182" i="30"/>
  <c r="H182" i="30" s="1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G181" i="30"/>
  <c r="F181" i="30"/>
  <c r="D181" i="30"/>
  <c r="C181" i="30"/>
  <c r="H181" i="30" s="1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G179" i="30"/>
  <c r="F179" i="30"/>
  <c r="D179" i="30"/>
  <c r="C179" i="30"/>
  <c r="H179" i="30" s="1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G175" i="30"/>
  <c r="F175" i="30"/>
  <c r="D175" i="30"/>
  <c r="C175" i="30"/>
  <c r="H175" i="30" s="1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G168" i="30"/>
  <c r="F168" i="30"/>
  <c r="D168" i="30"/>
  <c r="C168" i="30"/>
  <c r="H168" i="30" s="1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G167" i="30"/>
  <c r="F167" i="30"/>
  <c r="D167" i="30"/>
  <c r="C167" i="30"/>
  <c r="H167" i="30" s="1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G166" i="30"/>
  <c r="F166" i="30"/>
  <c r="D166" i="30"/>
  <c r="C166" i="30"/>
  <c r="H166" i="30" s="1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G163" i="30"/>
  <c r="F163" i="30"/>
  <c r="D163" i="30"/>
  <c r="C163" i="30"/>
  <c r="H163" i="30" s="1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G161" i="30"/>
  <c r="F161" i="30"/>
  <c r="D161" i="30"/>
  <c r="C161" i="30"/>
  <c r="H161" i="30" s="1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G159" i="30"/>
  <c r="F159" i="30"/>
  <c r="D159" i="30"/>
  <c r="C159" i="30"/>
  <c r="H159" i="30" s="1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G151" i="30"/>
  <c r="F151" i="30"/>
  <c r="D151" i="30"/>
  <c r="C151" i="30"/>
  <c r="H151" i="30" s="1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G150" i="30"/>
  <c r="F150" i="30"/>
  <c r="D150" i="30"/>
  <c r="C150" i="30"/>
  <c r="H150" i="30" s="1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G149" i="30"/>
  <c r="F149" i="30"/>
  <c r="D149" i="30"/>
  <c r="C149" i="30"/>
  <c r="H149" i="30" s="1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G147" i="30"/>
  <c r="F147" i="30"/>
  <c r="D147" i="30"/>
  <c r="C147" i="30"/>
  <c r="H147" i="30" s="1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G145" i="30"/>
  <c r="F145" i="30"/>
  <c r="D145" i="30"/>
  <c r="C145" i="30"/>
  <c r="H145" i="30" s="1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G143" i="30"/>
  <c r="F143" i="30"/>
  <c r="D143" i="30"/>
  <c r="C143" i="30"/>
  <c r="H143" i="30" s="1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G138" i="30"/>
  <c r="F138" i="30"/>
  <c r="D138" i="30"/>
  <c r="C138" i="30"/>
  <c r="H138" i="30" s="1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G134" i="30"/>
  <c r="F134" i="30"/>
  <c r="D134" i="30"/>
  <c r="C134" i="30"/>
  <c r="H134" i="30" s="1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G131" i="30"/>
  <c r="F131" i="30"/>
  <c r="D131" i="30"/>
  <c r="C131" i="30"/>
  <c r="H131" i="30" s="1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G127" i="30"/>
  <c r="F127" i="30"/>
  <c r="D127" i="30"/>
  <c r="C127" i="30"/>
  <c r="H127" i="30" s="1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G117" i="30"/>
  <c r="F117" i="30"/>
  <c r="D117" i="30"/>
  <c r="C117" i="30"/>
  <c r="H117" i="30" s="1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G113" i="30"/>
  <c r="F113" i="30"/>
  <c r="D113" i="30"/>
  <c r="C113" i="30"/>
  <c r="H113" i="30" s="1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G111" i="30"/>
  <c r="F111" i="30"/>
  <c r="D111" i="30"/>
  <c r="C111" i="30"/>
  <c r="H111" i="30" s="1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G110" i="30"/>
  <c r="F110" i="30"/>
  <c r="D110" i="30"/>
  <c r="C110" i="30"/>
  <c r="H110" i="30" s="1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G108" i="30"/>
  <c r="F108" i="30"/>
  <c r="D108" i="30"/>
  <c r="C108" i="30"/>
  <c r="H108" i="30" s="1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G104" i="30"/>
  <c r="F104" i="30"/>
  <c r="D104" i="30"/>
  <c r="C104" i="30"/>
  <c r="H104" i="30" s="1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G102" i="30"/>
  <c r="F102" i="30"/>
  <c r="D102" i="30"/>
  <c r="C102" i="30"/>
  <c r="H102" i="30" s="1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G97" i="30"/>
  <c r="F97" i="30"/>
  <c r="D97" i="30"/>
  <c r="C97" i="30"/>
  <c r="H97" i="30" s="1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G95" i="30"/>
  <c r="F95" i="30"/>
  <c r="D95" i="30"/>
  <c r="C95" i="30"/>
  <c r="H95" i="30" s="1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G93" i="30"/>
  <c r="F93" i="30"/>
  <c r="D93" i="30"/>
  <c r="C93" i="30"/>
  <c r="H93" i="30" s="1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G79" i="30"/>
  <c r="F79" i="30"/>
  <c r="D79" i="30"/>
  <c r="C79" i="30"/>
  <c r="H79" i="30" s="1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G78" i="30"/>
  <c r="F78" i="30"/>
  <c r="D78" i="30"/>
  <c r="C78" i="30"/>
  <c r="H78" i="30" s="1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G77" i="30"/>
  <c r="F77" i="30"/>
  <c r="D77" i="30"/>
  <c r="C77" i="30"/>
  <c r="H77" i="30" s="1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G70" i="30"/>
  <c r="F70" i="30"/>
  <c r="D70" i="30"/>
  <c r="C70" i="30"/>
  <c r="H70" i="30" s="1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G68" i="30"/>
  <c r="F68" i="30"/>
  <c r="D68" i="30"/>
  <c r="C68" i="30"/>
  <c r="H68" i="30" s="1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G65" i="30"/>
  <c r="F65" i="30"/>
  <c r="D65" i="30"/>
  <c r="C65" i="30"/>
  <c r="H65" i="30" s="1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G61" i="30"/>
  <c r="F61" i="30"/>
  <c r="D61" i="30"/>
  <c r="C61" i="30"/>
  <c r="H61" i="30" s="1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G51" i="30"/>
  <c r="F51" i="30"/>
  <c r="D51" i="30"/>
  <c r="C51" i="30"/>
  <c r="H51" i="30" s="1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G49" i="30"/>
  <c r="F49" i="30"/>
  <c r="D49" i="30"/>
  <c r="C49" i="30"/>
  <c r="H49" i="30" s="1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G45" i="30"/>
  <c r="F45" i="30"/>
  <c r="D45" i="30"/>
  <c r="C45" i="30"/>
  <c r="H45" i="30" s="1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G43" i="30"/>
  <c r="F43" i="30"/>
  <c r="D43" i="30"/>
  <c r="C43" i="30"/>
  <c r="H43" i="30" s="1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G40" i="30"/>
  <c r="F40" i="30"/>
  <c r="D40" i="30"/>
  <c r="C40" i="30"/>
  <c r="H40" i="30" s="1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G38" i="30"/>
  <c r="F38" i="30"/>
  <c r="D38" i="30"/>
  <c r="C38" i="30"/>
  <c r="H38" i="30" s="1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G33" i="30"/>
  <c r="F33" i="30"/>
  <c r="D33" i="30"/>
  <c r="C33" i="30"/>
  <c r="H33" i="30" s="1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G31" i="30"/>
  <c r="F31" i="30"/>
  <c r="D31" i="30"/>
  <c r="C31" i="30"/>
  <c r="H31" i="30" s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G29" i="30"/>
  <c r="F29" i="30"/>
  <c r="D29" i="30"/>
  <c r="C29" i="30"/>
  <c r="H29" i="30" s="1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G27" i="30"/>
  <c r="F27" i="30"/>
  <c r="D27" i="30"/>
  <c r="C27" i="30"/>
  <c r="H27" i="30" s="1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G17" i="30"/>
  <c r="F17" i="30"/>
  <c r="D17" i="30"/>
  <c r="C17" i="30"/>
  <c r="H17" i="30" s="1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G15" i="30"/>
  <c r="F15" i="30"/>
  <c r="D15" i="30"/>
  <c r="C15" i="30"/>
  <c r="H15" i="30" s="1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G13" i="30"/>
  <c r="F13" i="30"/>
  <c r="D13" i="30"/>
  <c r="C13" i="30"/>
  <c r="H13" i="30" s="1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G11" i="30"/>
  <c r="F11" i="30"/>
  <c r="D11" i="30"/>
  <c r="C11" i="30"/>
  <c r="H11" i="30" s="1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G7" i="30"/>
  <c r="F7" i="30"/>
  <c r="D7" i="30"/>
  <c r="C7" i="30"/>
  <c r="E30" i="31" s="1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O51" i="42"/>
  <c r="L142" i="45" s="1"/>
  <c r="O50" i="42"/>
  <c r="L141" i="45" s="1"/>
  <c r="O49" i="42"/>
  <c r="O48" i="42"/>
  <c r="O47" i="42"/>
  <c r="O45" i="42"/>
  <c r="O44" i="42"/>
  <c r="L135" i="45" s="1"/>
  <c r="O43" i="42"/>
  <c r="O42" i="42"/>
  <c r="L133" i="45" s="1"/>
  <c r="O41" i="42"/>
  <c r="O40" i="42"/>
  <c r="O39" i="42"/>
  <c r="O38" i="42"/>
  <c r="L129" i="45" s="1"/>
  <c r="O37" i="42"/>
  <c r="O36" i="42"/>
  <c r="L127" i="45" s="1"/>
  <c r="O35" i="42"/>
  <c r="O34" i="42"/>
  <c r="L125" i="45" s="1"/>
  <c r="O32" i="42"/>
  <c r="L123" i="45" s="1"/>
  <c r="O30" i="42"/>
  <c r="L121" i="45" s="1"/>
  <c r="O29" i="42"/>
  <c r="O28" i="42"/>
  <c r="O27" i="42"/>
  <c r="L118" i="45" s="1"/>
  <c r="O26" i="42"/>
  <c r="L117" i="45" s="1"/>
  <c r="O25" i="42"/>
  <c r="O24" i="42"/>
  <c r="L115" i="45" s="1"/>
  <c r="O23" i="42"/>
  <c r="O22" i="42"/>
  <c r="O21" i="42"/>
  <c r="O20" i="42"/>
  <c r="O19" i="42"/>
  <c r="O18" i="42"/>
  <c r="L109" i="45" s="1"/>
  <c r="O17" i="42"/>
  <c r="O16" i="42"/>
  <c r="L107" i="45" s="1"/>
  <c r="O15" i="42"/>
  <c r="L106" i="45" s="1"/>
  <c r="O14" i="42"/>
  <c r="L105" i="45" s="1"/>
  <c r="O13" i="42"/>
  <c r="L104" i="45" s="1"/>
  <c r="O12" i="42"/>
  <c r="L103" i="45" s="1"/>
  <c r="O11" i="42"/>
  <c r="L102" i="45" s="1"/>
  <c r="O10" i="42"/>
  <c r="L101" i="45" s="1"/>
  <c r="O9" i="42"/>
  <c r="O8" i="42"/>
  <c r="L99" i="45" s="1"/>
  <c r="O7" i="42"/>
  <c r="O6" i="42"/>
  <c r="O5" i="42"/>
  <c r="O4" i="42"/>
  <c r="O3" i="42"/>
  <c r="L94" i="45" s="1"/>
  <c r="O2" i="42"/>
  <c r="L93" i="45" s="1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K142" i="45"/>
  <c r="K141" i="45"/>
  <c r="L140" i="45"/>
  <c r="K140" i="45"/>
  <c r="L139" i="45"/>
  <c r="K139" i="45"/>
  <c r="L138" i="45"/>
  <c r="K138" i="45"/>
  <c r="L137" i="45"/>
  <c r="K137" i="45"/>
  <c r="L136" i="45"/>
  <c r="K136" i="45"/>
  <c r="K135" i="45"/>
  <c r="L134" i="45"/>
  <c r="K134" i="45"/>
  <c r="K133" i="45"/>
  <c r="L132" i="45"/>
  <c r="K132" i="45"/>
  <c r="L131" i="45"/>
  <c r="K131" i="45"/>
  <c r="L130" i="45"/>
  <c r="K130" i="45"/>
  <c r="K129" i="45"/>
  <c r="L128" i="45"/>
  <c r="K128" i="45"/>
  <c r="K127" i="45"/>
  <c r="L126" i="45"/>
  <c r="K126" i="45"/>
  <c r="K125" i="45"/>
  <c r="L124" i="45"/>
  <c r="K124" i="45"/>
  <c r="K123" i="45"/>
  <c r="L122" i="45"/>
  <c r="K122" i="45"/>
  <c r="K121" i="45"/>
  <c r="L120" i="45"/>
  <c r="K120" i="45"/>
  <c r="L119" i="45"/>
  <c r="K119" i="45"/>
  <c r="K118" i="45"/>
  <c r="K117" i="45"/>
  <c r="L116" i="45"/>
  <c r="K116" i="45"/>
  <c r="K115" i="45"/>
  <c r="L114" i="45"/>
  <c r="K114" i="45"/>
  <c r="L113" i="45"/>
  <c r="K113" i="45"/>
  <c r="L112" i="45"/>
  <c r="K112" i="45"/>
  <c r="L111" i="45"/>
  <c r="K111" i="45"/>
  <c r="L110" i="45"/>
  <c r="K110" i="45"/>
  <c r="K109" i="45"/>
  <c r="L108" i="45"/>
  <c r="K108" i="45"/>
  <c r="K107" i="45"/>
  <c r="K106" i="45"/>
  <c r="K105" i="45"/>
  <c r="K104" i="45"/>
  <c r="K103" i="45"/>
  <c r="K102" i="45"/>
  <c r="K101" i="45"/>
  <c r="L100" i="45"/>
  <c r="K100" i="45"/>
  <c r="K99" i="45"/>
  <c r="L98" i="45"/>
  <c r="K98" i="45"/>
  <c r="L97" i="45"/>
  <c r="K97" i="45"/>
  <c r="L96" i="45"/>
  <c r="K96" i="45"/>
  <c r="L95" i="45"/>
  <c r="K95" i="45"/>
  <c r="K94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K126" i="48"/>
  <c r="L126" i="48" s="1"/>
  <c r="M126" i="48" s="1"/>
  <c r="N126" i="48" s="1"/>
  <c r="O126" i="48" s="1"/>
  <c r="P126" i="48" s="1"/>
  <c r="Q126" i="48" s="1"/>
  <c r="R126" i="48" s="1"/>
  <c r="S126" i="48" s="1"/>
  <c r="T126" i="48" s="1"/>
  <c r="U126" i="48" s="1"/>
  <c r="V126" i="48" s="1"/>
  <c r="W126" i="48" s="1"/>
  <c r="D126" i="48"/>
  <c r="E126" i="48" s="1"/>
  <c r="F126" i="48" s="1"/>
  <c r="G126" i="48" s="1"/>
  <c r="H126" i="48" s="1"/>
  <c r="I126" i="48" s="1"/>
  <c r="B124" i="48"/>
  <c r="B123" i="48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D118" i="48"/>
  <c r="E118" i="48" s="1"/>
  <c r="F118" i="48" s="1"/>
  <c r="G118" i="48" s="1"/>
  <c r="H118" i="48" s="1"/>
  <c r="I118" i="48" s="1"/>
  <c r="B118" i="48"/>
  <c r="L112" i="48"/>
  <c r="M112" i="48" s="1"/>
  <c r="N112" i="48" s="1"/>
  <c r="O112" i="48" s="1"/>
  <c r="P112" i="48" s="1"/>
  <c r="Q112" i="48" s="1"/>
  <c r="R112" i="48" s="1"/>
  <c r="S112" i="48" s="1"/>
  <c r="T112" i="48" s="1"/>
  <c r="U112" i="48" s="1"/>
  <c r="V112" i="48" s="1"/>
  <c r="W112" i="48" s="1"/>
  <c r="K112" i="48"/>
  <c r="D112" i="48"/>
  <c r="E112" i="48" s="1"/>
  <c r="F112" i="48" s="1"/>
  <c r="G112" i="48" s="1"/>
  <c r="H112" i="48" s="1"/>
  <c r="I112" i="48" s="1"/>
  <c r="C56" i="47"/>
  <c r="C64" i="47" s="1"/>
  <c r="F54" i="47"/>
  <c r="E55" i="47" s="1"/>
  <c r="E54" i="47"/>
  <c r="F52" i="47"/>
  <c r="E53" i="47" s="1"/>
  <c r="E52" i="47"/>
  <c r="T122" i="46"/>
  <c r="U122" i="46" s="1"/>
  <c r="V122" i="46" s="1"/>
  <c r="W122" i="46" s="1"/>
  <c r="X122" i="46" s="1"/>
  <c r="Y122" i="46" s="1"/>
  <c r="Z122" i="46" s="1"/>
  <c r="AA122" i="46" s="1"/>
  <c r="AB122" i="46" s="1"/>
  <c r="P122" i="46"/>
  <c r="Q122" i="46" s="1"/>
  <c r="R122" i="46" s="1"/>
  <c r="S122" i="46" s="1"/>
  <c r="I122" i="46"/>
  <c r="J122" i="46" s="1"/>
  <c r="K122" i="46" s="1"/>
  <c r="L122" i="46" s="1"/>
  <c r="M122" i="46" s="1"/>
  <c r="N122" i="46" s="1"/>
  <c r="P107" i="46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J107" i="46"/>
  <c r="K107" i="46" s="1"/>
  <c r="L107" i="46" s="1"/>
  <c r="M107" i="46" s="1"/>
  <c r="N107" i="46" s="1"/>
  <c r="I107" i="46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J92" i="46"/>
  <c r="K92" i="46" s="1"/>
  <c r="L92" i="46" s="1"/>
  <c r="M92" i="46" s="1"/>
  <c r="N92" i="46" s="1"/>
  <c r="I92" i="46"/>
  <c r="P77" i="46"/>
  <c r="Q77" i="46" s="1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L77" i="46"/>
  <c r="M77" i="46" s="1"/>
  <c r="N77" i="46" s="1"/>
  <c r="J77" i="46"/>
  <c r="K77" i="46" s="1"/>
  <c r="I77" i="46"/>
  <c r="R62" i="46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Q62" i="46"/>
  <c r="P62" i="46"/>
  <c r="I62" i="46"/>
  <c r="J62" i="46" s="1"/>
  <c r="K62" i="46" s="1"/>
  <c r="L62" i="46" s="1"/>
  <c r="M62" i="46" s="1"/>
  <c r="N62" i="46" s="1"/>
  <c r="P47" i="46"/>
  <c r="Q47" i="46" s="1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I47" i="46"/>
  <c r="J47" i="46" s="1"/>
  <c r="K47" i="46" s="1"/>
  <c r="L47" i="46" s="1"/>
  <c r="M47" i="46" s="1"/>
  <c r="N47" i="46" s="1"/>
  <c r="T32" i="46"/>
  <c r="U32" i="46" s="1"/>
  <c r="V32" i="46" s="1"/>
  <c r="W32" i="46" s="1"/>
  <c r="X32" i="46" s="1"/>
  <c r="Y32" i="46" s="1"/>
  <c r="Z32" i="46" s="1"/>
  <c r="AA32" i="46" s="1"/>
  <c r="AB32" i="46" s="1"/>
  <c r="Q32" i="46"/>
  <c r="R32" i="46" s="1"/>
  <c r="S32" i="46" s="1"/>
  <c r="P32" i="46"/>
  <c r="I32" i="46"/>
  <c r="J32" i="46" s="1"/>
  <c r="K32" i="46" s="1"/>
  <c r="L32" i="46" s="1"/>
  <c r="M32" i="46" s="1"/>
  <c r="N32" i="46" s="1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J17" i="46"/>
  <c r="K17" i="46" s="1"/>
  <c r="L17" i="46" s="1"/>
  <c r="M17" i="46" s="1"/>
  <c r="N17" i="46" s="1"/>
  <c r="I17" i="46"/>
  <c r="AB10" i="46"/>
  <c r="C140" i="59" s="1"/>
  <c r="F10" i="46"/>
  <c r="Q5" i="46"/>
  <c r="Q5" i="52" s="1"/>
  <c r="P5" i="46"/>
  <c r="P5" i="52" s="1"/>
  <c r="J5" i="46"/>
  <c r="J5" i="52" s="1"/>
  <c r="I5" i="46"/>
  <c r="I5" i="52" s="1"/>
  <c r="B2" i="46"/>
  <c r="B2" i="47" s="1"/>
  <c r="P1" i="46"/>
  <c r="P126" i="46" s="1"/>
  <c r="O1" i="46"/>
  <c r="I1" i="46"/>
  <c r="I8" i="46" s="1"/>
  <c r="D119" i="48" s="1"/>
  <c r="H1" i="46"/>
  <c r="H8" i="46" s="1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C27" i="35"/>
  <c r="D27" i="35" s="1"/>
  <c r="T27" i="35" s="1"/>
  <c r="Q26" i="35"/>
  <c r="K26" i="35"/>
  <c r="C26" i="35"/>
  <c r="C28" i="35" s="1"/>
  <c r="Q25" i="35"/>
  <c r="Q28" i="35" s="1"/>
  <c r="AH96" i="16" s="1"/>
  <c r="K25" i="35"/>
  <c r="C25" i="35"/>
  <c r="C21" i="35"/>
  <c r="Q20" i="35"/>
  <c r="K20" i="35"/>
  <c r="C20" i="35"/>
  <c r="Q19" i="35"/>
  <c r="K19" i="35"/>
  <c r="C134" i="11" s="1"/>
  <c r="C19" i="35"/>
  <c r="Q14" i="35"/>
  <c r="K14" i="35"/>
  <c r="C14" i="35"/>
  <c r="Q13" i="35"/>
  <c r="K13" i="35"/>
  <c r="C13" i="35"/>
  <c r="C15" i="35" s="1"/>
  <c r="Q8" i="35"/>
  <c r="K8" i="35"/>
  <c r="C8" i="35"/>
  <c r="Q7" i="35"/>
  <c r="K7" i="35"/>
  <c r="K9" i="35" s="1"/>
  <c r="C7" i="35"/>
  <c r="C9" i="35" s="1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D91" i="39"/>
  <c r="E91" i="39" s="1"/>
  <c r="F91" i="39" s="1"/>
  <c r="G91" i="39" s="1"/>
  <c r="H91" i="39" s="1"/>
  <c r="I91" i="39" s="1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I125" i="37"/>
  <c r="D125" i="37"/>
  <c r="E125" i="37" s="1"/>
  <c r="F125" i="37" s="1"/>
  <c r="G125" i="37" s="1"/>
  <c r="H125" i="37" s="1"/>
  <c r="P121" i="37"/>
  <c r="Q121" i="37" s="1"/>
  <c r="R121" i="37" s="1"/>
  <c r="S121" i="37" s="1"/>
  <c r="T121" i="37" s="1"/>
  <c r="U121" i="37" s="1"/>
  <c r="V121" i="37" s="1"/>
  <c r="W121" i="37" s="1"/>
  <c r="K121" i="37"/>
  <c r="L121" i="37" s="1"/>
  <c r="M121" i="37" s="1"/>
  <c r="N121" i="37" s="1"/>
  <c r="O121" i="37" s="1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E117" i="37"/>
  <c r="F117" i="37" s="1"/>
  <c r="G117" i="37" s="1"/>
  <c r="H117" i="37" s="1"/>
  <c r="I117" i="37" s="1"/>
  <c r="D117" i="37"/>
  <c r="K111" i="37"/>
  <c r="L111" i="37" s="1"/>
  <c r="M111" i="37" s="1"/>
  <c r="N111" i="37" s="1"/>
  <c r="O111" i="37" s="1"/>
  <c r="P111" i="37" s="1"/>
  <c r="Q111" i="37" s="1"/>
  <c r="R111" i="37" s="1"/>
  <c r="S111" i="37" s="1"/>
  <c r="T111" i="37" s="1"/>
  <c r="U111" i="37" s="1"/>
  <c r="V111" i="37" s="1"/>
  <c r="W111" i="37" s="1"/>
  <c r="D111" i="37"/>
  <c r="E111" i="37" s="1"/>
  <c r="F111" i="37" s="1"/>
  <c r="G111" i="37" s="1"/>
  <c r="H111" i="37" s="1"/>
  <c r="I111" i="37" s="1"/>
  <c r="B111" i="37"/>
  <c r="B117" i="37" s="1"/>
  <c r="C149" i="33"/>
  <c r="D148" i="33" s="1"/>
  <c r="B96" i="33"/>
  <c r="S95" i="33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K95" i="33"/>
  <c r="L95" i="33" s="1"/>
  <c r="M95" i="33" s="1"/>
  <c r="N95" i="33" s="1"/>
  <c r="O95" i="33" s="1"/>
  <c r="P95" i="33" s="1"/>
  <c r="B81" i="33"/>
  <c r="R80" i="33"/>
  <c r="S80" i="33" s="1"/>
  <c r="T80" i="33" s="1"/>
  <c r="U80" i="33" s="1"/>
  <c r="V80" i="33" s="1"/>
  <c r="W80" i="33" s="1"/>
  <c r="X80" i="33" s="1"/>
  <c r="Y80" i="33" s="1"/>
  <c r="Z80" i="33" s="1"/>
  <c r="AA80" i="33" s="1"/>
  <c r="AB80" i="33" s="1"/>
  <c r="AC80" i="33" s="1"/>
  <c r="AD80" i="33" s="1"/>
  <c r="K80" i="33"/>
  <c r="L80" i="33" s="1"/>
  <c r="M80" i="33" s="1"/>
  <c r="N80" i="33" s="1"/>
  <c r="O80" i="33" s="1"/>
  <c r="P80" i="33" s="1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L65" i="33"/>
  <c r="M65" i="33" s="1"/>
  <c r="N65" i="33" s="1"/>
  <c r="O65" i="33" s="1"/>
  <c r="P65" i="33" s="1"/>
  <c r="K65" i="33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K50" i="33"/>
  <c r="L50" i="33" s="1"/>
  <c r="M50" i="33" s="1"/>
  <c r="N50" i="33" s="1"/>
  <c r="O50" i="33" s="1"/>
  <c r="P50" i="33" s="1"/>
  <c r="B36" i="33"/>
  <c r="B121" i="37" s="1"/>
  <c r="S35" i="33"/>
  <c r="T35" i="33" s="1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R35" i="33"/>
  <c r="K35" i="33"/>
  <c r="L35" i="33" s="1"/>
  <c r="M35" i="33" s="1"/>
  <c r="N35" i="33" s="1"/>
  <c r="O35" i="33" s="1"/>
  <c r="P35" i="33" s="1"/>
  <c r="S20" i="33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R20" i="33"/>
  <c r="L20" i="33"/>
  <c r="M20" i="33" s="1"/>
  <c r="N20" i="33" s="1"/>
  <c r="O20" i="33" s="1"/>
  <c r="P20" i="33" s="1"/>
  <c r="K20" i="33"/>
  <c r="AD13" i="33"/>
  <c r="H13" i="33" s="1"/>
  <c r="Q12" i="33"/>
  <c r="D12" i="33"/>
  <c r="C12" i="33"/>
  <c r="Q8" i="33"/>
  <c r="J8" i="33"/>
  <c r="C8" i="33"/>
  <c r="R5" i="33"/>
  <c r="R8" i="33" s="1"/>
  <c r="K5" i="33"/>
  <c r="K8" i="33" s="1"/>
  <c r="B2" i="33"/>
  <c r="Q1" i="33"/>
  <c r="Q9" i="33" s="1"/>
  <c r="J1" i="33"/>
  <c r="J12" i="33" s="1"/>
  <c r="B2" i="31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28" i="17" s="1"/>
  <c r="B15" i="17"/>
  <c r="B27" i="17" s="1"/>
  <c r="B14" i="17"/>
  <c r="B26" i="17" s="1"/>
  <c r="B13" i="17"/>
  <c r="B36" i="17" s="1"/>
  <c r="B12" i="17"/>
  <c r="B35" i="17" s="1"/>
  <c r="B11" i="17"/>
  <c r="B34" i="17" s="1"/>
  <c r="B10" i="17"/>
  <c r="B33" i="17" s="1"/>
  <c r="B9" i="17"/>
  <c r="B32" i="17" s="1"/>
  <c r="B8" i="17"/>
  <c r="B31" i="17" s="1"/>
  <c r="B2" i="17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34" i="9"/>
  <c r="B22" i="9"/>
  <c r="B21" i="9"/>
  <c r="B20" i="9"/>
  <c r="B19" i="9"/>
  <c r="B18" i="9"/>
  <c r="B15" i="9"/>
  <c r="B14" i="9"/>
  <c r="B44" i="9" s="1"/>
  <c r="B13" i="9"/>
  <c r="B43" i="9" s="1"/>
  <c r="B12" i="9"/>
  <c r="B32" i="9" s="1"/>
  <c r="B11" i="9"/>
  <c r="B41" i="9" s="1"/>
  <c r="B10" i="9"/>
  <c r="B30" i="9" s="1"/>
  <c r="B9" i="9"/>
  <c r="B39" i="9" s="1"/>
  <c r="B8" i="9"/>
  <c r="B28" i="9" s="1"/>
  <c r="B2" i="9"/>
  <c r="B2" i="35" s="1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E117" i="2"/>
  <c r="U112" i="2"/>
  <c r="T112" i="2"/>
  <c r="AR111" i="2"/>
  <c r="AQ111" i="2"/>
  <c r="AS58" i="11" s="1"/>
  <c r="AS76" i="11" s="1"/>
  <c r="AP111" i="2"/>
  <c r="AO111" i="2"/>
  <c r="AO112" i="2" s="1"/>
  <c r="AN111" i="2"/>
  <c r="AP58" i="11" s="1"/>
  <c r="AP76" i="11" s="1"/>
  <c r="AM111" i="2"/>
  <c r="AO58" i="11" s="1"/>
  <c r="AO76" i="11" s="1"/>
  <c r="AL111" i="2"/>
  <c r="AK111" i="2"/>
  <c r="AJ111" i="2"/>
  <c r="AI111" i="2"/>
  <c r="AH111" i="2"/>
  <c r="AG111" i="2"/>
  <c r="AF111" i="2"/>
  <c r="AE111" i="2"/>
  <c r="AG58" i="11" s="1"/>
  <c r="AG76" i="11" s="1"/>
  <c r="AD111" i="2"/>
  <c r="AC111" i="2"/>
  <c r="AE58" i="11" s="1"/>
  <c r="AE76" i="11" s="1"/>
  <c r="AB111" i="2"/>
  <c r="AD58" i="11" s="1"/>
  <c r="AD76" i="11" s="1"/>
  <c r="AA111" i="2"/>
  <c r="AC58" i="11" s="1"/>
  <c r="AC76" i="11" s="1"/>
  <c r="Z111" i="2"/>
  <c r="AB58" i="11" s="1"/>
  <c r="AB76" i="11" s="1"/>
  <c r="Y111" i="2"/>
  <c r="X111" i="2"/>
  <c r="Z58" i="11" s="1"/>
  <c r="Z76" i="11" s="1"/>
  <c r="W111" i="2"/>
  <c r="Y58" i="11" s="1"/>
  <c r="Y76" i="11" s="1"/>
  <c r="V111" i="2"/>
  <c r="U111" i="2"/>
  <c r="T111" i="2"/>
  <c r="S111" i="2"/>
  <c r="R111" i="2"/>
  <c r="Q111" i="2"/>
  <c r="P111" i="2"/>
  <c r="O111" i="2"/>
  <c r="Q58" i="11" s="1"/>
  <c r="Q76" i="11" s="1"/>
  <c r="N111" i="2"/>
  <c r="AR110" i="2"/>
  <c r="AQ110" i="2"/>
  <c r="AP110" i="2"/>
  <c r="AO110" i="2"/>
  <c r="AQ62" i="11" s="1"/>
  <c r="AQ77" i="11" s="1"/>
  <c r="AN110" i="2"/>
  <c r="AM110" i="2"/>
  <c r="AL110" i="2"/>
  <c r="AL112" i="2" s="1"/>
  <c r="AK110" i="2"/>
  <c r="AJ110" i="2"/>
  <c r="AI110" i="2"/>
  <c r="AK62" i="11" s="1"/>
  <c r="AK77" i="11" s="1"/>
  <c r="AH110" i="2"/>
  <c r="AG110" i="2"/>
  <c r="AF110" i="2"/>
  <c r="AH62" i="11" s="1"/>
  <c r="AH77" i="11" s="1"/>
  <c r="AE110" i="2"/>
  <c r="AD110" i="2"/>
  <c r="AF62" i="11" s="1"/>
  <c r="AF77" i="11" s="1"/>
  <c r="AC110" i="2"/>
  <c r="AE62" i="11" s="1"/>
  <c r="AE77" i="11" s="1"/>
  <c r="AB110" i="2"/>
  <c r="AA110" i="2"/>
  <c r="AC62" i="11" s="1"/>
  <c r="AC77" i="11" s="1"/>
  <c r="Z110" i="2"/>
  <c r="Y110" i="2"/>
  <c r="AA62" i="11" s="1"/>
  <c r="AA77" i="11" s="1"/>
  <c r="X110" i="2"/>
  <c r="Z62" i="11" s="1"/>
  <c r="Z77" i="11" s="1"/>
  <c r="W110" i="2"/>
  <c r="V110" i="2"/>
  <c r="U110" i="2"/>
  <c r="T110" i="2"/>
  <c r="S110" i="2"/>
  <c r="R110" i="2"/>
  <c r="Q110" i="2"/>
  <c r="P110" i="2"/>
  <c r="R62" i="11" s="1"/>
  <c r="R77" i="11" s="1"/>
  <c r="O110" i="2"/>
  <c r="N110" i="2"/>
  <c r="P62" i="11" s="1"/>
  <c r="AK109" i="2"/>
  <c r="AJ109" i="2"/>
  <c r="AI109" i="2"/>
  <c r="AH109" i="2"/>
  <c r="AH112" i="2" s="1"/>
  <c r="AG109" i="2"/>
  <c r="AG112" i="2" s="1"/>
  <c r="AF109" i="2"/>
  <c r="AE109" i="2"/>
  <c r="AD109" i="2"/>
  <c r="AC109" i="2"/>
  <c r="AB109" i="2"/>
  <c r="AA109" i="2"/>
  <c r="Z109" i="2"/>
  <c r="AK108" i="2"/>
  <c r="AJ108" i="2"/>
  <c r="AI108" i="2"/>
  <c r="AH108" i="2"/>
  <c r="AJ56" i="11" s="1"/>
  <c r="AJ75" i="11" s="1"/>
  <c r="AG108" i="2"/>
  <c r="AI56" i="11" s="1"/>
  <c r="AI75" i="11" s="1"/>
  <c r="AF108" i="2"/>
  <c r="AE108" i="2"/>
  <c r="AD108" i="2"/>
  <c r="AC108" i="2"/>
  <c r="AB108" i="2"/>
  <c r="AD56" i="11" s="1"/>
  <c r="AD75" i="11" s="1"/>
  <c r="AA108" i="2"/>
  <c r="Z108" i="2"/>
  <c r="Y108" i="2"/>
  <c r="AA56" i="11" s="1"/>
  <c r="AA75" i="11" s="1"/>
  <c r="X108" i="2"/>
  <c r="W108" i="2"/>
  <c r="V108" i="2"/>
  <c r="U108" i="2"/>
  <c r="T108" i="2"/>
  <c r="S108" i="2"/>
  <c r="R108" i="2"/>
  <c r="T56" i="11" s="1"/>
  <c r="T75" i="11" s="1"/>
  <c r="Q108" i="2"/>
  <c r="S56" i="11" s="1"/>
  <c r="S75" i="11" s="1"/>
  <c r="P108" i="2"/>
  <c r="O108" i="2"/>
  <c r="N108" i="2"/>
  <c r="AF106" i="2"/>
  <c r="Y106" i="2"/>
  <c r="T106" i="2"/>
  <c r="R106" i="2"/>
  <c r="Q106" i="2"/>
  <c r="AR105" i="2"/>
  <c r="AR106" i="2" s="1"/>
  <c r="AQ105" i="2"/>
  <c r="AP105" i="2"/>
  <c r="AP106" i="2" s="1"/>
  <c r="AO105" i="2"/>
  <c r="AO106" i="2" s="1"/>
  <c r="AN105" i="2"/>
  <c r="AM105" i="2"/>
  <c r="AM106" i="2" s="1"/>
  <c r="AL105" i="2"/>
  <c r="AL106" i="2" s="1"/>
  <c r="AK105" i="2"/>
  <c r="AJ105" i="2"/>
  <c r="AJ106" i="2" s="1"/>
  <c r="AI105" i="2"/>
  <c r="AI106" i="2" s="1"/>
  <c r="AH105" i="2"/>
  <c r="AG105" i="2"/>
  <c r="AF105" i="2"/>
  <c r="AE105" i="2"/>
  <c r="AE106" i="2" s="1"/>
  <c r="AD105" i="2"/>
  <c r="AD106" i="2" s="1"/>
  <c r="AC105" i="2"/>
  <c r="AC106" i="2" s="1"/>
  <c r="AB105" i="2"/>
  <c r="AB106" i="2" s="1"/>
  <c r="AA105" i="2"/>
  <c r="Z105" i="2"/>
  <c r="Z106" i="2" s="1"/>
  <c r="E105" i="2"/>
  <c r="Y104" i="2"/>
  <c r="X104" i="2"/>
  <c r="X106" i="2" s="1"/>
  <c r="W104" i="2"/>
  <c r="V104" i="2"/>
  <c r="U104" i="2"/>
  <c r="U106" i="2" s="1"/>
  <c r="T104" i="2"/>
  <c r="V64" i="11" s="1"/>
  <c r="S104" i="2"/>
  <c r="U64" i="11" s="1"/>
  <c r="R104" i="2"/>
  <c r="Q104" i="2"/>
  <c r="S64" i="11" s="1"/>
  <c r="P104" i="2"/>
  <c r="P106" i="2" s="1"/>
  <c r="O104" i="2"/>
  <c r="O106" i="2" s="1"/>
  <c r="N104" i="2"/>
  <c r="N106" i="2" s="1"/>
  <c r="H104" i="2"/>
  <c r="AR99" i="2"/>
  <c r="AQ99" i="2"/>
  <c r="AS57" i="11" s="1"/>
  <c r="AP99" i="2"/>
  <c r="AO99" i="2"/>
  <c r="AQ57" i="11" s="1"/>
  <c r="AN99" i="2"/>
  <c r="AM99" i="2"/>
  <c r="AO57" i="11" s="1"/>
  <c r="AL99" i="2"/>
  <c r="AN57" i="11" s="1"/>
  <c r="AK99" i="2"/>
  <c r="AJ99" i="2"/>
  <c r="AL57" i="11" s="1"/>
  <c r="AI99" i="2"/>
  <c r="AH99" i="2"/>
  <c r="AG99" i="2"/>
  <c r="AI57" i="11" s="1"/>
  <c r="AF99" i="2"/>
  <c r="AE99" i="2"/>
  <c r="AD99" i="2"/>
  <c r="AF57" i="11" s="1"/>
  <c r="AC99" i="2"/>
  <c r="AB99" i="2"/>
  <c r="AA99" i="2"/>
  <c r="Z99" i="2"/>
  <c r="Y99" i="2"/>
  <c r="AA57" i="11" s="1"/>
  <c r="X99" i="2"/>
  <c r="W99" i="2"/>
  <c r="Y57" i="11" s="1"/>
  <c r="V99" i="2"/>
  <c r="X57" i="11" s="1"/>
  <c r="U99" i="2"/>
  <c r="T99" i="2"/>
  <c r="V57" i="11" s="1"/>
  <c r="S99" i="2"/>
  <c r="R99" i="2"/>
  <c r="T57" i="11" s="1"/>
  <c r="Q99" i="2"/>
  <c r="S57" i="11" s="1"/>
  <c r="P99" i="2"/>
  <c r="O99" i="2"/>
  <c r="N99" i="2"/>
  <c r="P57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H97" i="2" s="1"/>
  <c r="E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D50" i="11" s="1"/>
  <c r="AA95" i="2"/>
  <c r="Z95" i="2"/>
  <c r="AR94" i="2"/>
  <c r="AQ94" i="2"/>
  <c r="AP94" i="2"/>
  <c r="AO94" i="2"/>
  <c r="AN94" i="2"/>
  <c r="AM94" i="2"/>
  <c r="AL94" i="2"/>
  <c r="AK94" i="2"/>
  <c r="AJ94" i="2"/>
  <c r="AL50" i="11" s="1"/>
  <c r="K65" i="17" s="1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H93" i="2"/>
  <c r="AR92" i="2"/>
  <c r="AR98" i="2" s="1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E50" i="11" s="1"/>
  <c r="AB92" i="2"/>
  <c r="AA92" i="2"/>
  <c r="Z92" i="2"/>
  <c r="AR91" i="2"/>
  <c r="AQ91" i="2"/>
  <c r="AQ98" i="2" s="1"/>
  <c r="AP91" i="2"/>
  <c r="AO91" i="2"/>
  <c r="AN91" i="2"/>
  <c r="AP50" i="11" s="1"/>
  <c r="O65" i="17" s="1"/>
  <c r="AM91" i="2"/>
  <c r="AL91" i="2"/>
  <c r="I91" i="2" s="1"/>
  <c r="AK91" i="2"/>
  <c r="AM50" i="11" s="1"/>
  <c r="L65" i="17" s="1"/>
  <c r="AJ91" i="2"/>
  <c r="AI91" i="2"/>
  <c r="AH91" i="2"/>
  <c r="AG91" i="2"/>
  <c r="AF91" i="2"/>
  <c r="AH50" i="11" s="1"/>
  <c r="G65" i="17" s="1"/>
  <c r="AE91" i="2"/>
  <c r="AD91" i="2"/>
  <c r="AC91" i="2"/>
  <c r="AB91" i="2"/>
  <c r="AA91" i="2"/>
  <c r="AA98" i="2" s="1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S36" i="11" s="1"/>
  <c r="AP87" i="2"/>
  <c r="AO87" i="2"/>
  <c r="AN87" i="2"/>
  <c r="AP36" i="11" s="1"/>
  <c r="AM87" i="2"/>
  <c r="AO36" i="11" s="1"/>
  <c r="AL87" i="2"/>
  <c r="AK87" i="2"/>
  <c r="AJ87" i="2"/>
  <c r="AL36" i="11" s="1"/>
  <c r="K13" i="17" s="1"/>
  <c r="AI87" i="2"/>
  <c r="AH87" i="2"/>
  <c r="AG87" i="2"/>
  <c r="AF87" i="2"/>
  <c r="AE87" i="2"/>
  <c r="AD87" i="2"/>
  <c r="AC87" i="2"/>
  <c r="AB87" i="2"/>
  <c r="AA87" i="2"/>
  <c r="AC36" i="11" s="1"/>
  <c r="AC103" i="11" s="1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AG85" i="2"/>
  <c r="Q85" i="2"/>
  <c r="P85" i="2"/>
  <c r="P100" i="2" s="1"/>
  <c r="AR84" i="2"/>
  <c r="AQ84" i="2"/>
  <c r="AQ85" i="2" s="1"/>
  <c r="AP84" i="2"/>
  <c r="AR53" i="11" s="1"/>
  <c r="Q68" i="17" s="1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K84" i="2" s="1"/>
  <c r="E84" i="2"/>
  <c r="AR83" i="2"/>
  <c r="AT53" i="11" s="1"/>
  <c r="S68" i="17" s="1"/>
  <c r="AQ83" i="2"/>
  <c r="AP83" i="2"/>
  <c r="AO83" i="2"/>
  <c r="AN83" i="2"/>
  <c r="AM83" i="2"/>
  <c r="AM85" i="2" s="1"/>
  <c r="AL83" i="2"/>
  <c r="AK83" i="2"/>
  <c r="AJ83" i="2"/>
  <c r="AI83" i="2"/>
  <c r="AK53" i="11" s="1"/>
  <c r="J68" i="17" s="1"/>
  <c r="AH83" i="2"/>
  <c r="AJ53" i="11" s="1"/>
  <c r="I68" i="17" s="1"/>
  <c r="AG83" i="2"/>
  <c r="AF83" i="2"/>
  <c r="AH53" i="11" s="1"/>
  <c r="G68" i="17" s="1"/>
  <c r="AE83" i="2"/>
  <c r="AD83" i="2"/>
  <c r="AC83" i="2"/>
  <c r="AB83" i="2"/>
  <c r="AD53" i="11" s="1"/>
  <c r="AA83" i="2"/>
  <c r="Z83" i="2"/>
  <c r="AR82" i="2"/>
  <c r="AQ82" i="2"/>
  <c r="AP82" i="2"/>
  <c r="AO82" i="2"/>
  <c r="AN82" i="2"/>
  <c r="AM82" i="2"/>
  <c r="AL82" i="2"/>
  <c r="AL85" i="2" s="1"/>
  <c r="AK82" i="2"/>
  <c r="AJ82" i="2"/>
  <c r="AI82" i="2"/>
  <c r="AI85" i="2" s="1"/>
  <c r="AH82" i="2"/>
  <c r="AH85" i="2" s="1"/>
  <c r="AG82" i="2"/>
  <c r="AF82" i="2"/>
  <c r="AE82" i="2"/>
  <c r="AD82" i="2"/>
  <c r="AC82" i="2"/>
  <c r="AB82" i="2"/>
  <c r="AA82" i="2"/>
  <c r="Z82" i="2"/>
  <c r="Y82" i="2"/>
  <c r="X82" i="2"/>
  <c r="X85" i="2" s="1"/>
  <c r="W82" i="2"/>
  <c r="W85" i="2" s="1"/>
  <c r="V82" i="2"/>
  <c r="V85" i="2" s="1"/>
  <c r="U82" i="2"/>
  <c r="T82" i="2"/>
  <c r="T85" i="2" s="1"/>
  <c r="S82" i="2"/>
  <c r="S85" i="2" s="1"/>
  <c r="S100" i="2" s="1"/>
  <c r="R82" i="2"/>
  <c r="R85" i="2" s="1"/>
  <c r="Q82" i="2"/>
  <c r="P82" i="2"/>
  <c r="O82" i="2"/>
  <c r="O85" i="2" s="1"/>
  <c r="N82" i="2"/>
  <c r="N85" i="2" s="1"/>
  <c r="AR80" i="2"/>
  <c r="AQ80" i="2"/>
  <c r="AP80" i="2"/>
  <c r="AO80" i="2"/>
  <c r="AQ35" i="11" s="1"/>
  <c r="P12" i="17" s="1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61" i="11" s="1"/>
  <c r="AT83" i="11" s="1"/>
  <c r="AQ78" i="2"/>
  <c r="AP78" i="2"/>
  <c r="AR61" i="11" s="1"/>
  <c r="AR83" i="11" s="1"/>
  <c r="AO78" i="2"/>
  <c r="AN78" i="2"/>
  <c r="AP61" i="11" s="1"/>
  <c r="AP83" i="11" s="1"/>
  <c r="AM78" i="2"/>
  <c r="AO61" i="11" s="1"/>
  <c r="AO83" i="11" s="1"/>
  <c r="AL78" i="2"/>
  <c r="AK78" i="2"/>
  <c r="AM61" i="11" s="1"/>
  <c r="AM83" i="11" s="1"/>
  <c r="AJ78" i="2"/>
  <c r="AI78" i="2"/>
  <c r="AH78" i="2"/>
  <c r="AJ61" i="11" s="1"/>
  <c r="AJ83" i="11" s="1"/>
  <c r="AG78" i="2"/>
  <c r="AF78" i="2"/>
  <c r="AE78" i="2"/>
  <c r="AG61" i="11" s="1"/>
  <c r="AG83" i="11" s="1"/>
  <c r="AD78" i="2"/>
  <c r="AC78" i="2"/>
  <c r="AE61" i="11" s="1"/>
  <c r="AE83" i="11" s="1"/>
  <c r="AB78" i="2"/>
  <c r="AD61" i="11" s="1"/>
  <c r="AD83" i="11" s="1"/>
  <c r="AA78" i="2"/>
  <c r="Z78" i="2"/>
  <c r="Y78" i="2"/>
  <c r="X78" i="2"/>
  <c r="W78" i="2"/>
  <c r="Y61" i="11" s="1"/>
  <c r="Y83" i="11" s="1"/>
  <c r="V78" i="2"/>
  <c r="U78" i="2"/>
  <c r="W61" i="11" s="1"/>
  <c r="W83" i="11" s="1"/>
  <c r="T78" i="2"/>
  <c r="S78" i="2"/>
  <c r="R78" i="2"/>
  <c r="T61" i="11" s="1"/>
  <c r="T83" i="11" s="1"/>
  <c r="Q78" i="2"/>
  <c r="P78" i="2"/>
  <c r="O78" i="2"/>
  <c r="Q61" i="11" s="1"/>
  <c r="Q83" i="11" s="1"/>
  <c r="N78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Q76" i="2"/>
  <c r="AP76" i="2"/>
  <c r="AO76" i="2"/>
  <c r="AN76" i="2"/>
  <c r="AM76" i="2"/>
  <c r="AL76" i="2"/>
  <c r="AN43" i="11" s="1"/>
  <c r="M44" i="17" s="1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X43" i="11" s="1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H75" i="2"/>
  <c r="AR74" i="2"/>
  <c r="AQ74" i="2"/>
  <c r="AP74" i="2"/>
  <c r="AO74" i="2"/>
  <c r="AN74" i="2"/>
  <c r="AM74" i="2"/>
  <c r="AO52" i="11" s="1"/>
  <c r="N67" i="17" s="1"/>
  <c r="AL74" i="2"/>
  <c r="AK74" i="2"/>
  <c r="AM52" i="11" s="1"/>
  <c r="L67" i="17" s="1"/>
  <c r="AJ74" i="2"/>
  <c r="AI74" i="2"/>
  <c r="AH74" i="2"/>
  <c r="AJ52" i="11" s="1"/>
  <c r="I67" i="17" s="1"/>
  <c r="AG74" i="2"/>
  <c r="AI52" i="11" s="1"/>
  <c r="H67" i="17" s="1"/>
  <c r="AF74" i="2"/>
  <c r="AE74" i="2"/>
  <c r="AG52" i="11" s="1"/>
  <c r="AD74" i="2"/>
  <c r="AF52" i="11" s="1"/>
  <c r="AC74" i="2"/>
  <c r="AE52" i="11" s="1"/>
  <c r="AB74" i="2"/>
  <c r="AA74" i="2"/>
  <c r="Z74" i="2"/>
  <c r="Y74" i="2"/>
  <c r="X74" i="2"/>
  <c r="W74" i="2"/>
  <c r="V74" i="2"/>
  <c r="U74" i="2"/>
  <c r="W52" i="11" s="1"/>
  <c r="T74" i="2"/>
  <c r="S74" i="2"/>
  <c r="R74" i="2"/>
  <c r="T52" i="11" s="1"/>
  <c r="Q74" i="2"/>
  <c r="P74" i="2"/>
  <c r="O74" i="2"/>
  <c r="Q52" i="11" s="1"/>
  <c r="N74" i="2"/>
  <c r="P52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X65" i="11" s="1"/>
  <c r="U72" i="2"/>
  <c r="T72" i="2"/>
  <c r="S72" i="2"/>
  <c r="U65" i="11" s="1"/>
  <c r="R72" i="2"/>
  <c r="Q72" i="2"/>
  <c r="P72" i="2"/>
  <c r="O72" i="2"/>
  <c r="N72" i="2"/>
  <c r="I72" i="2"/>
  <c r="H72" i="2"/>
  <c r="Y71" i="2"/>
  <c r="X71" i="2"/>
  <c r="W71" i="2"/>
  <c r="K71" i="2" s="1"/>
  <c r="V71" i="2"/>
  <c r="U71" i="2"/>
  <c r="T71" i="2"/>
  <c r="S71" i="2"/>
  <c r="R71" i="2"/>
  <c r="Q71" i="2"/>
  <c r="P71" i="2"/>
  <c r="O71" i="2"/>
  <c r="N71" i="2"/>
  <c r="H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5" i="11" s="1"/>
  <c r="S70" i="17" s="1"/>
  <c r="AQ68" i="2"/>
  <c r="AP68" i="2"/>
  <c r="AO68" i="2"/>
  <c r="AN68" i="2"/>
  <c r="AM68" i="2"/>
  <c r="AL68" i="2"/>
  <c r="AK68" i="2"/>
  <c r="AJ68" i="2"/>
  <c r="AL55" i="11" s="1"/>
  <c r="K70" i="17" s="1"/>
  <c r="AI68" i="2"/>
  <c r="AH68" i="2"/>
  <c r="AJ55" i="11" s="1"/>
  <c r="I70" i="17" s="1"/>
  <c r="AG68" i="2"/>
  <c r="AI55" i="11" s="1"/>
  <c r="H70" i="17" s="1"/>
  <c r="AF68" i="2"/>
  <c r="AE68" i="2"/>
  <c r="AD68" i="2"/>
  <c r="AC68" i="2"/>
  <c r="AB68" i="2"/>
  <c r="AD55" i="11" s="1"/>
  <c r="AA68" i="2"/>
  <c r="Z68" i="2"/>
  <c r="Y68" i="2"/>
  <c r="X68" i="2"/>
  <c r="W68" i="2"/>
  <c r="V68" i="2"/>
  <c r="K68" i="2" s="1"/>
  <c r="U68" i="2"/>
  <c r="T68" i="2"/>
  <c r="V55" i="11" s="1"/>
  <c r="S68" i="2"/>
  <c r="R68" i="2"/>
  <c r="T55" i="11" s="1"/>
  <c r="Q68" i="2"/>
  <c r="P68" i="2"/>
  <c r="O68" i="2"/>
  <c r="N68" i="2"/>
  <c r="H68" i="2"/>
  <c r="AR67" i="2"/>
  <c r="AQ67" i="2"/>
  <c r="AP67" i="2"/>
  <c r="AO67" i="2"/>
  <c r="AN67" i="2"/>
  <c r="AM67" i="2"/>
  <c r="AL67" i="2"/>
  <c r="AK67" i="2"/>
  <c r="AJ67" i="2"/>
  <c r="AI67" i="2"/>
  <c r="AH67" i="2"/>
  <c r="AJ48" i="11" s="1"/>
  <c r="AG67" i="2"/>
  <c r="AF67" i="2"/>
  <c r="AE67" i="2"/>
  <c r="AD67" i="2"/>
  <c r="AC67" i="2"/>
  <c r="AB67" i="2"/>
  <c r="AA67" i="2"/>
  <c r="Z67" i="2"/>
  <c r="Y67" i="2"/>
  <c r="X67" i="2"/>
  <c r="W67" i="2"/>
  <c r="Y48" i="11" s="1"/>
  <c r="V67" i="2"/>
  <c r="U67" i="2"/>
  <c r="T67" i="2"/>
  <c r="S67" i="2"/>
  <c r="R67" i="2"/>
  <c r="T48" i="11" s="1"/>
  <c r="Q67" i="2"/>
  <c r="P67" i="2"/>
  <c r="O67" i="2"/>
  <c r="N67" i="2"/>
  <c r="AR66" i="2"/>
  <c r="AQ66" i="2"/>
  <c r="AQ69" i="2" s="1"/>
  <c r="AP66" i="2"/>
  <c r="AO66" i="2"/>
  <c r="AN66" i="2"/>
  <c r="AM66" i="2"/>
  <c r="AL66" i="2"/>
  <c r="AK66" i="2"/>
  <c r="AK69" i="2" s="1"/>
  <c r="AJ66" i="2"/>
  <c r="AI66" i="2"/>
  <c r="AH66" i="2"/>
  <c r="AH69" i="2" s="1"/>
  <c r="AG66" i="2"/>
  <c r="AG69" i="2" s="1"/>
  <c r="AF66" i="2"/>
  <c r="AE66" i="2"/>
  <c r="AD66" i="2"/>
  <c r="AC66" i="2"/>
  <c r="AC69" i="2" s="1"/>
  <c r="AB66" i="2"/>
  <c r="AA66" i="2"/>
  <c r="AA69" i="2" s="1"/>
  <c r="Z66" i="2"/>
  <c r="Y66" i="2"/>
  <c r="X66" i="2"/>
  <c r="X69" i="2" s="1"/>
  <c r="W66" i="2"/>
  <c r="V66" i="2"/>
  <c r="U66" i="2"/>
  <c r="U69" i="2" s="1"/>
  <c r="T66" i="2"/>
  <c r="S66" i="2"/>
  <c r="R66" i="2"/>
  <c r="R69" i="2" s="1"/>
  <c r="Q66" i="2"/>
  <c r="P66" i="2"/>
  <c r="O66" i="2"/>
  <c r="N66" i="2"/>
  <c r="AR64" i="2"/>
  <c r="AT59" i="11" s="1"/>
  <c r="AQ64" i="2"/>
  <c r="AP64" i="2"/>
  <c r="AO64" i="2"/>
  <c r="AQ59" i="11" s="1"/>
  <c r="AN64" i="2"/>
  <c r="AM64" i="2"/>
  <c r="AL64" i="2"/>
  <c r="AN59" i="11" s="1"/>
  <c r="AK64" i="2"/>
  <c r="AJ64" i="2"/>
  <c r="AL59" i="11" s="1"/>
  <c r="AI64" i="2"/>
  <c r="AH64" i="2"/>
  <c r="AG64" i="2"/>
  <c r="AI59" i="11" s="1"/>
  <c r="AF64" i="2"/>
  <c r="AE64" i="2"/>
  <c r="AD64" i="2"/>
  <c r="AC64" i="2"/>
  <c r="AB64" i="2"/>
  <c r="AD59" i="11" s="1"/>
  <c r="AA64" i="2"/>
  <c r="Z64" i="2"/>
  <c r="Y64" i="2"/>
  <c r="AA59" i="11" s="1"/>
  <c r="X64" i="2"/>
  <c r="W64" i="2"/>
  <c r="V64" i="2"/>
  <c r="X59" i="11" s="1"/>
  <c r="U64" i="2"/>
  <c r="T64" i="2"/>
  <c r="V59" i="11" s="1"/>
  <c r="S64" i="2"/>
  <c r="R64" i="2"/>
  <c r="Q64" i="2"/>
  <c r="S59" i="11" s="1"/>
  <c r="P64" i="2"/>
  <c r="O64" i="2"/>
  <c r="N64" i="2"/>
  <c r="AR63" i="2"/>
  <c r="AG96" i="16" s="1"/>
  <c r="AQ63" i="2"/>
  <c r="AP63" i="2"/>
  <c r="AO63" i="2"/>
  <c r="AN63" i="2"/>
  <c r="AM63" i="2"/>
  <c r="AL63" i="2"/>
  <c r="AK63" i="2"/>
  <c r="AJ63" i="2"/>
  <c r="AI63" i="2"/>
  <c r="X96" i="16" s="1"/>
  <c r="AH63" i="2"/>
  <c r="AG63" i="2"/>
  <c r="V96" i="16" s="1"/>
  <c r="AF63" i="2"/>
  <c r="U96" i="16" s="1"/>
  <c r="AE63" i="2"/>
  <c r="AD63" i="2"/>
  <c r="S96" i="16" s="1"/>
  <c r="AC63" i="2"/>
  <c r="AB63" i="2"/>
  <c r="AD31" i="11" s="1"/>
  <c r="AA63" i="2"/>
  <c r="P96" i="16" s="1"/>
  <c r="Z63" i="2"/>
  <c r="Y63" i="2"/>
  <c r="X63" i="2"/>
  <c r="W63" i="2"/>
  <c r="V63" i="2"/>
  <c r="U63" i="2"/>
  <c r="T63" i="2"/>
  <c r="S63" i="2"/>
  <c r="H96" i="16" s="1"/>
  <c r="R63" i="2"/>
  <c r="G96" i="16" s="1"/>
  <c r="Q63" i="2"/>
  <c r="F96" i="16" s="1"/>
  <c r="P63" i="2"/>
  <c r="O63" i="2"/>
  <c r="D96" i="16" s="1"/>
  <c r="N63" i="2"/>
  <c r="S62" i="2"/>
  <c r="AR61" i="2"/>
  <c r="AQ61" i="2"/>
  <c r="AS39" i="11" s="1"/>
  <c r="R16" i="17" s="1"/>
  <c r="AP61" i="2"/>
  <c r="AO61" i="2"/>
  <c r="AN61" i="2"/>
  <c r="AP39" i="11" s="1"/>
  <c r="O16" i="17" s="1"/>
  <c r="AM61" i="2"/>
  <c r="AL61" i="2"/>
  <c r="AK61" i="2"/>
  <c r="AJ61" i="2"/>
  <c r="AI61" i="2"/>
  <c r="AH61" i="2"/>
  <c r="AG61" i="2"/>
  <c r="AF61" i="2"/>
  <c r="AE61" i="2"/>
  <c r="AD61" i="2"/>
  <c r="AF39" i="11" s="1"/>
  <c r="AC61" i="2"/>
  <c r="AB61" i="2"/>
  <c r="AA61" i="2"/>
  <c r="AC39" i="11" s="1"/>
  <c r="Z61" i="2"/>
  <c r="Y61" i="2"/>
  <c r="X61" i="2"/>
  <c r="Z39" i="11" s="1"/>
  <c r="W61" i="2"/>
  <c r="V61" i="2"/>
  <c r="U61" i="2"/>
  <c r="T61" i="2"/>
  <c r="S61" i="2"/>
  <c r="R61" i="2"/>
  <c r="Q61" i="2"/>
  <c r="P61" i="2"/>
  <c r="O61" i="2"/>
  <c r="N61" i="2"/>
  <c r="P39" i="11" s="1"/>
  <c r="AR60" i="2"/>
  <c r="AQ60" i="2"/>
  <c r="AP60" i="2"/>
  <c r="AR39" i="11" s="1"/>
  <c r="Q16" i="17" s="1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E39" i="11" s="1"/>
  <c r="AB60" i="2"/>
  <c r="AA60" i="2"/>
  <c r="Z60" i="2"/>
  <c r="AB39" i="11" s="1"/>
  <c r="Y60" i="2"/>
  <c r="X60" i="2"/>
  <c r="W60" i="2"/>
  <c r="V60" i="2"/>
  <c r="U60" i="2"/>
  <c r="T60" i="2"/>
  <c r="V39" i="11" s="1"/>
  <c r="S60" i="2"/>
  <c r="R60" i="2"/>
  <c r="Q60" i="2"/>
  <c r="S39" i="11" s="1"/>
  <c r="P60" i="2"/>
  <c r="O60" i="2"/>
  <c r="N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X39" i="11" s="1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M39" i="11" s="1"/>
  <c r="L16" i="17" s="1"/>
  <c r="AJ58" i="2"/>
  <c r="AI58" i="2"/>
  <c r="AH58" i="2"/>
  <c r="AG58" i="2"/>
  <c r="AF58" i="2"/>
  <c r="AE58" i="2"/>
  <c r="AD58" i="2"/>
  <c r="AC58" i="2"/>
  <c r="AB58" i="2"/>
  <c r="AA58" i="2"/>
  <c r="Z58" i="2"/>
  <c r="E58" i="2"/>
  <c r="AR57" i="2"/>
  <c r="AT39" i="11" s="1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G39" i="11" s="1"/>
  <c r="AD57" i="2"/>
  <c r="AC57" i="2"/>
  <c r="AB57" i="2"/>
  <c r="H57" i="2" s="1"/>
  <c r="AA57" i="2"/>
  <c r="Z57" i="2"/>
  <c r="Y57" i="2"/>
  <c r="AA39" i="11" s="1"/>
  <c r="X57" i="2"/>
  <c r="W57" i="2"/>
  <c r="V57" i="2"/>
  <c r="U57" i="2"/>
  <c r="T57" i="2"/>
  <c r="S57" i="2"/>
  <c r="R57" i="2"/>
  <c r="Q57" i="2"/>
  <c r="P57" i="2"/>
  <c r="O57" i="2"/>
  <c r="Q39" i="11" s="1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R62" i="2" s="1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L39" i="11" s="1"/>
  <c r="K16" i="17" s="1"/>
  <c r="AI55" i="2"/>
  <c r="AH55" i="2"/>
  <c r="AG55" i="2"/>
  <c r="AI39" i="11" s="1"/>
  <c r="H16" i="17" s="1"/>
  <c r="AF55" i="2"/>
  <c r="AE55" i="2"/>
  <c r="AD55" i="2"/>
  <c r="AC55" i="2"/>
  <c r="AB55" i="2"/>
  <c r="AA55" i="2"/>
  <c r="Z55" i="2"/>
  <c r="E55" i="2"/>
  <c r="AR53" i="2"/>
  <c r="AQ53" i="2"/>
  <c r="AS65" i="11" s="1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Q65" i="11" s="1"/>
  <c r="N51" i="2"/>
  <c r="AR46" i="2"/>
  <c r="AQ46" i="2"/>
  <c r="AP46" i="2"/>
  <c r="AO46" i="2"/>
  <c r="AN46" i="2"/>
  <c r="AP44" i="11" s="1"/>
  <c r="O45" i="17" s="1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E46" i="2"/>
  <c r="AR45" i="2"/>
  <c r="AT65" i="11" s="1"/>
  <c r="AQ45" i="2"/>
  <c r="AP45" i="2"/>
  <c r="AO45" i="2"/>
  <c r="AN45" i="2"/>
  <c r="AM45" i="2"/>
  <c r="AO65" i="11" s="1"/>
  <c r="AL45" i="2"/>
  <c r="AK45" i="2"/>
  <c r="AJ45" i="2"/>
  <c r="AI45" i="2"/>
  <c r="AH45" i="2"/>
  <c r="AG45" i="2"/>
  <c r="AF45" i="2"/>
  <c r="AE45" i="2"/>
  <c r="AG65" i="11" s="1"/>
  <c r="AD45" i="2"/>
  <c r="AC45" i="2"/>
  <c r="AB45" i="2"/>
  <c r="AD65" i="11" s="1"/>
  <c r="AA45" i="2"/>
  <c r="Z45" i="2"/>
  <c r="E45" i="2"/>
  <c r="AR44" i="2"/>
  <c r="AQ44" i="2"/>
  <c r="AP44" i="2"/>
  <c r="AO44" i="2"/>
  <c r="AN44" i="2"/>
  <c r="AP42" i="11" s="1"/>
  <c r="AM44" i="2"/>
  <c r="AL44" i="2"/>
  <c r="AK44" i="2"/>
  <c r="AM42" i="11" s="1"/>
  <c r="AJ44" i="2"/>
  <c r="AI44" i="2"/>
  <c r="AK42" i="11" s="1"/>
  <c r="J43" i="17" s="1"/>
  <c r="AH44" i="2"/>
  <c r="AJ42" i="11" s="1"/>
  <c r="AG44" i="2"/>
  <c r="AF44" i="2"/>
  <c r="AH42" i="11" s="1"/>
  <c r="AE44" i="2"/>
  <c r="AD44" i="2"/>
  <c r="AC44" i="2"/>
  <c r="AB44" i="2"/>
  <c r="AA44" i="2"/>
  <c r="Z44" i="2"/>
  <c r="Y44" i="2"/>
  <c r="X44" i="2"/>
  <c r="Z42" i="11" s="1"/>
  <c r="W44" i="2"/>
  <c r="V44" i="2"/>
  <c r="U44" i="2"/>
  <c r="W42" i="11" s="1"/>
  <c r="T44" i="2"/>
  <c r="S44" i="2"/>
  <c r="U42" i="11" s="1"/>
  <c r="R44" i="2"/>
  <c r="T42" i="11" s="1"/>
  <c r="Q44" i="2"/>
  <c r="P44" i="2"/>
  <c r="R42" i="11" s="1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I43" i="2"/>
  <c r="E43" i="2"/>
  <c r="AR42" i="2"/>
  <c r="AT49" i="11" s="1"/>
  <c r="S64" i="17" s="1"/>
  <c r="AQ42" i="2"/>
  <c r="AP42" i="2"/>
  <c r="AR49" i="11" s="1"/>
  <c r="AO42" i="2"/>
  <c r="AN42" i="2"/>
  <c r="AM42" i="2"/>
  <c r="AL42" i="2"/>
  <c r="AK42" i="2"/>
  <c r="AM49" i="11" s="1"/>
  <c r="AJ42" i="2"/>
  <c r="AI42" i="2"/>
  <c r="AH42" i="2"/>
  <c r="AJ49" i="11" s="1"/>
  <c r="AG42" i="2"/>
  <c r="AF42" i="2"/>
  <c r="AH49" i="11" s="1"/>
  <c r="AE42" i="2"/>
  <c r="AD42" i="2"/>
  <c r="AC42" i="2"/>
  <c r="AB42" i="2"/>
  <c r="AA42" i="2"/>
  <c r="Z42" i="2"/>
  <c r="AB49" i="11" s="1"/>
  <c r="Y42" i="2"/>
  <c r="X42" i="2"/>
  <c r="W42" i="2"/>
  <c r="V42" i="2"/>
  <c r="U42" i="2"/>
  <c r="W49" i="11" s="1"/>
  <c r="T42" i="2"/>
  <c r="S42" i="2"/>
  <c r="R42" i="2"/>
  <c r="T49" i="11" s="1"/>
  <c r="Q42" i="2"/>
  <c r="P42" i="2"/>
  <c r="R49" i="11" s="1"/>
  <c r="O42" i="2"/>
  <c r="N42" i="2"/>
  <c r="AR41" i="2"/>
  <c r="AT51" i="11" s="1"/>
  <c r="S66" i="17" s="1"/>
  <c r="AQ41" i="2"/>
  <c r="AP41" i="2"/>
  <c r="AO41" i="2"/>
  <c r="AN41" i="2"/>
  <c r="AM41" i="2"/>
  <c r="AL41" i="2"/>
  <c r="AK41" i="2"/>
  <c r="AJ41" i="2"/>
  <c r="AI41" i="2"/>
  <c r="AH41" i="2"/>
  <c r="AG41" i="2"/>
  <c r="AI51" i="11" s="1"/>
  <c r="H66" i="17" s="1"/>
  <c r="AF41" i="2"/>
  <c r="AE41" i="2"/>
  <c r="AG51" i="11" s="1"/>
  <c r="AD41" i="2"/>
  <c r="AF51" i="11" s="1"/>
  <c r="AC41" i="2"/>
  <c r="AB41" i="2"/>
  <c r="AD51" i="11" s="1"/>
  <c r="AA41" i="2"/>
  <c r="Z41" i="2"/>
  <c r="Y41" i="2"/>
  <c r="AA51" i="11" s="1"/>
  <c r="X41" i="2"/>
  <c r="W41" i="2"/>
  <c r="V41" i="2"/>
  <c r="U41" i="2"/>
  <c r="T41" i="2"/>
  <c r="S41" i="2"/>
  <c r="R41" i="2"/>
  <c r="Q41" i="2"/>
  <c r="S51" i="11" s="1"/>
  <c r="P41" i="2"/>
  <c r="O41" i="2"/>
  <c r="Q51" i="11" s="1"/>
  <c r="N41" i="2"/>
  <c r="P51" i="11" s="1"/>
  <c r="AR40" i="2"/>
  <c r="AT60" i="11" s="1"/>
  <c r="C160" i="11" s="1"/>
  <c r="K60" i="11" s="1"/>
  <c r="AQ40" i="2"/>
  <c r="AS60" i="11" s="1"/>
  <c r="AP40" i="2"/>
  <c r="AO40" i="2"/>
  <c r="AQ60" i="11" s="1"/>
  <c r="AN40" i="2"/>
  <c r="AM40" i="2"/>
  <c r="AL40" i="2"/>
  <c r="I40" i="2" s="1"/>
  <c r="AK40" i="2"/>
  <c r="AJ40" i="2"/>
  <c r="AI40" i="2"/>
  <c r="AH40" i="2"/>
  <c r="AG40" i="2"/>
  <c r="AI60" i="11" s="1"/>
  <c r="AF40" i="2"/>
  <c r="AH60" i="11" s="1"/>
  <c r="AE40" i="2"/>
  <c r="AD40" i="2"/>
  <c r="AF60" i="11" s="1"/>
  <c r="AC40" i="2"/>
  <c r="AB40" i="2"/>
  <c r="AD60" i="11" s="1"/>
  <c r="AA40" i="2"/>
  <c r="AC60" i="11" s="1"/>
  <c r="Z40" i="2"/>
  <c r="AB60" i="11" s="1"/>
  <c r="E40" i="2"/>
  <c r="AK39" i="2"/>
  <c r="AR38" i="2"/>
  <c r="AQ38" i="2"/>
  <c r="AP38" i="2"/>
  <c r="AO38" i="2"/>
  <c r="AN38" i="2"/>
  <c r="AM38" i="2"/>
  <c r="AL38" i="2"/>
  <c r="AN38" i="11" s="1"/>
  <c r="M15" i="17" s="1"/>
  <c r="K38" i="2"/>
  <c r="H38" i="2"/>
  <c r="E38" i="2"/>
  <c r="AR37" i="2"/>
  <c r="AG103" i="16" s="1"/>
  <c r="AQ37" i="2"/>
  <c r="AP37" i="2"/>
  <c r="AE103" i="16" s="1"/>
  <c r="AO37" i="2"/>
  <c r="AD103" i="16" s="1"/>
  <c r="AN37" i="2"/>
  <c r="AM37" i="2"/>
  <c r="AL37" i="2"/>
  <c r="AK37" i="2"/>
  <c r="Z103" i="16" s="1"/>
  <c r="AJ37" i="2"/>
  <c r="AI37" i="2"/>
  <c r="AH37" i="2"/>
  <c r="AJ34" i="11" s="1"/>
  <c r="AG37" i="2"/>
  <c r="AF37" i="2"/>
  <c r="U103" i="16" s="1"/>
  <c r="AE37" i="2"/>
  <c r="AD37" i="2"/>
  <c r="AC37" i="2"/>
  <c r="AE34" i="11" s="1"/>
  <c r="AE100" i="11" s="1"/>
  <c r="AB37" i="2"/>
  <c r="AA37" i="2"/>
  <c r="P103" i="16" s="1"/>
  <c r="Z37" i="2"/>
  <c r="O103" i="16" s="1"/>
  <c r="Y37" i="2"/>
  <c r="N103" i="16" s="1"/>
  <c r="X37" i="2"/>
  <c r="W37" i="2"/>
  <c r="L103" i="16" s="1"/>
  <c r="V37" i="2"/>
  <c r="U37" i="2"/>
  <c r="T37" i="2"/>
  <c r="S37" i="2"/>
  <c r="R37" i="2"/>
  <c r="Q37" i="2"/>
  <c r="P37" i="2"/>
  <c r="E103" i="16" s="1"/>
  <c r="O37" i="2"/>
  <c r="Q34" i="11" s="1"/>
  <c r="Q100" i="11" s="1"/>
  <c r="N37" i="2"/>
  <c r="AR36" i="2"/>
  <c r="AT37" i="11" s="1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G37" i="11" s="1"/>
  <c r="AD36" i="2"/>
  <c r="AC36" i="2"/>
  <c r="AB36" i="2"/>
  <c r="AD37" i="11" s="1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Q37" i="11" s="1"/>
  <c r="N36" i="2"/>
  <c r="AR35" i="2"/>
  <c r="AQ35" i="2"/>
  <c r="AS33" i="11" s="1"/>
  <c r="R10" i="17" s="1"/>
  <c r="AP35" i="2"/>
  <c r="AO35" i="2"/>
  <c r="AN35" i="2"/>
  <c r="AP33" i="11" s="1"/>
  <c r="O10" i="17" s="1"/>
  <c r="AM35" i="2"/>
  <c r="AL35" i="2"/>
  <c r="AK35" i="2"/>
  <c r="AJ35" i="2"/>
  <c r="AI35" i="2"/>
  <c r="AH35" i="2"/>
  <c r="AG35" i="2"/>
  <c r="AF35" i="2"/>
  <c r="AE35" i="2"/>
  <c r="AD35" i="2"/>
  <c r="AF33" i="11" s="1"/>
  <c r="AC35" i="2"/>
  <c r="AB35" i="2"/>
  <c r="AA35" i="2"/>
  <c r="AC33" i="11" s="1"/>
  <c r="Z35" i="2"/>
  <c r="Y35" i="2"/>
  <c r="X35" i="2"/>
  <c r="Z33" i="11" s="1"/>
  <c r="W35" i="2"/>
  <c r="V35" i="2"/>
  <c r="V39" i="2" s="1"/>
  <c r="U35" i="2"/>
  <c r="T35" i="2"/>
  <c r="S35" i="2"/>
  <c r="R35" i="2"/>
  <c r="Q35" i="2"/>
  <c r="P35" i="2"/>
  <c r="O35" i="2"/>
  <c r="N35" i="2"/>
  <c r="P33" i="11" s="1"/>
  <c r="AR34" i="2"/>
  <c r="AG99" i="16" s="1"/>
  <c r="AQ34" i="2"/>
  <c r="AP34" i="2"/>
  <c r="AE99" i="16" s="1"/>
  <c r="AO34" i="2"/>
  <c r="AD99" i="16" s="1"/>
  <c r="AN34" i="2"/>
  <c r="AM34" i="2"/>
  <c r="AO32" i="11" s="1"/>
  <c r="N9" i="17" s="1"/>
  <c r="AL34" i="2"/>
  <c r="AK34" i="2"/>
  <c r="AJ34" i="2"/>
  <c r="AJ39" i="2" s="1"/>
  <c r="AI34" i="2"/>
  <c r="AH34" i="2"/>
  <c r="AG34" i="2"/>
  <c r="AF34" i="2"/>
  <c r="AE34" i="2"/>
  <c r="T99" i="16" s="1"/>
  <c r="AD34" i="2"/>
  <c r="AC34" i="2"/>
  <c r="AB34" i="2"/>
  <c r="AB39" i="2" s="1"/>
  <c r="AA34" i="2"/>
  <c r="Z34" i="2"/>
  <c r="AB32" i="11" s="1"/>
  <c r="Y34" i="2"/>
  <c r="X34" i="2"/>
  <c r="W34" i="2"/>
  <c r="Y32" i="11" s="1"/>
  <c r="V34" i="2"/>
  <c r="U34" i="2"/>
  <c r="T34" i="2"/>
  <c r="I99" i="16" s="1"/>
  <c r="S34" i="2"/>
  <c r="R34" i="2"/>
  <c r="Q34" i="2"/>
  <c r="P34" i="2"/>
  <c r="O34" i="2"/>
  <c r="D99" i="16" s="1"/>
  <c r="N34" i="2"/>
  <c r="AR32" i="2"/>
  <c r="AT54" i="11" s="1"/>
  <c r="S69" i="17" s="1"/>
  <c r="AQ32" i="2"/>
  <c r="AS54" i="11" s="1"/>
  <c r="R69" i="17" s="1"/>
  <c r="AP32" i="2"/>
  <c r="AO32" i="2"/>
  <c r="AQ54" i="11" s="1"/>
  <c r="P69" i="17" s="1"/>
  <c r="AN32" i="2"/>
  <c r="AM32" i="2"/>
  <c r="AL32" i="2"/>
  <c r="AK32" i="2"/>
  <c r="AJ32" i="2"/>
  <c r="AI32" i="2"/>
  <c r="AK54" i="11" s="1"/>
  <c r="J69" i="17" s="1"/>
  <c r="AH32" i="2"/>
  <c r="AG32" i="2"/>
  <c r="AF32" i="2"/>
  <c r="AE32" i="2"/>
  <c r="AD32" i="2"/>
  <c r="AF54" i="11" s="1"/>
  <c r="AC32" i="2"/>
  <c r="AB32" i="2"/>
  <c r="AA32" i="2"/>
  <c r="AC54" i="11" s="1"/>
  <c r="Z32" i="2"/>
  <c r="E32" i="2"/>
  <c r="AR31" i="2"/>
  <c r="AQ31" i="2"/>
  <c r="AP31" i="2"/>
  <c r="AR63" i="11" s="1"/>
  <c r="AO31" i="2"/>
  <c r="AN31" i="2"/>
  <c r="AM31" i="2"/>
  <c r="AL31" i="2"/>
  <c r="AK31" i="2"/>
  <c r="AJ31" i="2"/>
  <c r="AI31" i="2"/>
  <c r="AH31" i="2"/>
  <c r="AG31" i="2"/>
  <c r="AI63" i="11" s="1"/>
  <c r="AF31" i="2"/>
  <c r="AE31" i="2"/>
  <c r="AG63" i="11" s="1"/>
  <c r="AD31" i="2"/>
  <c r="AF63" i="11" s="1"/>
  <c r="AC31" i="2"/>
  <c r="AE63" i="11" s="1"/>
  <c r="AB31" i="2"/>
  <c r="AA31" i="2"/>
  <c r="Z31" i="2"/>
  <c r="AB63" i="11" s="1"/>
  <c r="Y31" i="2"/>
  <c r="X31" i="2"/>
  <c r="W31" i="2"/>
  <c r="V31" i="2"/>
  <c r="U31" i="2"/>
  <c r="T31" i="2"/>
  <c r="S31" i="2"/>
  <c r="R31" i="2"/>
  <c r="Q31" i="2"/>
  <c r="P31" i="2"/>
  <c r="O31" i="2"/>
  <c r="Q63" i="11" s="1"/>
  <c r="N31" i="2"/>
  <c r="P63" i="11" s="1"/>
  <c r="AR28" i="2"/>
  <c r="AR27" i="2"/>
  <c r="AG53" i="10" s="1"/>
  <c r="AQ27" i="2"/>
  <c r="AF53" i="10" s="1"/>
  <c r="AP27" i="2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P53" i="10" s="1"/>
  <c r="Z27" i="2"/>
  <c r="E27" i="2"/>
  <c r="AR26" i="2"/>
  <c r="AG48" i="10" s="1"/>
  <c r="AQ26" i="2"/>
  <c r="AF48" i="10" s="1"/>
  <c r="AP26" i="2"/>
  <c r="AE48" i="10" s="1"/>
  <c r="AO26" i="2"/>
  <c r="AD48" i="10" s="1"/>
  <c r="AN26" i="2"/>
  <c r="AM26" i="2"/>
  <c r="AL26" i="2"/>
  <c r="AK26" i="2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W26" i="2"/>
  <c r="L48" i="10" s="1"/>
  <c r="V26" i="2"/>
  <c r="U26" i="2"/>
  <c r="T26" i="2"/>
  <c r="I48" i="10" s="1"/>
  <c r="S26" i="2"/>
  <c r="R26" i="2"/>
  <c r="G48" i="10" s="1"/>
  <c r="Q26" i="2"/>
  <c r="F48" i="10" s="1"/>
  <c r="P26" i="2"/>
  <c r="E48" i="10" s="1"/>
  <c r="O26" i="2"/>
  <c r="D48" i="10" s="1"/>
  <c r="N26" i="2"/>
  <c r="C48" i="10" s="1"/>
  <c r="AR25" i="2"/>
  <c r="AG54" i="10" s="1"/>
  <c r="AQ25" i="2"/>
  <c r="AF54" i="10" s="1"/>
  <c r="AP25" i="2"/>
  <c r="AE54" i="10" s="1"/>
  <c r="AO25" i="2"/>
  <c r="AD54" i="10" s="1"/>
  <c r="AN25" i="2"/>
  <c r="AM25" i="2"/>
  <c r="AL25" i="2"/>
  <c r="AA54" i="10" s="1"/>
  <c r="AK25" i="2"/>
  <c r="Z54" i="10" s="1"/>
  <c r="AJ25" i="2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AA25" i="2"/>
  <c r="P54" i="10" s="1"/>
  <c r="Z25" i="2"/>
  <c r="O54" i="10" s="1"/>
  <c r="Y25" i="2"/>
  <c r="N54" i="10" s="1"/>
  <c r="X25" i="2"/>
  <c r="M54" i="10" s="1"/>
  <c r="W25" i="2"/>
  <c r="V25" i="2"/>
  <c r="K54" i="10" s="1"/>
  <c r="U25" i="2"/>
  <c r="T25" i="2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K24" i="2"/>
  <c r="Z51" i="10" s="1"/>
  <c r="AJ24" i="2"/>
  <c r="Y51" i="10" s="1"/>
  <c r="AI24" i="2"/>
  <c r="AH24" i="2"/>
  <c r="W51" i="10" s="1"/>
  <c r="AG24" i="2"/>
  <c r="V51" i="10" s="1"/>
  <c r="AF24" i="2"/>
  <c r="U51" i="10" s="1"/>
  <c r="AE24" i="2"/>
  <c r="T51" i="10" s="1"/>
  <c r="AD24" i="2"/>
  <c r="S51" i="10" s="1"/>
  <c r="AC24" i="2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U24" i="2"/>
  <c r="J51" i="10" s="1"/>
  <c r="T24" i="2"/>
  <c r="I51" i="10" s="1"/>
  <c r="S24" i="2"/>
  <c r="R24" i="2"/>
  <c r="G51" i="10" s="1"/>
  <c r="Q24" i="2"/>
  <c r="F51" i="10" s="1"/>
  <c r="P24" i="2"/>
  <c r="E51" i="10" s="1"/>
  <c r="O24" i="2"/>
  <c r="D51" i="10" s="1"/>
  <c r="N24" i="2"/>
  <c r="C51" i="10" s="1"/>
  <c r="AR23" i="2"/>
  <c r="AG56" i="10" s="1"/>
  <c r="AQ23" i="2"/>
  <c r="AF56" i="10" s="1"/>
  <c r="AP23" i="2"/>
  <c r="AE56" i="10" s="1"/>
  <c r="AO23" i="2"/>
  <c r="AD56" i="10" s="1"/>
  <c r="AN23" i="2"/>
  <c r="AM23" i="2"/>
  <c r="AB56" i="10" s="1"/>
  <c r="AL23" i="2"/>
  <c r="AK23" i="2"/>
  <c r="Z56" i="10" s="1"/>
  <c r="AJ23" i="2"/>
  <c r="Y56" i="10" s="1"/>
  <c r="AI23" i="2"/>
  <c r="AH23" i="2"/>
  <c r="AJ13" i="11" s="1"/>
  <c r="H14" i="9" s="1"/>
  <c r="AG23" i="2"/>
  <c r="V56" i="10" s="1"/>
  <c r="AF23" i="2"/>
  <c r="U56" i="10" s="1"/>
  <c r="AE23" i="2"/>
  <c r="T56" i="10" s="1"/>
  <c r="AD23" i="2"/>
  <c r="AC23" i="2"/>
  <c r="R56" i="10" s="1"/>
  <c r="AB23" i="2"/>
  <c r="Q56" i="10" s="1"/>
  <c r="AA23" i="2"/>
  <c r="Z23" i="2"/>
  <c r="O56" i="10" s="1"/>
  <c r="Y23" i="2"/>
  <c r="N56" i="10" s="1"/>
  <c r="X23" i="2"/>
  <c r="W23" i="2"/>
  <c r="L56" i="10" s="1"/>
  <c r="V23" i="2"/>
  <c r="U23" i="2"/>
  <c r="T23" i="2"/>
  <c r="I56" i="10" s="1"/>
  <c r="S23" i="2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G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AI21" i="2"/>
  <c r="X52" i="10" s="1"/>
  <c r="AH21" i="2"/>
  <c r="W52" i="10" s="1"/>
  <c r="AG21" i="2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Z21" i="2"/>
  <c r="O52" i="10" s="1"/>
  <c r="Y21" i="2"/>
  <c r="N52" i="10" s="1"/>
  <c r="X21" i="2"/>
  <c r="M52" i="10" s="1"/>
  <c r="W21" i="2"/>
  <c r="V21" i="2"/>
  <c r="K52" i="10" s="1"/>
  <c r="U21" i="2"/>
  <c r="J52" i="10" s="1"/>
  <c r="T21" i="2"/>
  <c r="S21" i="2"/>
  <c r="H52" i="10" s="1"/>
  <c r="R21" i="2"/>
  <c r="G52" i="10" s="1"/>
  <c r="Q21" i="2"/>
  <c r="P21" i="2"/>
  <c r="E52" i="10" s="1"/>
  <c r="O21" i="2"/>
  <c r="D52" i="10" s="1"/>
  <c r="N21" i="2"/>
  <c r="C52" i="10" s="1"/>
  <c r="AF20" i="2"/>
  <c r="AC20" i="2"/>
  <c r="P20" i="2"/>
  <c r="AR19" i="2"/>
  <c r="AT10" i="11" s="1"/>
  <c r="AQ19" i="2"/>
  <c r="AP19" i="2"/>
  <c r="AE55" i="10" s="1"/>
  <c r="AO19" i="2"/>
  <c r="AD55" i="10" s="1"/>
  <c r="AN19" i="2"/>
  <c r="AC55" i="10" s="1"/>
  <c r="AM19" i="2"/>
  <c r="AB55" i="10" s="1"/>
  <c r="AL19" i="2"/>
  <c r="AA55" i="10" s="1"/>
  <c r="AK19" i="2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AK18" i="2"/>
  <c r="AJ18" i="2"/>
  <c r="AJ20" i="2" s="1"/>
  <c r="AI18" i="2"/>
  <c r="AH18" i="2"/>
  <c r="AH20" i="2" s="1"/>
  <c r="AG18" i="2"/>
  <c r="AF18" i="2"/>
  <c r="AE18" i="2"/>
  <c r="AD18" i="2"/>
  <c r="AD20" i="2" s="1"/>
  <c r="AC18" i="2"/>
  <c r="AB18" i="2"/>
  <c r="AB20" i="2" s="1"/>
  <c r="AA18" i="2"/>
  <c r="Z18" i="2"/>
  <c r="Y18" i="2"/>
  <c r="Y20" i="2" s="1"/>
  <c r="X18" i="2"/>
  <c r="X20" i="2" s="1"/>
  <c r="W18" i="2"/>
  <c r="W20" i="2" s="1"/>
  <c r="V18" i="2"/>
  <c r="V20" i="2" s="1"/>
  <c r="U18" i="2"/>
  <c r="T18" i="2"/>
  <c r="V14" i="11" s="1"/>
  <c r="S18" i="2"/>
  <c r="R18" i="2"/>
  <c r="R20" i="2" s="1"/>
  <c r="Q18" i="2"/>
  <c r="P18" i="2"/>
  <c r="O18" i="2"/>
  <c r="N18" i="2"/>
  <c r="AD16" i="2"/>
  <c r="T16" i="2"/>
  <c r="N16" i="2"/>
  <c r="AR15" i="2"/>
  <c r="AQ15" i="2"/>
  <c r="AP15" i="2"/>
  <c r="AO15" i="2"/>
  <c r="AN15" i="2"/>
  <c r="AN16" i="2" s="1"/>
  <c r="AM15" i="2"/>
  <c r="AL15" i="2"/>
  <c r="AK15" i="2"/>
  <c r="AM17" i="11" s="1"/>
  <c r="K18" i="9" s="1"/>
  <c r="AJ15" i="2"/>
  <c r="AI15" i="2"/>
  <c r="AH15" i="2"/>
  <c r="AJ17" i="11" s="1"/>
  <c r="H18" i="9" s="1"/>
  <c r="AG15" i="2"/>
  <c r="AF15" i="2"/>
  <c r="AE15" i="2"/>
  <c r="AG17" i="11" s="1"/>
  <c r="AD15" i="2"/>
  <c r="AC15" i="2"/>
  <c r="AB15" i="2"/>
  <c r="AA15" i="2"/>
  <c r="Z15" i="2"/>
  <c r="Y15" i="2"/>
  <c r="X15" i="2"/>
  <c r="X16" i="2" s="1"/>
  <c r="W15" i="2"/>
  <c r="V15" i="2"/>
  <c r="U15" i="2"/>
  <c r="W17" i="11" s="1"/>
  <c r="T15" i="2"/>
  <c r="S15" i="2"/>
  <c r="R15" i="2"/>
  <c r="T17" i="11" s="1"/>
  <c r="Q15" i="2"/>
  <c r="P15" i="2"/>
  <c r="O15" i="2"/>
  <c r="Q17" i="11" s="1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I14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W16" i="2" s="1"/>
  <c r="V13" i="2"/>
  <c r="U13" i="2"/>
  <c r="T13" i="2"/>
  <c r="S13" i="2"/>
  <c r="R13" i="2"/>
  <c r="Q13" i="2"/>
  <c r="P13" i="2"/>
  <c r="O13" i="2"/>
  <c r="N13" i="2"/>
  <c r="K13" i="2"/>
  <c r="AR12" i="2"/>
  <c r="AQ12" i="2"/>
  <c r="AP12" i="2"/>
  <c r="AP16" i="2" s="1"/>
  <c r="AO12" i="2"/>
  <c r="AN12" i="2"/>
  <c r="AM12" i="2"/>
  <c r="AO18" i="11" s="1"/>
  <c r="M19" i="9" s="1"/>
  <c r="AL12" i="2"/>
  <c r="AK12" i="2"/>
  <c r="AJ12" i="2"/>
  <c r="AJ16" i="2" s="1"/>
  <c r="AI12" i="2"/>
  <c r="AI16" i="2" s="1"/>
  <c r="AH12" i="2"/>
  <c r="AG12" i="2"/>
  <c r="AG16" i="2" s="1"/>
  <c r="AF12" i="2"/>
  <c r="AF16" i="2" s="1"/>
  <c r="AE12" i="2"/>
  <c r="AD12" i="2"/>
  <c r="AC12" i="2"/>
  <c r="AE18" i="11" s="1"/>
  <c r="AB12" i="2"/>
  <c r="AA12" i="2"/>
  <c r="Z12" i="2"/>
  <c r="Z16" i="2" s="1"/>
  <c r="Y12" i="2"/>
  <c r="X12" i="2"/>
  <c r="W12" i="2"/>
  <c r="Y18" i="11" s="1"/>
  <c r="V12" i="2"/>
  <c r="U12" i="2"/>
  <c r="T12" i="2"/>
  <c r="S12" i="2"/>
  <c r="S16" i="2" s="1"/>
  <c r="R12" i="2"/>
  <c r="Q12" i="2"/>
  <c r="Q16" i="2" s="1"/>
  <c r="P12" i="2"/>
  <c r="P16" i="2" s="1"/>
  <c r="O12" i="2"/>
  <c r="N12" i="2"/>
  <c r="AP10" i="2"/>
  <c r="AG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Q19" i="11" s="1"/>
  <c r="AN9" i="2"/>
  <c r="AM9" i="2"/>
  <c r="AL9" i="2"/>
  <c r="AK9" i="2"/>
  <c r="AJ9" i="2"/>
  <c r="AI9" i="2"/>
  <c r="AH9" i="2"/>
  <c r="AG9" i="2"/>
  <c r="AF9" i="2"/>
  <c r="AE9" i="2"/>
  <c r="AE10" i="2" s="1"/>
  <c r="AD9" i="2"/>
  <c r="AC9" i="2"/>
  <c r="AB9" i="2"/>
  <c r="AD19" i="11" s="1"/>
  <c r="AD28" i="11" s="1"/>
  <c r="AA9" i="2"/>
  <c r="Z9" i="2"/>
  <c r="E9" i="2"/>
  <c r="AR8" i="2"/>
  <c r="AQ8" i="2"/>
  <c r="AP8" i="2"/>
  <c r="AO8" i="2"/>
  <c r="AN8" i="2"/>
  <c r="AM8" i="2"/>
  <c r="AL8" i="2"/>
  <c r="AK8" i="2"/>
  <c r="AJ8" i="2"/>
  <c r="AI8" i="2"/>
  <c r="AI10" i="2" s="1"/>
  <c r="AH8" i="2"/>
  <c r="AG8" i="2"/>
  <c r="AF8" i="2"/>
  <c r="AE8" i="2"/>
  <c r="AD8" i="2"/>
  <c r="AD10" i="2" s="1"/>
  <c r="AC8" i="2"/>
  <c r="AC10" i="2" s="1"/>
  <c r="AB8" i="2"/>
  <c r="AA8" i="2"/>
  <c r="Z8" i="2"/>
  <c r="AB19" i="11" s="1"/>
  <c r="AB28" i="11" s="1"/>
  <c r="E8" i="2"/>
  <c r="K24" i="19"/>
  <c r="C24" i="19"/>
  <c r="B24" i="19"/>
  <c r="K23" i="19"/>
  <c r="C23" i="19"/>
  <c r="B23" i="19"/>
  <c r="K22" i="19"/>
  <c r="C22" i="19" s="1"/>
  <c r="B22" i="19"/>
  <c r="C21" i="19"/>
  <c r="B21" i="19"/>
  <c r="B10" i="19" s="1"/>
  <c r="K20" i="19"/>
  <c r="C20" i="19" s="1"/>
  <c r="B20" i="19"/>
  <c r="C19" i="19"/>
  <c r="C9" i="19" s="1"/>
  <c r="B19" i="19"/>
  <c r="K18" i="19"/>
  <c r="B18" i="19"/>
  <c r="K17" i="19"/>
  <c r="C17" i="19"/>
  <c r="B17" i="19"/>
  <c r="C16" i="19"/>
  <c r="B16" i="19"/>
  <c r="B8" i="19" s="1"/>
  <c r="K15" i="19"/>
  <c r="B15" i="19"/>
  <c r="B7" i="19" s="1"/>
  <c r="C10" i="19"/>
  <c r="B9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F103" i="16"/>
  <c r="AC103" i="16"/>
  <c r="AB103" i="16"/>
  <c r="AA103" i="16"/>
  <c r="Y103" i="16"/>
  <c r="X103" i="16"/>
  <c r="V103" i="16"/>
  <c r="S103" i="16"/>
  <c r="Q103" i="16"/>
  <c r="M103" i="16"/>
  <c r="K103" i="16"/>
  <c r="I103" i="16"/>
  <c r="H103" i="16"/>
  <c r="F103" i="16"/>
  <c r="C103" i="16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AF99" i="16"/>
  <c r="AC99" i="16"/>
  <c r="AA99" i="16"/>
  <c r="Z99" i="16"/>
  <c r="Y99" i="16"/>
  <c r="W99" i="16"/>
  <c r="V99" i="16"/>
  <c r="U99" i="16"/>
  <c r="S99" i="16"/>
  <c r="P99" i="16"/>
  <c r="O99" i="16"/>
  <c r="N99" i="16"/>
  <c r="K99" i="16"/>
  <c r="J99" i="16"/>
  <c r="G99" i="16"/>
  <c r="F99" i="16"/>
  <c r="E99" i="16"/>
  <c r="C99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AF96" i="16"/>
  <c r="AD96" i="16"/>
  <c r="AB96" i="16"/>
  <c r="AA96" i="16"/>
  <c r="Y96" i="16"/>
  <c r="W96" i="16"/>
  <c r="T96" i="16"/>
  <c r="R96" i="16"/>
  <c r="N96" i="16"/>
  <c r="L96" i="16"/>
  <c r="K96" i="16"/>
  <c r="I96" i="16"/>
  <c r="E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J199" i="11" s="1"/>
  <c r="G200" i="11"/>
  <c r="C200" i="11"/>
  <c r="D199" i="11" s="1"/>
  <c r="D200" i="11" s="1"/>
  <c r="C179" i="11"/>
  <c r="K103" i="11" s="1"/>
  <c r="K68" i="8" s="1"/>
  <c r="C168" i="1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B74" i="11"/>
  <c r="S65" i="11"/>
  <c r="P65" i="11"/>
  <c r="AT64" i="11"/>
  <c r="AR64" i="11"/>
  <c r="AQ64" i="11"/>
  <c r="AO64" i="11"/>
  <c r="AN64" i="11"/>
  <c r="AL64" i="11"/>
  <c r="AH64" i="11"/>
  <c r="AG64" i="11"/>
  <c r="AF64" i="11"/>
  <c r="AE64" i="11"/>
  <c r="AD64" i="11"/>
  <c r="AB64" i="11"/>
  <c r="AA64" i="11"/>
  <c r="Z64" i="11"/>
  <c r="Y64" i="11"/>
  <c r="W64" i="11"/>
  <c r="T64" i="11"/>
  <c r="Q64" i="11"/>
  <c r="AT63" i="11"/>
  <c r="AS63" i="11"/>
  <c r="AQ63" i="11"/>
  <c r="AP63" i="11"/>
  <c r="AO63" i="11"/>
  <c r="AN63" i="11"/>
  <c r="AM63" i="11"/>
  <c r="AK63" i="11"/>
  <c r="AD63" i="11"/>
  <c r="AC63" i="11"/>
  <c r="AA63" i="11"/>
  <c r="Z63" i="11"/>
  <c r="Y63" i="11"/>
  <c r="X63" i="11"/>
  <c r="W63" i="11"/>
  <c r="U63" i="11"/>
  <c r="S63" i="11"/>
  <c r="AT62" i="11"/>
  <c r="AT77" i="11" s="1"/>
  <c r="AR62" i="11"/>
  <c r="AR77" i="11" s="1"/>
  <c r="AP62" i="11"/>
  <c r="AP77" i="11" s="1"/>
  <c r="AO62" i="11"/>
  <c r="AO77" i="11" s="1"/>
  <c r="AM62" i="11"/>
  <c r="AM77" i="11" s="1"/>
  <c r="AL62" i="11"/>
  <c r="AL77" i="11" s="1"/>
  <c r="AJ62" i="11"/>
  <c r="AJ77" i="11" s="1"/>
  <c r="AI62" i="11"/>
  <c r="AI77" i="11" s="1"/>
  <c r="AG62" i="11"/>
  <c r="AG77" i="11" s="1"/>
  <c r="AB62" i="11"/>
  <c r="AB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Q62" i="11"/>
  <c r="Q77" i="11" s="1"/>
  <c r="AS61" i="11"/>
  <c r="AS83" i="11" s="1"/>
  <c r="AQ61" i="11"/>
  <c r="AQ83" i="11" s="1"/>
  <c r="AN61" i="11"/>
  <c r="AN83" i="11" s="1"/>
  <c r="AL61" i="11"/>
  <c r="AL83" i="11" s="1"/>
  <c r="AK61" i="11"/>
  <c r="AK83" i="11" s="1"/>
  <c r="AI61" i="11"/>
  <c r="AI83" i="11" s="1"/>
  <c r="AH61" i="11"/>
  <c r="AH83" i="11" s="1"/>
  <c r="AF61" i="11"/>
  <c r="AF83" i="11" s="1"/>
  <c r="AC61" i="11"/>
  <c r="AC83" i="11" s="1"/>
  <c r="AA61" i="11"/>
  <c r="AA83" i="11" s="1"/>
  <c r="Z61" i="11"/>
  <c r="Z83" i="11" s="1"/>
  <c r="X61" i="11"/>
  <c r="X83" i="11" s="1"/>
  <c r="V61" i="11"/>
  <c r="V83" i="11" s="1"/>
  <c r="U61" i="11"/>
  <c r="U83" i="11" s="1"/>
  <c r="S61" i="11"/>
  <c r="S83" i="11" s="1"/>
  <c r="R61" i="11"/>
  <c r="R83" i="11" s="1"/>
  <c r="P61" i="11"/>
  <c r="P83" i="11" s="1"/>
  <c r="AR60" i="11"/>
  <c r="AP60" i="11"/>
  <c r="AO60" i="11"/>
  <c r="AN60" i="11"/>
  <c r="AM60" i="11"/>
  <c r="AL60" i="11"/>
  <c r="AK60" i="11"/>
  <c r="AJ60" i="11"/>
  <c r="AG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S59" i="11"/>
  <c r="AR59" i="11"/>
  <c r="AP59" i="11"/>
  <c r="AO59" i="11"/>
  <c r="AM59" i="11"/>
  <c r="AK59" i="11"/>
  <c r="AJ59" i="11"/>
  <c r="AH59" i="11"/>
  <c r="AG59" i="11"/>
  <c r="AF59" i="11"/>
  <c r="AE59" i="11"/>
  <c r="AC59" i="11"/>
  <c r="AB59" i="11"/>
  <c r="Z59" i="11"/>
  <c r="Y59" i="11"/>
  <c r="W59" i="11"/>
  <c r="U59" i="11"/>
  <c r="T59" i="11"/>
  <c r="R59" i="11"/>
  <c r="Q59" i="11"/>
  <c r="P59" i="11"/>
  <c r="AT58" i="11"/>
  <c r="AT76" i="11" s="1"/>
  <c r="AQ58" i="11"/>
  <c r="AQ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F58" i="11"/>
  <c r="AF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P58" i="11"/>
  <c r="P76" i="11" s="1"/>
  <c r="AT57" i="11"/>
  <c r="AR57" i="11"/>
  <c r="AP57" i="11"/>
  <c r="AM57" i="11"/>
  <c r="AK57" i="11"/>
  <c r="AJ57" i="11"/>
  <c r="AH57" i="11"/>
  <c r="AG57" i="11"/>
  <c r="AE57" i="11"/>
  <c r="AD57" i="11"/>
  <c r="AB57" i="11"/>
  <c r="Z57" i="11"/>
  <c r="W57" i="11"/>
  <c r="U57" i="11"/>
  <c r="R57" i="11"/>
  <c r="Q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H56" i="11"/>
  <c r="AH75" i="11" s="1"/>
  <c r="AE56" i="11"/>
  <c r="AE75" i="11" s="1"/>
  <c r="AC56" i="11"/>
  <c r="AC75" i="11" s="1"/>
  <c r="AB56" i="11"/>
  <c r="AB75" i="11" s="1"/>
  <c r="Z56" i="11"/>
  <c r="Z75" i="11" s="1"/>
  <c r="Y56" i="11"/>
  <c r="Y75" i="11" s="1"/>
  <c r="W56" i="11"/>
  <c r="W75" i="11" s="1"/>
  <c r="V56" i="11"/>
  <c r="V75" i="11" s="1"/>
  <c r="R56" i="11"/>
  <c r="R75" i="11" s="1"/>
  <c r="AS55" i="11"/>
  <c r="R70" i="17" s="1"/>
  <c r="AR55" i="11"/>
  <c r="Q70" i="17" s="1"/>
  <c r="AP55" i="11"/>
  <c r="O70" i="17" s="1"/>
  <c r="AO55" i="11"/>
  <c r="N70" i="17" s="1"/>
  <c r="AM55" i="11"/>
  <c r="L70" i="17" s="1"/>
  <c r="AK55" i="11"/>
  <c r="J70" i="17" s="1"/>
  <c r="AH55" i="11"/>
  <c r="G70" i="17" s="1"/>
  <c r="AG55" i="11"/>
  <c r="AF55" i="11"/>
  <c r="AE55" i="11"/>
  <c r="AC55" i="11"/>
  <c r="AB55" i="11"/>
  <c r="Z55" i="11"/>
  <c r="Y55" i="11"/>
  <c r="X55" i="11"/>
  <c r="W55" i="11"/>
  <c r="U55" i="11"/>
  <c r="S55" i="11"/>
  <c r="R55" i="11"/>
  <c r="Q55" i="11"/>
  <c r="P55" i="11"/>
  <c r="AR54" i="11"/>
  <c r="Q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J54" i="11"/>
  <c r="I69" i="17" s="1"/>
  <c r="AI54" i="11"/>
  <c r="H69" i="17" s="1"/>
  <c r="AH54" i="11"/>
  <c r="G69" i="17" s="1"/>
  <c r="AG54" i="11"/>
  <c r="AE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Q53" i="11"/>
  <c r="P68" i="17" s="1"/>
  <c r="AP53" i="11"/>
  <c r="O68" i="17" s="1"/>
  <c r="AN53" i="11"/>
  <c r="M68" i="17" s="1"/>
  <c r="AM53" i="11"/>
  <c r="L68" i="17" s="1"/>
  <c r="AL53" i="11"/>
  <c r="K68" i="17" s="1"/>
  <c r="AI53" i="11"/>
  <c r="H68" i="17" s="1"/>
  <c r="AF53" i="11"/>
  <c r="AE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N52" i="11"/>
  <c r="M67" i="17" s="1"/>
  <c r="AL52" i="11"/>
  <c r="K67" i="17" s="1"/>
  <c r="AK52" i="11"/>
  <c r="J67" i="17" s="1"/>
  <c r="AH52" i="11"/>
  <c r="G67" i="17" s="1"/>
  <c r="AD52" i="11"/>
  <c r="AC52" i="11"/>
  <c r="AB52" i="11"/>
  <c r="AA52" i="11"/>
  <c r="Z52" i="11"/>
  <c r="Y52" i="11"/>
  <c r="X52" i="11"/>
  <c r="V52" i="11"/>
  <c r="U52" i="11"/>
  <c r="S52" i="11"/>
  <c r="R52" i="1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H51" i="11"/>
  <c r="G66" i="17" s="1"/>
  <c r="AE51" i="11"/>
  <c r="AC51" i="11"/>
  <c r="AB51" i="11"/>
  <c r="Z51" i="11"/>
  <c r="Y51" i="11"/>
  <c r="X51" i="11"/>
  <c r="W51" i="11"/>
  <c r="V51" i="11"/>
  <c r="U51" i="11"/>
  <c r="T51" i="11"/>
  <c r="R51" i="11"/>
  <c r="AT50" i="11"/>
  <c r="S65" i="17" s="1"/>
  <c r="AS50" i="11"/>
  <c r="R65" i="17" s="1"/>
  <c r="AQ50" i="11"/>
  <c r="P65" i="17" s="1"/>
  <c r="AJ50" i="11"/>
  <c r="I65" i="17" s="1"/>
  <c r="AI50" i="11"/>
  <c r="H65" i="17" s="1"/>
  <c r="AG50" i="11"/>
  <c r="AF50" i="11"/>
  <c r="AC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S49" i="11"/>
  <c r="AQ49" i="11"/>
  <c r="AP49" i="11"/>
  <c r="O64" i="17" s="1"/>
  <c r="AO49" i="11"/>
  <c r="AN49" i="11"/>
  <c r="AL49" i="11"/>
  <c r="AK49" i="11"/>
  <c r="AI49" i="11"/>
  <c r="AG49" i="11"/>
  <c r="AF49" i="11"/>
  <c r="AD49" i="11"/>
  <c r="AC49" i="11"/>
  <c r="AA49" i="11"/>
  <c r="Z49" i="11"/>
  <c r="Y49" i="11"/>
  <c r="X49" i="11"/>
  <c r="V49" i="11"/>
  <c r="U49" i="11"/>
  <c r="S49" i="11"/>
  <c r="Q49" i="11"/>
  <c r="P49" i="11"/>
  <c r="AT48" i="11"/>
  <c r="AS48" i="11"/>
  <c r="AR48" i="11"/>
  <c r="AQ48" i="11"/>
  <c r="AP48" i="11"/>
  <c r="AN48" i="11"/>
  <c r="AM48" i="11"/>
  <c r="AL48" i="11"/>
  <c r="AK48" i="11"/>
  <c r="AI48" i="11"/>
  <c r="AH48" i="11"/>
  <c r="AG48" i="11"/>
  <c r="AF48" i="11"/>
  <c r="AE48" i="11"/>
  <c r="AD48" i="11"/>
  <c r="AC48" i="11"/>
  <c r="AB48" i="11"/>
  <c r="AA48" i="11"/>
  <c r="Z48" i="11"/>
  <c r="X48" i="11"/>
  <c r="W48" i="11"/>
  <c r="V48" i="11"/>
  <c r="U48" i="11"/>
  <c r="S48" i="11"/>
  <c r="R48" i="1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AS44" i="11"/>
  <c r="R45" i="17" s="1"/>
  <c r="AR44" i="11"/>
  <c r="Q45" i="17" s="1"/>
  <c r="AQ44" i="11"/>
  <c r="P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AO42" i="11"/>
  <c r="N43" i="17" s="1"/>
  <c r="AN42" i="11"/>
  <c r="AL42" i="11"/>
  <c r="AI42" i="11"/>
  <c r="AG42" i="11"/>
  <c r="AF42" i="11"/>
  <c r="AE42" i="11"/>
  <c r="AD42" i="11"/>
  <c r="AC42" i="11"/>
  <c r="AB42" i="11"/>
  <c r="AA42" i="11"/>
  <c r="Y42" i="11"/>
  <c r="X42" i="11"/>
  <c r="V42" i="11"/>
  <c r="S42" i="11"/>
  <c r="Q42" i="11"/>
  <c r="P42" i="11"/>
  <c r="AQ39" i="11"/>
  <c r="P16" i="17" s="1"/>
  <c r="AK39" i="11"/>
  <c r="J16" i="17" s="1"/>
  <c r="AH39" i="11"/>
  <c r="G16" i="17" s="1"/>
  <c r="W39" i="11"/>
  <c r="U39" i="11"/>
  <c r="R39" i="11"/>
  <c r="AT38" i="11"/>
  <c r="AS38" i="11"/>
  <c r="R15" i="17" s="1"/>
  <c r="AR38" i="11"/>
  <c r="Q15" i="17" s="1"/>
  <c r="AQ38" i="11"/>
  <c r="P15" i="17" s="1"/>
  <c r="AP38" i="11"/>
  <c r="O15" i="17" s="1"/>
  <c r="AO38" i="11"/>
  <c r="N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E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AT36" i="11"/>
  <c r="AR36" i="11"/>
  <c r="AQ36" i="11"/>
  <c r="AN36" i="11"/>
  <c r="AM36" i="11"/>
  <c r="AK36" i="11"/>
  <c r="AJ36" i="11"/>
  <c r="AI36" i="11"/>
  <c r="AH36" i="11"/>
  <c r="G13" i="17" s="1"/>
  <c r="AG36" i="11"/>
  <c r="AG103" i="11" s="1"/>
  <c r="AF36" i="11"/>
  <c r="AF103" i="11" s="1"/>
  <c r="AE36" i="11"/>
  <c r="AE103" i="11" s="1"/>
  <c r="AD36" i="11"/>
  <c r="AD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S12" i="17" s="1"/>
  <c r="AS35" i="11"/>
  <c r="R12" i="17" s="1"/>
  <c r="AR35" i="11"/>
  <c r="Q12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B35" i="11"/>
  <c r="AA35" i="11"/>
  <c r="Z35" i="11"/>
  <c r="Y35" i="11"/>
  <c r="Y88" i="11" s="1"/>
  <c r="X35" i="11"/>
  <c r="W35" i="11"/>
  <c r="V35" i="11"/>
  <c r="U35" i="11"/>
  <c r="U88" i="11" s="1"/>
  <c r="T35" i="11"/>
  <c r="S35" i="11"/>
  <c r="R35" i="11"/>
  <c r="Q35" i="11"/>
  <c r="Q88" i="11" s="1"/>
  <c r="P35" i="11"/>
  <c r="AT34" i="11"/>
  <c r="AS34" i="11"/>
  <c r="AQ34" i="11"/>
  <c r="AP34" i="11"/>
  <c r="AO34" i="11"/>
  <c r="AN34" i="11"/>
  <c r="AM34" i="11"/>
  <c r="AL34" i="11"/>
  <c r="AK34" i="11"/>
  <c r="AI34" i="11"/>
  <c r="AH34" i="11"/>
  <c r="AF34" i="11"/>
  <c r="AF100" i="11" s="1"/>
  <c r="AD34" i="11"/>
  <c r="AD100" i="11" s="1"/>
  <c r="AC34" i="11"/>
  <c r="AC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S34" i="11"/>
  <c r="S100" i="11" s="1"/>
  <c r="R34" i="11"/>
  <c r="R100" i="11" s="1"/>
  <c r="P34" i="11"/>
  <c r="P100" i="11" s="1"/>
  <c r="AT33" i="11"/>
  <c r="C132" i="11" s="1"/>
  <c r="AR33" i="11"/>
  <c r="Q10" i="17" s="1"/>
  <c r="AQ33" i="11"/>
  <c r="P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E33" i="11"/>
  <c r="AD33" i="11"/>
  <c r="AB33" i="11"/>
  <c r="AA33" i="11"/>
  <c r="Y33" i="11"/>
  <c r="X33" i="11"/>
  <c r="W33" i="11"/>
  <c r="V33" i="11"/>
  <c r="U33" i="11"/>
  <c r="T33" i="11"/>
  <c r="S33" i="11"/>
  <c r="R33" i="11"/>
  <c r="Q33" i="11"/>
  <c r="AT32" i="11"/>
  <c r="AS32" i="11"/>
  <c r="R9" i="17" s="1"/>
  <c r="AQ32" i="11"/>
  <c r="P9" i="17" s="1"/>
  <c r="AP32" i="11"/>
  <c r="O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G9" i="17" s="1"/>
  <c r="AG32" i="11"/>
  <c r="AF32" i="11"/>
  <c r="AD32" i="11"/>
  <c r="AC32" i="11"/>
  <c r="AA32" i="11"/>
  <c r="Z32" i="11"/>
  <c r="X32" i="11"/>
  <c r="W32" i="11"/>
  <c r="V32" i="11"/>
  <c r="U32" i="11"/>
  <c r="T32" i="11"/>
  <c r="S32" i="11"/>
  <c r="R32" i="11"/>
  <c r="Q32" i="11"/>
  <c r="P32" i="11"/>
  <c r="AS31" i="11"/>
  <c r="R8" i="17" s="1"/>
  <c r="AR31" i="11"/>
  <c r="Q8" i="17" s="1"/>
  <c r="AQ31" i="11"/>
  <c r="P8" i="17" s="1"/>
  <c r="AO31" i="11"/>
  <c r="N8" i="17" s="1"/>
  <c r="AN31" i="11"/>
  <c r="M8" i="17" s="1"/>
  <c r="AL31" i="11"/>
  <c r="AK31" i="11"/>
  <c r="J8" i="17" s="1"/>
  <c r="AJ31" i="11"/>
  <c r="I8" i="17" s="1"/>
  <c r="AI31" i="11"/>
  <c r="H8" i="17" s="1"/>
  <c r="AH31" i="11"/>
  <c r="G8" i="17" s="1"/>
  <c r="AG31" i="11"/>
  <c r="AF31" i="11"/>
  <c r="AE31" i="11"/>
  <c r="AC31" i="11"/>
  <c r="AB31" i="11"/>
  <c r="AA31" i="11"/>
  <c r="Y31" i="11"/>
  <c r="X31" i="11"/>
  <c r="V31" i="11"/>
  <c r="U31" i="11"/>
  <c r="T31" i="11"/>
  <c r="S31" i="11"/>
  <c r="R31" i="11"/>
  <c r="Q31" i="11"/>
  <c r="P31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AS19" i="11"/>
  <c r="AR19" i="11"/>
  <c r="AP19" i="11"/>
  <c r="AO19" i="11"/>
  <c r="AM19" i="11"/>
  <c r="AJ19" i="11"/>
  <c r="AI19" i="11"/>
  <c r="AG19" i="11"/>
  <c r="AG28" i="11" s="1"/>
  <c r="AF19" i="11"/>
  <c r="AF28" i="11" s="1"/>
  <c r="AC19" i="11"/>
  <c r="AC28" i="11" s="1"/>
  <c r="AA19" i="11"/>
  <c r="AA28" i="11" s="1"/>
  <c r="Z19" i="11"/>
  <c r="Z28" i="11" s="1"/>
  <c r="Y19" i="11"/>
  <c r="Y28" i="11" s="1"/>
  <c r="X19" i="11"/>
  <c r="X28" i="11" s="1"/>
  <c r="W19" i="11"/>
  <c r="W28" i="11" s="1"/>
  <c r="V19" i="11"/>
  <c r="V28" i="11" s="1"/>
  <c r="U19" i="11"/>
  <c r="U28" i="11" s="1"/>
  <c r="T19" i="11"/>
  <c r="T28" i="11" s="1"/>
  <c r="S19" i="11"/>
  <c r="S28" i="11" s="1"/>
  <c r="R19" i="11"/>
  <c r="R28" i="11" s="1"/>
  <c r="Q19" i="11"/>
  <c r="Q28" i="11" s="1"/>
  <c r="P19" i="11"/>
  <c r="P28" i="11" s="1"/>
  <c r="K19" i="11"/>
  <c r="E20" i="9" s="1"/>
  <c r="AT18" i="11"/>
  <c r="R19" i="9" s="1"/>
  <c r="AS18" i="11"/>
  <c r="Q19" i="9" s="1"/>
  <c r="AQ18" i="11"/>
  <c r="O19" i="9" s="1"/>
  <c r="AP18" i="11"/>
  <c r="N19" i="9" s="1"/>
  <c r="AN18" i="11"/>
  <c r="L19" i="9" s="1"/>
  <c r="AM18" i="11"/>
  <c r="K19" i="9" s="1"/>
  <c r="AL18" i="11"/>
  <c r="AI18" i="11"/>
  <c r="G19" i="9" s="1"/>
  <c r="AG18" i="11"/>
  <c r="AF18" i="11"/>
  <c r="AD18" i="11"/>
  <c r="AC18" i="11"/>
  <c r="AA18" i="11"/>
  <c r="Z18" i="11"/>
  <c r="X18" i="11"/>
  <c r="W18" i="11"/>
  <c r="V18" i="11"/>
  <c r="S18" i="11"/>
  <c r="Q18" i="11"/>
  <c r="P18" i="11"/>
  <c r="AT17" i="11"/>
  <c r="AS17" i="11"/>
  <c r="Q18" i="9" s="1"/>
  <c r="AR17" i="11"/>
  <c r="P18" i="9" s="1"/>
  <c r="AQ17" i="11"/>
  <c r="O18" i="9" s="1"/>
  <c r="AP17" i="11"/>
  <c r="N18" i="9" s="1"/>
  <c r="AO17" i="11"/>
  <c r="M18" i="9" s="1"/>
  <c r="AN17" i="11"/>
  <c r="L18" i="9" s="1"/>
  <c r="AL17" i="11"/>
  <c r="J18" i="9" s="1"/>
  <c r="AK17" i="11"/>
  <c r="I18" i="9" s="1"/>
  <c r="AI17" i="11"/>
  <c r="AH17" i="11"/>
  <c r="AF17" i="11"/>
  <c r="AE17" i="11"/>
  <c r="AD17" i="11"/>
  <c r="AC17" i="11"/>
  <c r="AB17" i="11"/>
  <c r="AA17" i="11"/>
  <c r="Z17" i="11"/>
  <c r="Y17" i="11"/>
  <c r="X17" i="11"/>
  <c r="V17" i="11"/>
  <c r="U17" i="11"/>
  <c r="S17" i="11"/>
  <c r="R17" i="11"/>
  <c r="P17" i="11"/>
  <c r="AT14" i="1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W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M13" i="11"/>
  <c r="K14" i="9" s="1"/>
  <c r="AL13" i="11"/>
  <c r="J14" i="9" s="1"/>
  <c r="AI13" i="11"/>
  <c r="AG13" i="11"/>
  <c r="AF13" i="11"/>
  <c r="AE13" i="11"/>
  <c r="AD13" i="11"/>
  <c r="AC13" i="11"/>
  <c r="AB13" i="11"/>
  <c r="AA13" i="11"/>
  <c r="Z13" i="11"/>
  <c r="Y13" i="11"/>
  <c r="V13" i="11"/>
  <c r="S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N12" i="11"/>
  <c r="L13" i="9" s="1"/>
  <c r="AM12" i="11"/>
  <c r="K13" i="9" s="1"/>
  <c r="AK12" i="11"/>
  <c r="I13" i="9" s="1"/>
  <c r="AI12" i="11"/>
  <c r="AH12" i="11"/>
  <c r="AF12" i="11"/>
  <c r="AE12" i="11"/>
  <c r="AD12" i="11"/>
  <c r="AC12" i="11"/>
  <c r="AB12" i="11"/>
  <c r="AA12" i="11"/>
  <c r="Z12" i="11"/>
  <c r="X12" i="11"/>
  <c r="W12" i="11"/>
  <c r="U12" i="11"/>
  <c r="S12" i="11"/>
  <c r="R12" i="11"/>
  <c r="P12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H11" i="11"/>
  <c r="AG11" i="11"/>
  <c r="AF11" i="11"/>
  <c r="AE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R10" i="11"/>
  <c r="AQ10" i="11"/>
  <c r="AP10" i="11"/>
  <c r="AO10" i="11"/>
  <c r="AN10" i="11"/>
  <c r="L11" i="9" s="1"/>
  <c r="AM10" i="11"/>
  <c r="AL10" i="11"/>
  <c r="AK10" i="11"/>
  <c r="AJ10" i="11"/>
  <c r="H11" i="9" s="1"/>
  <c r="AI10" i="11"/>
  <c r="AH10" i="11"/>
  <c r="AH99" i="11" s="1"/>
  <c r="AF10" i="11"/>
  <c r="AF99" i="11" s="1"/>
  <c r="AE10" i="11"/>
  <c r="AE99" i="11" s="1"/>
  <c r="AB10" i="11"/>
  <c r="AB99" i="11" s="1"/>
  <c r="AA10" i="11"/>
  <c r="AA99" i="11" s="1"/>
  <c r="AA104" i="11" s="1"/>
  <c r="Z10" i="11"/>
  <c r="Z99" i="11" s="1"/>
  <c r="Y10" i="11"/>
  <c r="Y99" i="11" s="1"/>
  <c r="Y104" i="11" s="1"/>
  <c r="X10" i="11"/>
  <c r="X99" i="11" s="1"/>
  <c r="W10" i="11"/>
  <c r="W99" i="11" s="1"/>
  <c r="V10" i="11"/>
  <c r="V99" i="11" s="1"/>
  <c r="U10" i="11"/>
  <c r="U99" i="11" s="1"/>
  <c r="T10" i="11"/>
  <c r="T99" i="11" s="1"/>
  <c r="S10" i="11"/>
  <c r="S99" i="11" s="1"/>
  <c r="R10" i="11"/>
  <c r="R99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K9" i="11"/>
  <c r="I10" i="9" s="1"/>
  <c r="AJ9" i="11"/>
  <c r="H10" i="9" s="1"/>
  <c r="AH9" i="11"/>
  <c r="AF9" i="11"/>
  <c r="AE9" i="11"/>
  <c r="AD9" i="11"/>
  <c r="AC9" i="11"/>
  <c r="AB9" i="11"/>
  <c r="AA9" i="11"/>
  <c r="Z9" i="11"/>
  <c r="Y9" i="11"/>
  <c r="X9" i="11"/>
  <c r="W9" i="11"/>
  <c r="U9" i="11"/>
  <c r="T9" i="11"/>
  <c r="R9" i="11"/>
  <c r="P9" i="11"/>
  <c r="AT8" i="11"/>
  <c r="AS8" i="11"/>
  <c r="Q9" i="9" s="1"/>
  <c r="AR8" i="11"/>
  <c r="P9" i="9" s="1"/>
  <c r="AP8" i="11"/>
  <c r="N9" i="9" s="1"/>
  <c r="AM8" i="11"/>
  <c r="K9" i="9" s="1"/>
  <c r="AL8" i="11"/>
  <c r="J9" i="9" s="1"/>
  <c r="AJ8" i="11"/>
  <c r="H9" i="9" s="1"/>
  <c r="AI8" i="11"/>
  <c r="AH8" i="11"/>
  <c r="AG8" i="11"/>
  <c r="AF8" i="11"/>
  <c r="AE8" i="11"/>
  <c r="AD8" i="11"/>
  <c r="AC8" i="11"/>
  <c r="AB8" i="11"/>
  <c r="Z8" i="11"/>
  <c r="W8" i="11"/>
  <c r="V8" i="11"/>
  <c r="T8" i="11"/>
  <c r="S8" i="11"/>
  <c r="R8" i="11"/>
  <c r="Q8" i="11"/>
  <c r="P8" i="11"/>
  <c r="AT7" i="11"/>
  <c r="AS7" i="11"/>
  <c r="Q8" i="9" s="1"/>
  <c r="AR7" i="11"/>
  <c r="P8" i="9" s="1"/>
  <c r="AQ7" i="11"/>
  <c r="AO7" i="11"/>
  <c r="M8" i="9" s="1"/>
  <c r="AL7" i="11"/>
  <c r="J8" i="9" s="1"/>
  <c r="AK7" i="11"/>
  <c r="I8" i="9" s="1"/>
  <c r="AJ7" i="11"/>
  <c r="H8" i="9" s="1"/>
  <c r="AI7" i="11"/>
  <c r="AH7" i="11"/>
  <c r="AG7" i="11"/>
  <c r="AF7" i="11"/>
  <c r="AE7" i="11"/>
  <c r="AD7" i="11"/>
  <c r="AC7" i="11"/>
  <c r="AB7" i="11"/>
  <c r="AA7" i="11"/>
  <c r="Y7" i="11"/>
  <c r="V7" i="11"/>
  <c r="U7" i="11"/>
  <c r="T7" i="11"/>
  <c r="S7" i="11"/>
  <c r="R7" i="11"/>
  <c r="Q7" i="11"/>
  <c r="P7" i="11"/>
  <c r="Q5" i="11"/>
  <c r="R5" i="11" s="1"/>
  <c r="S5" i="11" s="1"/>
  <c r="T5" i="11" s="1"/>
  <c r="U5" i="11" s="1"/>
  <c r="V5" i="11" s="1"/>
  <c r="W5" i="11" s="1"/>
  <c r="X5" i="11" s="1"/>
  <c r="Y5" i="11" s="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2" i="8"/>
  <c r="B62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B27" i="8"/>
  <c r="B26" i="8"/>
  <c r="B25" i="8"/>
  <c r="B24" i="8"/>
  <c r="B23" i="8"/>
  <c r="B22" i="8"/>
  <c r="B21" i="8"/>
  <c r="B14" i="8"/>
  <c r="B13" i="8"/>
  <c r="B12" i="8"/>
  <c r="B11" i="8"/>
  <c r="B10" i="8"/>
  <c r="B9" i="8"/>
  <c r="B8" i="8"/>
  <c r="B2" i="8"/>
  <c r="B26" i="1"/>
  <c r="C156" i="38"/>
  <c r="D155" i="38" s="1"/>
  <c r="D156" i="38" s="1"/>
  <c r="E155" i="38" s="1"/>
  <c r="E156" i="38" s="1"/>
  <c r="B102" i="38"/>
  <c r="R101" i="38"/>
  <c r="S101" i="38" s="1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L101" i="38"/>
  <c r="M101" i="38" s="1"/>
  <c r="N101" i="38" s="1"/>
  <c r="O101" i="38" s="1"/>
  <c r="P101" i="38" s="1"/>
  <c r="K101" i="38"/>
  <c r="B86" i="38"/>
  <c r="V85" i="38"/>
  <c r="W85" i="38" s="1"/>
  <c r="X85" i="38" s="1"/>
  <c r="Y85" i="38" s="1"/>
  <c r="Z85" i="38" s="1"/>
  <c r="AA85" i="38" s="1"/>
  <c r="AB85" i="38" s="1"/>
  <c r="AC85" i="38" s="1"/>
  <c r="AD85" i="38" s="1"/>
  <c r="R85" i="38"/>
  <c r="S85" i="38" s="1"/>
  <c r="T85" i="38" s="1"/>
  <c r="U85" i="38" s="1"/>
  <c r="K85" i="38"/>
  <c r="L85" i="38" s="1"/>
  <c r="M85" i="38" s="1"/>
  <c r="N85" i="38" s="1"/>
  <c r="O85" i="38" s="1"/>
  <c r="P85" i="38" s="1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AA53" i="38"/>
  <c r="AB53" i="38" s="1"/>
  <c r="AC53" i="38" s="1"/>
  <c r="AD53" i="38" s="1"/>
  <c r="R53" i="38"/>
  <c r="S53" i="38" s="1"/>
  <c r="T53" i="38" s="1"/>
  <c r="U53" i="38" s="1"/>
  <c r="V53" i="38" s="1"/>
  <c r="W53" i="38" s="1"/>
  <c r="X53" i="38" s="1"/>
  <c r="Y53" i="38" s="1"/>
  <c r="Z53" i="38" s="1"/>
  <c r="M53" i="38"/>
  <c r="N53" i="38" s="1"/>
  <c r="O53" i="38" s="1"/>
  <c r="P53" i="38" s="1"/>
  <c r="K53" i="38"/>
  <c r="L53" i="38" s="1"/>
  <c r="B38" i="38"/>
  <c r="B95" i="39" s="1"/>
  <c r="R37" i="38"/>
  <c r="S37" i="38" s="1"/>
  <c r="T37" i="38" s="1"/>
  <c r="U37" i="38" s="1"/>
  <c r="V37" i="38" s="1"/>
  <c r="W37" i="38" s="1"/>
  <c r="X37" i="38" s="1"/>
  <c r="Y37" i="38" s="1"/>
  <c r="Z37" i="38" s="1"/>
  <c r="AA37" i="38" s="1"/>
  <c r="AB37" i="38" s="1"/>
  <c r="AC37" i="38" s="1"/>
  <c r="AD37" i="38" s="1"/>
  <c r="K37" i="38"/>
  <c r="L37" i="38" s="1"/>
  <c r="M37" i="38" s="1"/>
  <c r="N37" i="38" s="1"/>
  <c r="O37" i="38" s="1"/>
  <c r="P37" i="38" s="1"/>
  <c r="R21" i="38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K21" i="38"/>
  <c r="L21" i="38" s="1"/>
  <c r="M21" i="38" s="1"/>
  <c r="N21" i="38" s="1"/>
  <c r="O21" i="38" s="1"/>
  <c r="P21" i="38" s="1"/>
  <c r="AD13" i="38"/>
  <c r="H13" i="38"/>
  <c r="F13" i="38"/>
  <c r="D12" i="38"/>
  <c r="C12" i="38"/>
  <c r="Q8" i="38"/>
  <c r="J8" i="38"/>
  <c r="S5" i="38"/>
  <c r="S1" i="38" s="1"/>
  <c r="R5" i="38"/>
  <c r="K5" i="38"/>
  <c r="L5" i="38" s="1"/>
  <c r="B2" i="38"/>
  <c r="B2" i="39" s="1"/>
  <c r="R1" i="38"/>
  <c r="Q1" i="38"/>
  <c r="J1" i="38"/>
  <c r="B181" i="61" l="1"/>
  <c r="D181" i="61"/>
  <c r="C182" i="61"/>
  <c r="B173" i="61"/>
  <c r="C174" i="61"/>
  <c r="B205" i="63"/>
  <c r="D205" i="63"/>
  <c r="C206" i="63"/>
  <c r="B10" i="62"/>
  <c r="B11" i="62" s="1"/>
  <c r="C144" i="63"/>
  <c r="B197" i="63"/>
  <c r="C198" i="63"/>
  <c r="D197" i="63"/>
  <c r="C180" i="63"/>
  <c r="C188" i="63"/>
  <c r="C189" i="63" s="1"/>
  <c r="C168" i="63"/>
  <c r="C73" i="63"/>
  <c r="C40" i="63"/>
  <c r="C12" i="63"/>
  <c r="D62" i="63"/>
  <c r="D64" i="63" s="1"/>
  <c r="C104" i="63"/>
  <c r="C106" i="63" s="1"/>
  <c r="C151" i="63"/>
  <c r="D151" i="63" s="1"/>
  <c r="C166" i="63"/>
  <c r="C64" i="63"/>
  <c r="C16" i="61"/>
  <c r="C116" i="61"/>
  <c r="C11" i="61"/>
  <c r="D125" i="61" s="1"/>
  <c r="C118" i="61"/>
  <c r="C119" i="61" s="1"/>
  <c r="C37" i="62"/>
  <c r="E22" i="62" s="1"/>
  <c r="C24" i="61"/>
  <c r="C25" i="61" s="1"/>
  <c r="C39" i="61"/>
  <c r="B18" i="62"/>
  <c r="B19" i="62" s="1"/>
  <c r="C33" i="62"/>
  <c r="C40" i="62"/>
  <c r="E14" i="62" s="1"/>
  <c r="D14" i="62" s="1"/>
  <c r="C14" i="62" s="1"/>
  <c r="C68" i="60"/>
  <c r="C159" i="61"/>
  <c r="C69" i="60"/>
  <c r="C157" i="61"/>
  <c r="L8" i="38"/>
  <c r="M5" i="38"/>
  <c r="Z31" i="11"/>
  <c r="M96" i="16"/>
  <c r="AC96" i="16"/>
  <c r="AP31" i="11"/>
  <c r="O8" i="17" s="1"/>
  <c r="K105" i="2"/>
  <c r="AA106" i="2"/>
  <c r="AQ106" i="2"/>
  <c r="AS64" i="11"/>
  <c r="Q99" i="16"/>
  <c r="AR65" i="11"/>
  <c r="AB65" i="11"/>
  <c r="I73" i="2"/>
  <c r="AN65" i="11"/>
  <c r="C8" i="19"/>
  <c r="E36" i="2"/>
  <c r="P37" i="11"/>
  <c r="AD39" i="2"/>
  <c r="AF37" i="11"/>
  <c r="AG34" i="11"/>
  <c r="AG100" i="11" s="1"/>
  <c r="T103" i="16"/>
  <c r="AE65" i="11"/>
  <c r="Y112" i="2"/>
  <c r="Y113" i="2" s="1"/>
  <c r="AA58" i="11"/>
  <c r="AA76" i="11" s="1"/>
  <c r="K32" i="2"/>
  <c r="AD54" i="11"/>
  <c r="AC39" i="2"/>
  <c r="R99" i="16"/>
  <c r="AE32" i="11"/>
  <c r="T65" i="11"/>
  <c r="AP112" i="2"/>
  <c r="AR58" i="11"/>
  <c r="AR76" i="11" s="1"/>
  <c r="W103" i="16"/>
  <c r="F52" i="10"/>
  <c r="S9" i="11"/>
  <c r="V52" i="10"/>
  <c r="AI9" i="11"/>
  <c r="H51" i="10"/>
  <c r="U8" i="11"/>
  <c r="X51" i="10"/>
  <c r="AK8" i="11"/>
  <c r="I9" i="9" s="1"/>
  <c r="I54" i="10"/>
  <c r="V12" i="11"/>
  <c r="Y54" i="10"/>
  <c r="AL12" i="11"/>
  <c r="J13" i="9" s="1"/>
  <c r="J48" i="10"/>
  <c r="W7" i="11"/>
  <c r="Z48" i="10"/>
  <c r="AM7" i="11"/>
  <c r="V53" i="10"/>
  <c r="AI11" i="11"/>
  <c r="R100" i="2"/>
  <c r="AE85" i="2"/>
  <c r="AG53" i="11"/>
  <c r="N112" i="2"/>
  <c r="P56" i="11"/>
  <c r="P75" i="11" s="1"/>
  <c r="AD112" i="2"/>
  <c r="AF56" i="11"/>
  <c r="AF75" i="11" s="1"/>
  <c r="H56" i="10"/>
  <c r="U13" i="11"/>
  <c r="X56" i="10"/>
  <c r="AK13" i="11"/>
  <c r="I14" i="9" s="1"/>
  <c r="J54" i="10"/>
  <c r="K25" i="2"/>
  <c r="K48" i="10"/>
  <c r="X7" i="11"/>
  <c r="AA48" i="10"/>
  <c r="AN7" i="11"/>
  <c r="L8" i="9" s="1"/>
  <c r="T63" i="11"/>
  <c r="AJ63" i="11"/>
  <c r="P39" i="2"/>
  <c r="AF39" i="2"/>
  <c r="G103" i="16"/>
  <c r="T34" i="11"/>
  <c r="T100" i="11" s="1"/>
  <c r="T104" i="11" s="1"/>
  <c r="O112" i="2"/>
  <c r="Q56" i="11"/>
  <c r="Q75" i="11" s="1"/>
  <c r="AE112" i="2"/>
  <c r="AG56" i="11"/>
  <c r="AG75" i="11" s="1"/>
  <c r="AQ112" i="2"/>
  <c r="AQ113" i="2" s="1"/>
  <c r="AS62" i="11"/>
  <c r="AS77" i="11" s="1"/>
  <c r="W65" i="11"/>
  <c r="AR50" i="11"/>
  <c r="Q65" i="17" s="1"/>
  <c r="I52" i="10"/>
  <c r="V9" i="11"/>
  <c r="Y52" i="10"/>
  <c r="AL9" i="11"/>
  <c r="J10" i="9" s="1"/>
  <c r="J56" i="10"/>
  <c r="W13" i="11"/>
  <c r="K51" i="10"/>
  <c r="X8" i="11"/>
  <c r="AA51" i="10"/>
  <c r="AN8" i="11"/>
  <c r="L9" i="9" s="1"/>
  <c r="L54" i="10"/>
  <c r="Y12" i="11"/>
  <c r="AB54" i="10"/>
  <c r="AO12" i="11"/>
  <c r="M13" i="9" s="1"/>
  <c r="M48" i="10"/>
  <c r="Z7" i="11"/>
  <c r="AC48" i="10"/>
  <c r="AP7" i="11"/>
  <c r="AC64" i="11"/>
  <c r="I68" i="2"/>
  <c r="AN55" i="11"/>
  <c r="M70" i="17" s="1"/>
  <c r="AL69" i="2"/>
  <c r="AO48" i="11"/>
  <c r="I67" i="2"/>
  <c r="AF10" i="2"/>
  <c r="AH19" i="11"/>
  <c r="AH28" i="11" s="1"/>
  <c r="AN39" i="11"/>
  <c r="M16" i="17" s="1"/>
  <c r="J96" i="16"/>
  <c r="W31" i="11"/>
  <c r="AM31" i="11"/>
  <c r="L8" i="17" s="1"/>
  <c r="Z96" i="16"/>
  <c r="W69" i="2"/>
  <c r="AM69" i="2"/>
  <c r="AN106" i="2"/>
  <c r="AP64" i="11"/>
  <c r="K8" i="38"/>
  <c r="K1" i="38"/>
  <c r="R11" i="38"/>
  <c r="R12" i="38"/>
  <c r="D103" i="16"/>
  <c r="K45" i="2"/>
  <c r="Y69" i="2"/>
  <c r="AA55" i="11"/>
  <c r="AO69" i="2"/>
  <c r="AQ55" i="11"/>
  <c r="P70" i="17" s="1"/>
  <c r="AH98" i="2"/>
  <c r="AO50" i="11"/>
  <c r="N65" i="17" s="1"/>
  <c r="H99" i="2"/>
  <c r="AC57" i="11"/>
  <c r="H105" i="2"/>
  <c r="AC16" i="2"/>
  <c r="S20" i="2"/>
  <c r="U14" i="11"/>
  <c r="AI20" i="2"/>
  <c r="AK14" i="11"/>
  <c r="I15" i="9" s="1"/>
  <c r="P55" i="10"/>
  <c r="AC10" i="11"/>
  <c r="AC99" i="11" s="1"/>
  <c r="AF55" i="10"/>
  <c r="AS10" i="11"/>
  <c r="W62" i="2"/>
  <c r="Y39" i="11"/>
  <c r="AM62" i="2"/>
  <c r="AO39" i="11"/>
  <c r="N16" i="17" s="1"/>
  <c r="AI65" i="11"/>
  <c r="K88" i="2"/>
  <c r="AI98" i="2"/>
  <c r="AK50" i="11"/>
  <c r="J65" i="17" s="1"/>
  <c r="AJ98" i="2"/>
  <c r="AO8" i="11"/>
  <c r="M9" i="9" s="1"/>
  <c r="Q113" i="2"/>
  <c r="AJ112" i="2"/>
  <c r="I8" i="2"/>
  <c r="AL10" i="2"/>
  <c r="AD10" i="11"/>
  <c r="AD99" i="11" s="1"/>
  <c r="AH13" i="11"/>
  <c r="AK64" i="11"/>
  <c r="Q96" i="16"/>
  <c r="AN10" i="2"/>
  <c r="AK16" i="2"/>
  <c r="P56" i="10"/>
  <c r="H23" i="2"/>
  <c r="I42" i="2"/>
  <c r="H44" i="2"/>
  <c r="I52" i="2"/>
  <c r="AE62" i="2"/>
  <c r="P62" i="2"/>
  <c r="H78" i="2"/>
  <c r="AB61" i="11"/>
  <c r="AB83" i="11" s="1"/>
  <c r="X100" i="2"/>
  <c r="AG106" i="2"/>
  <c r="AG113" i="2" s="1"/>
  <c r="AI64" i="11"/>
  <c r="T113" i="2"/>
  <c r="I95" i="2"/>
  <c r="I82" i="2"/>
  <c r="I18" i="2"/>
  <c r="I104" i="2"/>
  <c r="I86" i="2"/>
  <c r="I84" i="2"/>
  <c r="AG55" i="10"/>
  <c r="AR20" i="2"/>
  <c r="AI100" i="2"/>
  <c r="AH16" i="2"/>
  <c r="AJ18" i="11"/>
  <c r="H19" i="9" s="1"/>
  <c r="AD39" i="11"/>
  <c r="T20" i="2"/>
  <c r="H64" i="2"/>
  <c r="Q12" i="11"/>
  <c r="AG12" i="11"/>
  <c r="R13" i="11"/>
  <c r="AN19" i="11"/>
  <c r="AB34" i="11"/>
  <c r="AB100" i="11" s="1"/>
  <c r="AR34" i="11"/>
  <c r="Q11" i="17" s="1"/>
  <c r="AO53" i="11"/>
  <c r="N68" i="17" s="1"/>
  <c r="P64" i="11"/>
  <c r="AK65" i="11"/>
  <c r="K8" i="2"/>
  <c r="AO10" i="2"/>
  <c r="V16" i="2"/>
  <c r="I13" i="2"/>
  <c r="E15" i="2"/>
  <c r="Z20" i="2"/>
  <c r="K41" i="2"/>
  <c r="I41" i="2"/>
  <c r="I45" i="2"/>
  <c r="H58" i="2"/>
  <c r="O62" i="2"/>
  <c r="Q69" i="2"/>
  <c r="AJ69" i="2"/>
  <c r="H77" i="2"/>
  <c r="I83" i="2"/>
  <c r="H86" i="2"/>
  <c r="E88" i="2"/>
  <c r="K97" i="2"/>
  <c r="K1" i="33"/>
  <c r="AL14" i="11"/>
  <c r="J15" i="9" s="1"/>
  <c r="AM65" i="11"/>
  <c r="R79" i="2"/>
  <c r="R101" i="2" s="1"/>
  <c r="Z85" i="2"/>
  <c r="AP85" i="2"/>
  <c r="K92" i="2"/>
  <c r="H92" i="2"/>
  <c r="Q10" i="11"/>
  <c r="Q99" i="11" s="1"/>
  <c r="AG10" i="11"/>
  <c r="AG99" i="11" s="1"/>
  <c r="AR32" i="11"/>
  <c r="Q9" i="17" s="1"/>
  <c r="AL56" i="11"/>
  <c r="AL75" i="11" s="1"/>
  <c r="R64" i="11"/>
  <c r="R103" i="16"/>
  <c r="AM20" i="2"/>
  <c r="AD28" i="2"/>
  <c r="S56" i="10"/>
  <c r="N28" i="2"/>
  <c r="X39" i="2"/>
  <c r="M99" i="16"/>
  <c r="AN39" i="2"/>
  <c r="I36" i="2"/>
  <c r="E44" i="2"/>
  <c r="H45" i="2"/>
  <c r="AI62" i="2"/>
  <c r="T62" i="2"/>
  <c r="T79" i="2" s="1"/>
  <c r="T101" i="2" s="1"/>
  <c r="S69" i="2"/>
  <c r="E70" i="2"/>
  <c r="I71" i="2"/>
  <c r="H80" i="2"/>
  <c r="AF98" i="2"/>
  <c r="K95" i="2"/>
  <c r="V106" i="2"/>
  <c r="X64" i="11"/>
  <c r="AR112" i="2"/>
  <c r="Y8" i="11"/>
  <c r="AM16" i="2"/>
  <c r="K14" i="2"/>
  <c r="V65" i="11"/>
  <c r="AH62" i="2"/>
  <c r="Q9" i="11"/>
  <c r="AG9" i="11"/>
  <c r="T12" i="11"/>
  <c r="AJ12" i="11"/>
  <c r="H13" i="9" s="1"/>
  <c r="X14" i="11"/>
  <c r="T39" i="11"/>
  <c r="AJ39" i="11"/>
  <c r="I16" i="17" s="1"/>
  <c r="AB50" i="11"/>
  <c r="AB10" i="2"/>
  <c r="AR10" i="2"/>
  <c r="AA28" i="2"/>
  <c r="AP39" i="2"/>
  <c r="AP47" i="2" s="1"/>
  <c r="AJ62" i="2"/>
  <c r="K57" i="2"/>
  <c r="T69" i="2"/>
  <c r="H76" i="2"/>
  <c r="AE98" i="2"/>
  <c r="AB98" i="2"/>
  <c r="AG98" i="2"/>
  <c r="I99" i="2"/>
  <c r="AK106" i="2"/>
  <c r="AM64" i="11"/>
  <c r="AS53" i="11"/>
  <c r="R68" i="17" s="1"/>
  <c r="H37" i="2"/>
  <c r="H41" i="2"/>
  <c r="H42" i="2"/>
  <c r="Y65" i="11"/>
  <c r="AM79" i="2"/>
  <c r="AK62" i="2"/>
  <c r="K70" i="2"/>
  <c r="AB18" i="11"/>
  <c r="AR18" i="11"/>
  <c r="P19" i="9" s="1"/>
  <c r="AT31" i="11"/>
  <c r="AN62" i="11"/>
  <c r="AN77" i="11" s="1"/>
  <c r="AE20" i="2"/>
  <c r="AA39" i="2"/>
  <c r="AQ39" i="2"/>
  <c r="AQ47" i="2" s="1"/>
  <c r="E37" i="2"/>
  <c r="I53" i="2"/>
  <c r="V62" i="2"/>
  <c r="I108" i="2"/>
  <c r="AC112" i="2"/>
  <c r="AC113" i="2" s="1"/>
  <c r="AM112" i="2"/>
  <c r="AM113" i="2" s="1"/>
  <c r="S5" i="33"/>
  <c r="D9" i="35"/>
  <c r="AE19" i="11"/>
  <c r="AE28" i="11" s="1"/>
  <c r="AE49" i="11"/>
  <c r="E35" i="2"/>
  <c r="Y62" i="2"/>
  <c r="K89" i="2"/>
  <c r="I89" i="2"/>
  <c r="I94" i="2"/>
  <c r="E104" i="2"/>
  <c r="D8" i="35"/>
  <c r="D25" i="35"/>
  <c r="C8" i="38"/>
  <c r="R18" i="11"/>
  <c r="AH18" i="11"/>
  <c r="I15" i="2"/>
  <c r="N20" i="2"/>
  <c r="N29" i="2" s="1"/>
  <c r="Q39" i="2"/>
  <c r="Q47" i="2" s="1"/>
  <c r="AG39" i="2"/>
  <c r="R39" i="2"/>
  <c r="R47" i="2" s="1"/>
  <c r="AH39" i="2"/>
  <c r="AH47" i="2" s="1"/>
  <c r="AA62" i="2"/>
  <c r="H55" i="2"/>
  <c r="AQ62" i="2"/>
  <c r="H56" i="2"/>
  <c r="T100" i="2"/>
  <c r="AR85" i="2"/>
  <c r="AR100" i="2" s="1"/>
  <c r="S112" i="2"/>
  <c r="U56" i="11"/>
  <c r="U75" i="11" s="1"/>
  <c r="AI112" i="2"/>
  <c r="AI113" i="2" s="1"/>
  <c r="AK56" i="11"/>
  <c r="AK75" i="11" s="1"/>
  <c r="I110" i="2"/>
  <c r="U113" i="2"/>
  <c r="K28" i="35"/>
  <c r="C129" i="11" s="1"/>
  <c r="AQ100" i="2"/>
  <c r="K110" i="2"/>
  <c r="R16" i="2"/>
  <c r="AN98" i="2"/>
  <c r="T18" i="11"/>
  <c r="H15" i="2"/>
  <c r="K58" i="2"/>
  <c r="AF65" i="11"/>
  <c r="E67" i="2"/>
  <c r="H96" i="2"/>
  <c r="AA8" i="11"/>
  <c r="AQ8" i="11"/>
  <c r="O9" i="9" s="1"/>
  <c r="AD11" i="11"/>
  <c r="AT11" i="11"/>
  <c r="U18" i="11"/>
  <c r="AK18" i="11"/>
  <c r="I19" i="9" s="1"/>
  <c r="AK19" i="11"/>
  <c r="AN50" i="11"/>
  <c r="M65" i="17" s="1"/>
  <c r="AD62" i="11"/>
  <c r="AD77" i="11" s="1"/>
  <c r="AM10" i="2"/>
  <c r="T39" i="2"/>
  <c r="AF62" i="2"/>
  <c r="O69" i="2"/>
  <c r="AE69" i="2"/>
  <c r="E68" i="2"/>
  <c r="I75" i="2"/>
  <c r="I77" i="2"/>
  <c r="W100" i="2"/>
  <c r="AM98" i="2"/>
  <c r="AM100" i="2" s="1"/>
  <c r="S106" i="2"/>
  <c r="V112" i="2"/>
  <c r="X56" i="11"/>
  <c r="X75" i="11" s="1"/>
  <c r="I109" i="2"/>
  <c r="Q112" i="2"/>
  <c r="F13" i="33"/>
  <c r="AK10" i="2"/>
  <c r="O16" i="2"/>
  <c r="AE16" i="2"/>
  <c r="E14" i="2"/>
  <c r="K15" i="2"/>
  <c r="C57" i="10"/>
  <c r="AL65" i="11"/>
  <c r="AB69" i="2"/>
  <c r="AR69" i="2"/>
  <c r="H73" i="2"/>
  <c r="K96" i="2"/>
  <c r="AP113" i="2"/>
  <c r="J10" i="33"/>
  <c r="M14" i="55"/>
  <c r="M9" i="55"/>
  <c r="P9" i="59"/>
  <c r="P98" i="59"/>
  <c r="P23" i="59"/>
  <c r="M26" i="55"/>
  <c r="P53" i="46"/>
  <c r="M7" i="55"/>
  <c r="Q9" i="59"/>
  <c r="Q126" i="59"/>
  <c r="Q98" i="59"/>
  <c r="K68" i="59"/>
  <c r="K53" i="59"/>
  <c r="K38" i="59"/>
  <c r="P9" i="46"/>
  <c r="M34" i="55"/>
  <c r="D61" i="12"/>
  <c r="K27" i="19" s="1"/>
  <c r="M32" i="55"/>
  <c r="M15" i="55"/>
  <c r="P83" i="59"/>
  <c r="P68" i="59"/>
  <c r="M35" i="55"/>
  <c r="M22" i="55"/>
  <c r="P53" i="59"/>
  <c r="M25" i="55"/>
  <c r="M13" i="55"/>
  <c r="P38" i="59"/>
  <c r="M16" i="55"/>
  <c r="J1" i="46"/>
  <c r="J9" i="46" s="1"/>
  <c r="P126" i="59"/>
  <c r="AQ10" i="2"/>
  <c r="Y16" i="2"/>
  <c r="I12" i="2"/>
  <c r="AA20" i="2"/>
  <c r="K59" i="2"/>
  <c r="E64" i="2"/>
  <c r="K73" i="2"/>
  <c r="K74" i="2"/>
  <c r="I74" i="2"/>
  <c r="K76" i="2"/>
  <c r="K80" i="2"/>
  <c r="AA85" i="2"/>
  <c r="AA100" i="2" s="1"/>
  <c r="I97" i="2"/>
  <c r="AK112" i="2"/>
  <c r="AK113" i="2" s="1"/>
  <c r="P112" i="2"/>
  <c r="P113" i="2" s="1"/>
  <c r="M28" i="55"/>
  <c r="P113" i="59"/>
  <c r="F7" i="49"/>
  <c r="C33" i="51"/>
  <c r="G29" i="51" s="1"/>
  <c r="C36" i="31"/>
  <c r="M17" i="55"/>
  <c r="H12" i="2"/>
  <c r="AQ16" i="2"/>
  <c r="H14" i="2"/>
  <c r="K44" i="2"/>
  <c r="I44" i="2"/>
  <c r="I58" i="2"/>
  <c r="AJ85" i="2"/>
  <c r="AJ100" i="2" s="1"/>
  <c r="I87" i="2"/>
  <c r="AL113" i="2"/>
  <c r="W112" i="2"/>
  <c r="R112" i="2"/>
  <c r="R113" i="2" s="1"/>
  <c r="D14" i="35"/>
  <c r="T14" i="35" s="1"/>
  <c r="Q1" i="46"/>
  <c r="Q9" i="46" s="1"/>
  <c r="H7" i="30"/>
  <c r="C27" i="31"/>
  <c r="E29" i="51"/>
  <c r="G26" i="31"/>
  <c r="E26" i="31"/>
  <c r="C26" i="31"/>
  <c r="G25" i="31"/>
  <c r="E25" i="31"/>
  <c r="C25" i="31"/>
  <c r="G29" i="31"/>
  <c r="G24" i="31"/>
  <c r="C43" i="31"/>
  <c r="C29" i="51"/>
  <c r="D29" i="51" s="1"/>
  <c r="E29" i="31"/>
  <c r="C42" i="31"/>
  <c r="C29" i="31"/>
  <c r="E24" i="31"/>
  <c r="C41" i="31"/>
  <c r="C16" i="31" s="1" a="1"/>
  <c r="C16" i="31" s="1"/>
  <c r="C34" i="51"/>
  <c r="G28" i="31"/>
  <c r="E28" i="31"/>
  <c r="C24" i="31"/>
  <c r="C28" i="31"/>
  <c r="G27" i="31"/>
  <c r="E27" i="31"/>
  <c r="C30" i="31"/>
  <c r="AH10" i="2"/>
  <c r="AR16" i="2"/>
  <c r="AR29" i="2" s="1"/>
  <c r="AL20" i="2"/>
  <c r="V47" i="2"/>
  <c r="I37" i="2"/>
  <c r="K53" i="2"/>
  <c r="AP62" i="2"/>
  <c r="N100" i="2"/>
  <c r="I88" i="2"/>
  <c r="Q15" i="35"/>
  <c r="S15" i="35" s="1"/>
  <c r="G30" i="31"/>
  <c r="F26" i="49"/>
  <c r="M33" i="55"/>
  <c r="AN20" i="2"/>
  <c r="K34" i="2"/>
  <c r="Z69" i="2"/>
  <c r="AP69" i="2"/>
  <c r="I70" i="2"/>
  <c r="F13" i="49"/>
  <c r="L11" i="51" a="1"/>
  <c r="L11" i="51" s="1"/>
  <c r="L12" i="51" a="1"/>
  <c r="L12" i="51" s="1"/>
  <c r="L13" i="51" a="1"/>
  <c r="L13" i="51" s="1"/>
  <c r="L14" i="51" a="1"/>
  <c r="L14" i="51" s="1"/>
  <c r="L16" i="51" a="1"/>
  <c r="L16" i="51" s="1"/>
  <c r="L18" i="51" a="1"/>
  <c r="L18" i="51" s="1"/>
  <c r="L19" i="51" a="1"/>
  <c r="L19" i="51" s="1"/>
  <c r="L20" i="51" a="1"/>
  <c r="L20" i="51" s="1"/>
  <c r="L21" i="51" a="1"/>
  <c r="L21" i="51" s="1"/>
  <c r="L22" i="51" a="1"/>
  <c r="L22" i="51" s="1"/>
  <c r="L7" i="51" a="1"/>
  <c r="L7" i="51" s="1"/>
  <c r="L9" i="51" a="1"/>
  <c r="L9" i="51" s="1"/>
  <c r="L8" i="51" a="1"/>
  <c r="L8" i="51" s="1"/>
  <c r="L10" i="51" a="1"/>
  <c r="L10" i="51" s="1"/>
  <c r="L15" i="51" a="1"/>
  <c r="L15" i="51" s="1"/>
  <c r="L17" i="51" a="1"/>
  <c r="L17" i="51" s="1"/>
  <c r="L23" i="51" a="1"/>
  <c r="L23" i="51" s="1"/>
  <c r="L24" i="51" a="1"/>
  <c r="L24" i="51" s="1"/>
  <c r="L26" i="51" a="1"/>
  <c r="L26" i="51" s="1"/>
  <c r="L25" i="51" a="1"/>
  <c r="L25" i="51" s="1"/>
  <c r="M23" i="55"/>
  <c r="M8" i="55"/>
  <c r="H9" i="59"/>
  <c r="F18" i="49"/>
  <c r="F9" i="49"/>
  <c r="O9" i="59"/>
  <c r="I9" i="59"/>
  <c r="J9" i="59"/>
  <c r="F6" i="49"/>
  <c r="F23" i="49"/>
  <c r="F16" i="49"/>
  <c r="F30" i="49"/>
  <c r="P8" i="59"/>
  <c r="H8" i="59"/>
  <c r="F20" i="49"/>
  <c r="I8" i="59"/>
  <c r="F28" i="49"/>
  <c r="J8" i="59"/>
  <c r="K8" i="59"/>
  <c r="O8" i="59"/>
  <c r="Q8" i="59"/>
  <c r="R5" i="59"/>
  <c r="Q1" i="59"/>
  <c r="K1" i="59"/>
  <c r="L5" i="59"/>
  <c r="B33" i="9"/>
  <c r="B21" i="17"/>
  <c r="B42" i="9"/>
  <c r="B22" i="17"/>
  <c r="D20" i="35"/>
  <c r="B23" i="17"/>
  <c r="G20" i="9"/>
  <c r="AI28" i="11"/>
  <c r="H20" i="9"/>
  <c r="H23" i="9" s="1"/>
  <c r="AJ28" i="11"/>
  <c r="I20" i="9"/>
  <c r="AK28" i="11"/>
  <c r="R20" i="9"/>
  <c r="AT28" i="11"/>
  <c r="K20" i="9"/>
  <c r="AM28" i="11"/>
  <c r="L20" i="9"/>
  <c r="L23" i="9" s="1"/>
  <c r="AN28" i="11"/>
  <c r="M20" i="9"/>
  <c r="M23" i="9" s="1"/>
  <c r="AO28" i="11"/>
  <c r="N20" i="9"/>
  <c r="N23" i="9" s="1"/>
  <c r="AP28" i="11"/>
  <c r="O20" i="9"/>
  <c r="O23" i="9" s="1"/>
  <c r="AQ28" i="11"/>
  <c r="P20" i="9"/>
  <c r="P23" i="9" s="1"/>
  <c r="AR28" i="11"/>
  <c r="Q20" i="9"/>
  <c r="AS28" i="11"/>
  <c r="S104" i="11"/>
  <c r="W22" i="11"/>
  <c r="L107" i="16"/>
  <c r="T15" i="11"/>
  <c r="G104" i="16" s="1"/>
  <c r="N107" i="16"/>
  <c r="Q9" i="35"/>
  <c r="V15" i="11"/>
  <c r="P22" i="11"/>
  <c r="AF22" i="11"/>
  <c r="AD22" i="11"/>
  <c r="Z104" i="11"/>
  <c r="AB15" i="11"/>
  <c r="O104" i="16" s="1"/>
  <c r="AE104" i="11"/>
  <c r="E107" i="16"/>
  <c r="AA22" i="11"/>
  <c r="P107" i="16"/>
  <c r="R107" i="16"/>
  <c r="AC104" i="11"/>
  <c r="T22" i="11"/>
  <c r="D107" i="16"/>
  <c r="T107" i="16"/>
  <c r="Q104" i="11"/>
  <c r="AG104" i="11"/>
  <c r="I107" i="16"/>
  <c r="I108" i="16" s="1"/>
  <c r="AB22" i="11"/>
  <c r="V104" i="11"/>
  <c r="Q40" i="11"/>
  <c r="AG40" i="11"/>
  <c r="X104" i="11"/>
  <c r="B29" i="9"/>
  <c r="Y15" i="11"/>
  <c r="L104" i="16" s="1"/>
  <c r="R22" i="11"/>
  <c r="AH22" i="11"/>
  <c r="U40" i="11"/>
  <c r="B37" i="17"/>
  <c r="S40" i="11"/>
  <c r="W15" i="11"/>
  <c r="S22" i="11"/>
  <c r="B38" i="17"/>
  <c r="W40" i="11"/>
  <c r="B38" i="9"/>
  <c r="B39" i="17"/>
  <c r="AA15" i="11"/>
  <c r="N100" i="16" s="1"/>
  <c r="U22" i="11"/>
  <c r="V22" i="11"/>
  <c r="X40" i="11"/>
  <c r="C107" i="16"/>
  <c r="C108" i="16" s="1"/>
  <c r="S107" i="16"/>
  <c r="S108" i="16" s="1"/>
  <c r="B20" i="17"/>
  <c r="Y40" i="11"/>
  <c r="Z40" i="11"/>
  <c r="X22" i="11"/>
  <c r="AA40" i="11"/>
  <c r="F107" i="16"/>
  <c r="Y22" i="11"/>
  <c r="Y24" i="11" s="1"/>
  <c r="AB40" i="11"/>
  <c r="AH99" i="16"/>
  <c r="B24" i="17"/>
  <c r="AC15" i="11"/>
  <c r="P104" i="16" s="1"/>
  <c r="P15" i="11"/>
  <c r="C100" i="16" s="1"/>
  <c r="AF15" i="11"/>
  <c r="S104" i="16" s="1"/>
  <c r="Z22" i="11"/>
  <c r="AC40" i="11"/>
  <c r="U46" i="11"/>
  <c r="Y66" i="11"/>
  <c r="B25" i="17"/>
  <c r="Q15" i="11"/>
  <c r="D100" i="16" s="1"/>
  <c r="AG15" i="11"/>
  <c r="T104" i="16" s="1"/>
  <c r="J68" i="8"/>
  <c r="M68" i="8" s="1"/>
  <c r="U104" i="11"/>
  <c r="AE40" i="11"/>
  <c r="C130" i="11"/>
  <c r="K32" i="11" s="1"/>
  <c r="E9" i="17" s="1"/>
  <c r="S15" i="11"/>
  <c r="F104" i="16" s="1"/>
  <c r="AC22" i="11"/>
  <c r="Q23" i="9"/>
  <c r="P40" i="11"/>
  <c r="AF40" i="11"/>
  <c r="K107" i="16"/>
  <c r="W104" i="11"/>
  <c r="AS66" i="11"/>
  <c r="R72" i="17" s="1"/>
  <c r="U15" i="11"/>
  <c r="H104" i="16" s="1"/>
  <c r="AE22" i="11"/>
  <c r="R40" i="11"/>
  <c r="M107" i="16"/>
  <c r="Q22" i="11"/>
  <c r="AG22" i="11"/>
  <c r="T40" i="11"/>
  <c r="O107" i="16"/>
  <c r="C51" i="47"/>
  <c r="C59" i="47" s="1"/>
  <c r="C55" i="47"/>
  <c r="C63" i="47" s="1"/>
  <c r="C52" i="47"/>
  <c r="C60" i="47" s="1"/>
  <c r="C53" i="47"/>
  <c r="C61" i="47" s="1"/>
  <c r="S11" i="38"/>
  <c r="S12" i="38"/>
  <c r="S9" i="38"/>
  <c r="S10" i="38"/>
  <c r="D8" i="38"/>
  <c r="R9" i="38"/>
  <c r="R10" i="38"/>
  <c r="S8" i="38"/>
  <c r="T5" i="38"/>
  <c r="Z5" i="11"/>
  <c r="AA5" i="11" s="1"/>
  <c r="AB5" i="11" s="1"/>
  <c r="AC5" i="11" s="1"/>
  <c r="AD5" i="11" s="1"/>
  <c r="AE5" i="11" s="1"/>
  <c r="AF5" i="11" s="1"/>
  <c r="AG5" i="11" s="1"/>
  <c r="AH5" i="11" s="1"/>
  <c r="Q10" i="38"/>
  <c r="Q9" i="38"/>
  <c r="Q11" i="38"/>
  <c r="R8" i="38"/>
  <c r="N5" i="38"/>
  <c r="M8" i="38"/>
  <c r="J10" i="38"/>
  <c r="J12" i="38"/>
  <c r="J9" i="38"/>
  <c r="K10" i="38"/>
  <c r="K12" i="38"/>
  <c r="K9" i="38"/>
  <c r="K11" i="38"/>
  <c r="J11" i="38"/>
  <c r="M1" i="38"/>
  <c r="Q12" i="38"/>
  <c r="AD15" i="11"/>
  <c r="Q104" i="16" s="1"/>
  <c r="C116" i="11"/>
  <c r="K11" i="11" s="1"/>
  <c r="R12" i="9"/>
  <c r="J19" i="9"/>
  <c r="G8" i="9"/>
  <c r="H38" i="9" s="1"/>
  <c r="G38" i="9"/>
  <c r="AI15" i="11"/>
  <c r="V100" i="16" s="1"/>
  <c r="G39" i="9"/>
  <c r="G9" i="9"/>
  <c r="H39" i="9" s="1"/>
  <c r="G40" i="9"/>
  <c r="G10" i="9"/>
  <c r="H40" i="9" s="1"/>
  <c r="L1" i="38"/>
  <c r="K8" i="9"/>
  <c r="AM15" i="11"/>
  <c r="Z100" i="16" s="1"/>
  <c r="O8" i="9"/>
  <c r="AQ15" i="11"/>
  <c r="AD104" i="16" s="1"/>
  <c r="R13" i="9"/>
  <c r="C115" i="11"/>
  <c r="K12" i="11" s="1"/>
  <c r="R14" i="9"/>
  <c r="C117" i="11"/>
  <c r="K13" i="11" s="1"/>
  <c r="M39" i="9"/>
  <c r="R104" i="11"/>
  <c r="R15" i="9"/>
  <c r="C118" i="11"/>
  <c r="K14" i="11" s="1"/>
  <c r="K39" i="17"/>
  <c r="R8" i="9"/>
  <c r="C111" i="11"/>
  <c r="AT15" i="11"/>
  <c r="AG104" i="16" s="1"/>
  <c r="N39" i="9"/>
  <c r="J40" i="9"/>
  <c r="K37" i="17"/>
  <c r="K58" i="17"/>
  <c r="AE15" i="11"/>
  <c r="O39" i="9"/>
  <c r="K35" i="17"/>
  <c r="K43" i="17"/>
  <c r="Y107" i="16"/>
  <c r="K64" i="17"/>
  <c r="V40" i="11"/>
  <c r="K8" i="17"/>
  <c r="L31" i="17" s="1"/>
  <c r="AL40" i="11"/>
  <c r="K33" i="17"/>
  <c r="C18" i="19"/>
  <c r="K25" i="19"/>
  <c r="AJ10" i="2"/>
  <c r="AL19" i="11"/>
  <c r="M40" i="9"/>
  <c r="J11" i="9"/>
  <c r="J16" i="9" s="1"/>
  <c r="AL99" i="11"/>
  <c r="R104" i="16"/>
  <c r="R15" i="11"/>
  <c r="E100" i="16" s="1"/>
  <c r="AH15" i="11"/>
  <c r="R9" i="9"/>
  <c r="C113" i="11"/>
  <c r="K8" i="11" s="1"/>
  <c r="N40" i="9"/>
  <c r="O40" i="9"/>
  <c r="J42" i="9"/>
  <c r="AL15" i="11"/>
  <c r="Y104" i="16" s="1"/>
  <c r="M11" i="9"/>
  <c r="M16" i="9" s="1"/>
  <c r="AO99" i="11"/>
  <c r="J43" i="9"/>
  <c r="I44" i="9"/>
  <c r="AO15" i="11"/>
  <c r="AB104" i="16" s="1"/>
  <c r="R18" i="9"/>
  <c r="AT22" i="11"/>
  <c r="J44" i="9"/>
  <c r="J45" i="9"/>
  <c r="J38" i="9"/>
  <c r="R40" i="9"/>
  <c r="M42" i="9"/>
  <c r="S15" i="17"/>
  <c r="C135" i="11"/>
  <c r="K38" i="11" s="1"/>
  <c r="S46" i="17"/>
  <c r="C144" i="11"/>
  <c r="K45" i="11" s="1"/>
  <c r="N42" i="9"/>
  <c r="M43" i="9"/>
  <c r="S13" i="17"/>
  <c r="AT103" i="11"/>
  <c r="C133" i="11"/>
  <c r="K36" i="11" s="1"/>
  <c r="AD40" i="11"/>
  <c r="C142" i="11"/>
  <c r="K43" i="11" s="1"/>
  <c r="S44" i="17"/>
  <c r="V46" i="11"/>
  <c r="N44" i="9"/>
  <c r="P15" i="35"/>
  <c r="S11" i="17"/>
  <c r="C136" i="11"/>
  <c r="K34" i="11" s="1"/>
  <c r="AT100" i="11"/>
  <c r="AT40" i="11"/>
  <c r="AL46" i="11"/>
  <c r="AD66" i="11"/>
  <c r="S63" i="17"/>
  <c r="AT66" i="11"/>
  <c r="S72" i="17" s="1"/>
  <c r="M38" i="9"/>
  <c r="AD104" i="11"/>
  <c r="R11" i="9"/>
  <c r="AT99" i="11"/>
  <c r="P7" i="35"/>
  <c r="S7" i="35" s="1"/>
  <c r="S9" i="17"/>
  <c r="Z15" i="11"/>
  <c r="N8" i="9"/>
  <c r="AP15" i="11"/>
  <c r="AC104" i="16" s="1"/>
  <c r="J39" i="9"/>
  <c r="I104" i="16"/>
  <c r="K56" i="10"/>
  <c r="K23" i="2"/>
  <c r="V28" i="2"/>
  <c r="X13" i="11"/>
  <c r="AA56" i="10"/>
  <c r="AL28" i="2"/>
  <c r="I23" i="2"/>
  <c r="AN13" i="11"/>
  <c r="L14" i="9" s="1"/>
  <c r="M44" i="9" s="1"/>
  <c r="K40" i="9"/>
  <c r="K42" i="9"/>
  <c r="K44" i="9"/>
  <c r="AM22" i="11"/>
  <c r="L33" i="17"/>
  <c r="L35" i="17"/>
  <c r="L37" i="17"/>
  <c r="L39" i="17"/>
  <c r="J107" i="16"/>
  <c r="L43" i="17"/>
  <c r="Z107" i="16"/>
  <c r="L58" i="17"/>
  <c r="W46" i="11"/>
  <c r="AM46" i="11"/>
  <c r="L64" i="17"/>
  <c r="AJ99" i="11"/>
  <c r="E13" i="2"/>
  <c r="H18" i="2"/>
  <c r="J55" i="10"/>
  <c r="K19" i="2"/>
  <c r="U20" i="2"/>
  <c r="K20" i="2" s="1"/>
  <c r="Z55" i="10"/>
  <c r="AK20" i="2"/>
  <c r="AK29" i="2" s="1"/>
  <c r="AK48" i="2" s="1"/>
  <c r="L52" i="10"/>
  <c r="K21" i="2"/>
  <c r="AB48" i="10"/>
  <c r="I26" i="2"/>
  <c r="L40" i="9"/>
  <c r="P104" i="11"/>
  <c r="AF104" i="11"/>
  <c r="L42" i="9"/>
  <c r="AN22" i="11"/>
  <c r="M31" i="17"/>
  <c r="M33" i="17"/>
  <c r="M35" i="17"/>
  <c r="M37" i="17"/>
  <c r="M39" i="17"/>
  <c r="M43" i="17"/>
  <c r="N56" i="17" s="1"/>
  <c r="AA107" i="16"/>
  <c r="M58" i="17"/>
  <c r="X46" i="11"/>
  <c r="AN46" i="11"/>
  <c r="P66" i="11"/>
  <c r="AF66" i="11"/>
  <c r="M64" i="17"/>
  <c r="AN99" i="11"/>
  <c r="AF88" i="11"/>
  <c r="P88" i="11"/>
  <c r="AE88" i="11"/>
  <c r="AT88" i="11"/>
  <c r="AD88" i="11"/>
  <c r="AS88" i="11"/>
  <c r="AC88" i="11"/>
  <c r="AR88" i="11"/>
  <c r="AB88" i="11"/>
  <c r="AQ88" i="11"/>
  <c r="AA88" i="11"/>
  <c r="AP88" i="11"/>
  <c r="Z88" i="11"/>
  <c r="AN88" i="11"/>
  <c r="X88" i="11"/>
  <c r="AM88" i="11"/>
  <c r="W88" i="11"/>
  <c r="AL88" i="11"/>
  <c r="V88" i="11"/>
  <c r="AJ88" i="11"/>
  <c r="T88" i="11"/>
  <c r="AI88" i="11"/>
  <c r="S88" i="11"/>
  <c r="AH88" i="11"/>
  <c r="R88" i="11"/>
  <c r="C172" i="11"/>
  <c r="E8" i="19"/>
  <c r="D8" i="19"/>
  <c r="F8" i="19" s="1"/>
  <c r="D9" i="19"/>
  <c r="F9" i="19" s="1"/>
  <c r="I32" i="2"/>
  <c r="L99" i="16"/>
  <c r="L100" i="16" s="1"/>
  <c r="W39" i="2"/>
  <c r="AB99" i="16"/>
  <c r="I34" i="2"/>
  <c r="AM39" i="2"/>
  <c r="AM47" i="2" s="1"/>
  <c r="K46" i="2"/>
  <c r="H46" i="2"/>
  <c r="O96" i="16"/>
  <c r="H63" i="2"/>
  <c r="AE96" i="16"/>
  <c r="I63" i="2"/>
  <c r="AH106" i="2"/>
  <c r="AH113" i="2" s="1"/>
  <c r="AJ64" i="11"/>
  <c r="AO22" i="11"/>
  <c r="N31" i="17"/>
  <c r="N33" i="17"/>
  <c r="N35" i="17"/>
  <c r="N37" i="17"/>
  <c r="N39" i="17"/>
  <c r="N47" i="17"/>
  <c r="N58" i="17"/>
  <c r="Y46" i="11"/>
  <c r="AO46" i="11"/>
  <c r="N64" i="17"/>
  <c r="E18" i="2"/>
  <c r="O20" i="2"/>
  <c r="E20" i="2" s="1"/>
  <c r="AC54" i="10"/>
  <c r="I25" i="2"/>
  <c r="AP22" i="11"/>
  <c r="O31" i="17"/>
  <c r="O33" i="17"/>
  <c r="G11" i="17"/>
  <c r="AH100" i="11"/>
  <c r="O35" i="17"/>
  <c r="O37" i="17"/>
  <c r="O39" i="17"/>
  <c r="AH40" i="11"/>
  <c r="O43" i="17"/>
  <c r="AC107" i="16"/>
  <c r="O58" i="17"/>
  <c r="Z46" i="11"/>
  <c r="AP46" i="11"/>
  <c r="G63" i="17"/>
  <c r="AC47" i="2"/>
  <c r="Y39" i="2"/>
  <c r="Y47" i="2" s="1"/>
  <c r="H35" i="2"/>
  <c r="K36" i="2"/>
  <c r="G11" i="9"/>
  <c r="G41" i="9"/>
  <c r="AI99" i="11"/>
  <c r="O42" i="9"/>
  <c r="G43" i="9"/>
  <c r="G13" i="9"/>
  <c r="H43" i="9" s="1"/>
  <c r="O44" i="9"/>
  <c r="G45" i="9"/>
  <c r="G15" i="9"/>
  <c r="H45" i="9" s="1"/>
  <c r="G18" i="9"/>
  <c r="G23" i="9" s="1"/>
  <c r="C123" i="11"/>
  <c r="K17" i="11" s="1"/>
  <c r="AQ22" i="11"/>
  <c r="P31" i="17"/>
  <c r="H32" i="17"/>
  <c r="P33" i="17"/>
  <c r="H11" i="17"/>
  <c r="AI100" i="11"/>
  <c r="P35" i="17"/>
  <c r="H13" i="17"/>
  <c r="AI103" i="11"/>
  <c r="P37" i="17"/>
  <c r="H38" i="17"/>
  <c r="P39" i="17"/>
  <c r="AI40" i="11"/>
  <c r="P43" i="17"/>
  <c r="AD107" i="16"/>
  <c r="H57" i="17"/>
  <c r="P58" i="17"/>
  <c r="H59" i="17"/>
  <c r="AA46" i="11"/>
  <c r="AQ46" i="11"/>
  <c r="S66" i="11"/>
  <c r="H63" i="17"/>
  <c r="AI66" i="11"/>
  <c r="H72" i="17" s="1"/>
  <c r="P64" i="17"/>
  <c r="AG88" i="11"/>
  <c r="I100" i="16"/>
  <c r="Q20" i="2"/>
  <c r="Q29" i="2" s="1"/>
  <c r="AG20" i="2"/>
  <c r="AG29" i="2" s="1"/>
  <c r="P52" i="10"/>
  <c r="H21" i="2"/>
  <c r="P38" i="9"/>
  <c r="P40" i="9"/>
  <c r="P42" i="9"/>
  <c r="P44" i="9"/>
  <c r="AR15" i="11"/>
  <c r="AE100" i="16" s="1"/>
  <c r="AR22" i="11"/>
  <c r="Q31" i="17"/>
  <c r="I32" i="17"/>
  <c r="Q33" i="17"/>
  <c r="I11" i="17"/>
  <c r="AJ100" i="11"/>
  <c r="Q35" i="17"/>
  <c r="I13" i="17"/>
  <c r="AJ103" i="11"/>
  <c r="Q37" i="17"/>
  <c r="I38" i="17"/>
  <c r="Q39" i="17"/>
  <c r="AJ40" i="11"/>
  <c r="Q43" i="17"/>
  <c r="AE107" i="16"/>
  <c r="I57" i="17"/>
  <c r="Q58" i="17"/>
  <c r="I59" i="17"/>
  <c r="AB46" i="11"/>
  <c r="AR46" i="11"/>
  <c r="T66" i="11"/>
  <c r="I63" i="17"/>
  <c r="Q64" i="17"/>
  <c r="AK88" i="11"/>
  <c r="J100" i="16"/>
  <c r="I9" i="2"/>
  <c r="V29" i="2"/>
  <c r="V48" i="2" s="1"/>
  <c r="H32" i="2"/>
  <c r="AA47" i="2"/>
  <c r="AO39" i="2"/>
  <c r="AO47" i="2" s="1"/>
  <c r="U62" i="2"/>
  <c r="K56" i="2"/>
  <c r="E63" i="2"/>
  <c r="C96" i="16"/>
  <c r="AD98" i="2"/>
  <c r="H91" i="2"/>
  <c r="Q38" i="9"/>
  <c r="I39" i="9"/>
  <c r="Q40" i="9"/>
  <c r="I11" i="9"/>
  <c r="I16" i="9" s="1"/>
  <c r="AK99" i="11"/>
  <c r="Q42" i="9"/>
  <c r="I43" i="9"/>
  <c r="Q44" i="9"/>
  <c r="I45" i="9"/>
  <c r="AS15" i="11"/>
  <c r="AF104" i="16" s="1"/>
  <c r="I23" i="9"/>
  <c r="AS22" i="11"/>
  <c r="R31" i="17"/>
  <c r="J32" i="17"/>
  <c r="R33" i="17"/>
  <c r="J11" i="17"/>
  <c r="AK100" i="11"/>
  <c r="R35" i="17"/>
  <c r="J13" i="17"/>
  <c r="K36" i="17" s="1"/>
  <c r="AK103" i="11"/>
  <c r="R37" i="17"/>
  <c r="J38" i="17"/>
  <c r="R39" i="17"/>
  <c r="AK40" i="11"/>
  <c r="R43" i="17"/>
  <c r="AF107" i="16"/>
  <c r="J57" i="17"/>
  <c r="R58" i="17"/>
  <c r="J59" i="17"/>
  <c r="AC46" i="11"/>
  <c r="AS46" i="11"/>
  <c r="U66" i="11"/>
  <c r="J63" i="17"/>
  <c r="AK66" i="11"/>
  <c r="J72" i="17" s="1"/>
  <c r="R64" i="17"/>
  <c r="AO88" i="11"/>
  <c r="AR100" i="11"/>
  <c r="I21" i="2"/>
  <c r="R51" i="10"/>
  <c r="H24" i="2"/>
  <c r="E25" i="2"/>
  <c r="Q54" i="10"/>
  <c r="H25" i="2"/>
  <c r="P47" i="2"/>
  <c r="E31" i="2"/>
  <c r="R63" i="11"/>
  <c r="H31" i="2"/>
  <c r="AF47" i="2"/>
  <c r="AH63" i="11"/>
  <c r="AR39" i="2"/>
  <c r="AR47" i="2" s="1"/>
  <c r="H36" i="2"/>
  <c r="P28" i="35"/>
  <c r="S28" i="35" s="1"/>
  <c r="S8" i="17"/>
  <c r="K32" i="17"/>
  <c r="P8" i="35"/>
  <c r="S8" i="35" s="1"/>
  <c r="T8" i="35" s="1"/>
  <c r="S10" i="17"/>
  <c r="K33" i="11"/>
  <c r="K11" i="17"/>
  <c r="AL100" i="11"/>
  <c r="S35" i="17"/>
  <c r="P19" i="35"/>
  <c r="S19" i="35" s="1"/>
  <c r="S14" i="17"/>
  <c r="K37" i="11"/>
  <c r="K38" i="17"/>
  <c r="S16" i="17"/>
  <c r="C137" i="11"/>
  <c r="K39" i="11" s="1"/>
  <c r="Q107" i="16"/>
  <c r="S43" i="17"/>
  <c r="AG107" i="16"/>
  <c r="C141" i="11"/>
  <c r="K57" i="17"/>
  <c r="S45" i="17"/>
  <c r="C143" i="11"/>
  <c r="K44" i="11" s="1"/>
  <c r="K59" i="17"/>
  <c r="AD46" i="11"/>
  <c r="AT46" i="11"/>
  <c r="K63" i="17"/>
  <c r="Q66" i="11"/>
  <c r="H107" i="16"/>
  <c r="H108" i="16" s="1"/>
  <c r="K26" i="19"/>
  <c r="C26" i="19" s="1"/>
  <c r="K12" i="2"/>
  <c r="U16" i="2"/>
  <c r="O53" i="10"/>
  <c r="K27" i="2"/>
  <c r="H27" i="2"/>
  <c r="AE53" i="10"/>
  <c r="I27" i="2"/>
  <c r="AG47" i="2"/>
  <c r="AL62" i="2"/>
  <c r="I62" i="2" s="1"/>
  <c r="I55" i="2"/>
  <c r="Z65" i="11"/>
  <c r="Z66" i="11" s="1"/>
  <c r="E77" i="2"/>
  <c r="K39" i="9"/>
  <c r="K11" i="9"/>
  <c r="L41" i="9" s="1"/>
  <c r="AM99" i="11"/>
  <c r="C114" i="11"/>
  <c r="K10" i="11" s="1"/>
  <c r="K99" i="11" s="1"/>
  <c r="K43" i="9"/>
  <c r="K45" i="9"/>
  <c r="K23" i="9"/>
  <c r="L32" i="17"/>
  <c r="L11" i="17"/>
  <c r="AM100" i="11"/>
  <c r="L13" i="17"/>
  <c r="AM103" i="11"/>
  <c r="L38" i="17"/>
  <c r="AM40" i="11"/>
  <c r="L57" i="17"/>
  <c r="L59" i="17"/>
  <c r="AE46" i="11"/>
  <c r="W66" i="11"/>
  <c r="L63" i="17"/>
  <c r="AM66" i="11"/>
  <c r="L72" i="17" s="1"/>
  <c r="J200" i="11"/>
  <c r="AC29" i="2"/>
  <c r="AC48" i="2" s="1"/>
  <c r="N39" i="2"/>
  <c r="I69" i="2"/>
  <c r="L39" i="9"/>
  <c r="L43" i="9"/>
  <c r="L45" i="9"/>
  <c r="M32" i="17"/>
  <c r="M11" i="17"/>
  <c r="AN100" i="11"/>
  <c r="M13" i="17"/>
  <c r="AN103" i="11"/>
  <c r="M38" i="17"/>
  <c r="AN40" i="11"/>
  <c r="M57" i="17"/>
  <c r="M59" i="17"/>
  <c r="P46" i="11"/>
  <c r="AF46" i="11"/>
  <c r="X66" i="11"/>
  <c r="AN66" i="11"/>
  <c r="M72" i="17" s="1"/>
  <c r="M63" i="17"/>
  <c r="X107" i="16"/>
  <c r="K18" i="2"/>
  <c r="M45" i="9"/>
  <c r="N32" i="17"/>
  <c r="N11" i="17"/>
  <c r="AO100" i="11"/>
  <c r="N13" i="17"/>
  <c r="AO103" i="11"/>
  <c r="N38" i="17"/>
  <c r="AO40" i="11"/>
  <c r="N57" i="17"/>
  <c r="N59" i="17"/>
  <c r="Q46" i="11"/>
  <c r="AG46" i="11"/>
  <c r="N63" i="17"/>
  <c r="AG66" i="11"/>
  <c r="AB107" i="16"/>
  <c r="K9" i="2"/>
  <c r="H9" i="2"/>
  <c r="AA10" i="2"/>
  <c r="K10" i="2" s="1"/>
  <c r="AD29" i="2"/>
  <c r="T47" i="2"/>
  <c r="V63" i="11"/>
  <c r="V66" i="11" s="1"/>
  <c r="AJ47" i="2"/>
  <c r="AL63" i="11"/>
  <c r="AL66" i="11" s="1"/>
  <c r="K72" i="17" s="1"/>
  <c r="AP65" i="11"/>
  <c r="AP66" i="11" s="1"/>
  <c r="O72" i="17" s="1"/>
  <c r="N11" i="9"/>
  <c r="AP99" i="11"/>
  <c r="N43" i="9"/>
  <c r="N45" i="9"/>
  <c r="O32" i="17"/>
  <c r="O11" i="17"/>
  <c r="AP100" i="11"/>
  <c r="O13" i="17"/>
  <c r="AP103" i="11"/>
  <c r="O38" i="17"/>
  <c r="AP40" i="11"/>
  <c r="G43" i="17"/>
  <c r="U107" i="16"/>
  <c r="O57" i="17"/>
  <c r="O59" i="17"/>
  <c r="R46" i="11"/>
  <c r="AH46" i="11"/>
  <c r="O63" i="17"/>
  <c r="G64" i="17"/>
  <c r="AO66" i="11"/>
  <c r="N72" i="17" s="1"/>
  <c r="G56" i="10"/>
  <c r="R28" i="2"/>
  <c r="R29" i="2" s="1"/>
  <c r="W56" i="10"/>
  <c r="AH28" i="2"/>
  <c r="I38" i="2"/>
  <c r="K40" i="2"/>
  <c r="AE60" i="11"/>
  <c r="AE66" i="11" s="1"/>
  <c r="E41" i="2"/>
  <c r="Z62" i="2"/>
  <c r="K55" i="2"/>
  <c r="E71" i="2"/>
  <c r="AA65" i="11"/>
  <c r="AA66" i="11" s="1"/>
  <c r="Y85" i="2"/>
  <c r="Y100" i="2" s="1"/>
  <c r="AO85" i="2"/>
  <c r="AQ65" i="11"/>
  <c r="AQ66" i="11" s="1"/>
  <c r="P72" i="17" s="1"/>
  <c r="AB112" i="2"/>
  <c r="AB113" i="2" s="1"/>
  <c r="K108" i="2"/>
  <c r="O11" i="9"/>
  <c r="AQ99" i="11"/>
  <c r="G42" i="9"/>
  <c r="G12" i="9"/>
  <c r="O43" i="9"/>
  <c r="G44" i="9"/>
  <c r="G14" i="9"/>
  <c r="H44" i="9" s="1"/>
  <c r="O45" i="9"/>
  <c r="AI22" i="11"/>
  <c r="H31" i="17"/>
  <c r="P32" i="17"/>
  <c r="H33" i="17"/>
  <c r="P11" i="17"/>
  <c r="AQ100" i="11"/>
  <c r="H35" i="17"/>
  <c r="P13" i="17"/>
  <c r="AQ103" i="11"/>
  <c r="H37" i="17"/>
  <c r="P38" i="17"/>
  <c r="H39" i="17"/>
  <c r="AQ40" i="11"/>
  <c r="H43" i="17"/>
  <c r="V107" i="16"/>
  <c r="P57" i="17"/>
  <c r="H58" i="17"/>
  <c r="P59" i="17"/>
  <c r="S46" i="11"/>
  <c r="AI46" i="11"/>
  <c r="P63" i="17"/>
  <c r="H64" i="17"/>
  <c r="AH103" i="11"/>
  <c r="H48" i="10"/>
  <c r="E26" i="2"/>
  <c r="E42" i="2"/>
  <c r="I46" i="2"/>
  <c r="E51" i="2"/>
  <c r="R65" i="11"/>
  <c r="AH65" i="11"/>
  <c r="K61" i="2"/>
  <c r="E61" i="2"/>
  <c r="H16" i="9"/>
  <c r="H33" i="9" s="1"/>
  <c r="P39" i="9"/>
  <c r="AB104" i="11"/>
  <c r="P11" i="9"/>
  <c r="P16" i="9" s="1"/>
  <c r="AR99" i="11"/>
  <c r="P43" i="9"/>
  <c r="P45" i="9"/>
  <c r="AJ15" i="11"/>
  <c r="W100" i="16" s="1"/>
  <c r="AJ22" i="11"/>
  <c r="I31" i="17"/>
  <c r="Q32" i="17"/>
  <c r="I33" i="17"/>
  <c r="I35" i="17"/>
  <c r="Q13" i="17"/>
  <c r="AR103" i="11"/>
  <c r="I37" i="17"/>
  <c r="Q38" i="17"/>
  <c r="I39" i="17"/>
  <c r="AR40" i="11"/>
  <c r="G107" i="16"/>
  <c r="I43" i="17"/>
  <c r="J56" i="17" s="1"/>
  <c r="W107" i="16"/>
  <c r="Q57" i="17"/>
  <c r="I58" i="17"/>
  <c r="Q59" i="17"/>
  <c r="T46" i="11"/>
  <c r="AJ46" i="11"/>
  <c r="AB66" i="11"/>
  <c r="Q63" i="17"/>
  <c r="AR66" i="11"/>
  <c r="Q72" i="17" s="1"/>
  <c r="I64" i="17"/>
  <c r="AL103" i="11"/>
  <c r="S100" i="16"/>
  <c r="AH29" i="2"/>
  <c r="I10" i="2"/>
  <c r="H20" i="2"/>
  <c r="W47" i="2"/>
  <c r="S39" i="2"/>
  <c r="S47" i="2" s="1"/>
  <c r="H99" i="16"/>
  <c r="E34" i="2"/>
  <c r="AI39" i="2"/>
  <c r="AI47" i="2" s="1"/>
  <c r="X99" i="16"/>
  <c r="I38" i="9"/>
  <c r="Q39" i="9"/>
  <c r="I40" i="9"/>
  <c r="Q11" i="9"/>
  <c r="Q16" i="9" s="1"/>
  <c r="AS99" i="11"/>
  <c r="I42" i="9"/>
  <c r="Q43" i="9"/>
  <c r="Q45" i="9"/>
  <c r="AK15" i="11"/>
  <c r="X104" i="16" s="1"/>
  <c r="AK22" i="11"/>
  <c r="J31" i="17"/>
  <c r="R32" i="17"/>
  <c r="J33" i="17"/>
  <c r="R11" i="17"/>
  <c r="AS100" i="11"/>
  <c r="J35" i="17"/>
  <c r="R13" i="17"/>
  <c r="AS103" i="11"/>
  <c r="J37" i="17"/>
  <c r="R38" i="17"/>
  <c r="J39" i="17"/>
  <c r="AS40" i="11"/>
  <c r="J47" i="17"/>
  <c r="R57" i="17"/>
  <c r="J58" i="17"/>
  <c r="R59" i="17"/>
  <c r="AK46" i="11"/>
  <c r="R63" i="17"/>
  <c r="J64" i="17"/>
  <c r="AM29" i="2"/>
  <c r="H13" i="2"/>
  <c r="AB16" i="2"/>
  <c r="AM28" i="2"/>
  <c r="X47" i="2"/>
  <c r="AN47" i="2"/>
  <c r="K35" i="2"/>
  <c r="K37" i="2"/>
  <c r="J103" i="16"/>
  <c r="J104" i="16" s="1"/>
  <c r="Z104" i="16"/>
  <c r="K43" i="2"/>
  <c r="AC65" i="11"/>
  <c r="AC66" i="11" s="1"/>
  <c r="H43" i="2"/>
  <c r="AH79" i="2"/>
  <c r="AH101" i="2" s="1"/>
  <c r="AJ65" i="11"/>
  <c r="K60" i="2"/>
  <c r="H60" i="2"/>
  <c r="E21" i="2"/>
  <c r="W28" i="2"/>
  <c r="W29" i="2" s="1"/>
  <c r="W48" i="2" s="1"/>
  <c r="AO28" i="2"/>
  <c r="U39" i="2"/>
  <c r="K39" i="2" s="1"/>
  <c r="AL39" i="2"/>
  <c r="AL47" i="2" s="1"/>
  <c r="K42" i="2"/>
  <c r="AG79" i="2"/>
  <c r="I56" i="2"/>
  <c r="E59" i="2"/>
  <c r="I66" i="2"/>
  <c r="AN69" i="2"/>
  <c r="K94" i="2"/>
  <c r="H94" i="2"/>
  <c r="H95" i="2"/>
  <c r="B40" i="9"/>
  <c r="H8" i="2"/>
  <c r="E10" i="2"/>
  <c r="AL16" i="2"/>
  <c r="Y28" i="2"/>
  <c r="Y29" i="2" s="1"/>
  <c r="Y48" i="2" s="1"/>
  <c r="AP28" i="2"/>
  <c r="AN62" i="2"/>
  <c r="AN79" i="2" s="1"/>
  <c r="AN101" i="2" s="1"/>
  <c r="I57" i="2"/>
  <c r="C15" i="19"/>
  <c r="Z28" i="2"/>
  <c r="AQ28" i="2"/>
  <c r="S79" i="2"/>
  <c r="S101" i="2" s="1"/>
  <c r="AO62" i="2"/>
  <c r="AO79" i="2" s="1"/>
  <c r="X62" i="2"/>
  <c r="X79" i="2" s="1"/>
  <c r="X101" i="2" s="1"/>
  <c r="H61" i="2"/>
  <c r="K72" i="2"/>
  <c r="AO16" i="2"/>
  <c r="AI52" i="10"/>
  <c r="AB28" i="2"/>
  <c r="AB29" i="2" s="1"/>
  <c r="AB48" i="2" s="1"/>
  <c r="AK47" i="2"/>
  <c r="U79" i="2"/>
  <c r="AK79" i="2"/>
  <c r="H67" i="2"/>
  <c r="H74" i="2"/>
  <c r="AD85" i="2"/>
  <c r="AD100" i="2" s="1"/>
  <c r="W106" i="2"/>
  <c r="K104" i="2"/>
  <c r="E23" i="2"/>
  <c r="M56" i="10"/>
  <c r="X28" i="2"/>
  <c r="X29" i="2" s="1"/>
  <c r="AC56" i="10"/>
  <c r="AN28" i="2"/>
  <c r="AC28" i="2"/>
  <c r="Z39" i="2"/>
  <c r="H39" i="2" s="1"/>
  <c r="I51" i="2"/>
  <c r="AJ79" i="2"/>
  <c r="AJ101" i="2" s="1"/>
  <c r="AB62" i="2"/>
  <c r="AB79" i="2" s="1"/>
  <c r="AB101" i="2" s="1"/>
  <c r="AR62" i="2"/>
  <c r="AR79" i="2" s="1"/>
  <c r="AR101" i="2" s="1"/>
  <c r="E66" i="2"/>
  <c r="H70" i="2"/>
  <c r="H83" i="2"/>
  <c r="AG100" i="2"/>
  <c r="K87" i="2"/>
  <c r="I93" i="2"/>
  <c r="AJ113" i="2"/>
  <c r="B45" i="9"/>
  <c r="B35" i="9"/>
  <c r="E12" i="2"/>
  <c r="AA16" i="2"/>
  <c r="H16" i="2" s="1"/>
  <c r="E19" i="2"/>
  <c r="H26" i="2"/>
  <c r="H34" i="2"/>
  <c r="I35" i="2"/>
  <c r="W79" i="2"/>
  <c r="W101" i="2" s="1"/>
  <c r="AC62" i="2"/>
  <c r="AC79" i="2" s="1"/>
  <c r="N69" i="2"/>
  <c r="AD69" i="2"/>
  <c r="H69" i="2" s="1"/>
  <c r="K67" i="2"/>
  <c r="E72" i="2"/>
  <c r="AF85" i="2"/>
  <c r="AF100" i="2" s="1"/>
  <c r="AH100" i="2"/>
  <c r="H110" i="2"/>
  <c r="AE28" i="2"/>
  <c r="AE29" i="2" s="1"/>
  <c r="AE48" i="2" s="1"/>
  <c r="AD62" i="2"/>
  <c r="AC85" i="2"/>
  <c r="K83" i="2"/>
  <c r="B2" i="32"/>
  <c r="E272" i="30" s="1"/>
  <c r="B2" i="36"/>
  <c r="B2" i="30"/>
  <c r="H19" i="2"/>
  <c r="K26" i="2"/>
  <c r="O28" i="2"/>
  <c r="E28" i="2" s="1"/>
  <c r="AF28" i="2"/>
  <c r="AF29" i="2" s="1"/>
  <c r="AF48" i="2" s="1"/>
  <c r="Y79" i="2"/>
  <c r="N62" i="2"/>
  <c r="P69" i="2"/>
  <c r="P79" i="2" s="1"/>
  <c r="P101" i="2" s="1"/>
  <c r="AF69" i="2"/>
  <c r="AF79" i="2" s="1"/>
  <c r="AF101" i="2" s="1"/>
  <c r="I19" i="2"/>
  <c r="P28" i="2"/>
  <c r="P29" i="2" s="1"/>
  <c r="P48" i="2" s="1"/>
  <c r="AG28" i="2"/>
  <c r="AP79" i="2"/>
  <c r="E57" i="2"/>
  <c r="AE79" i="2"/>
  <c r="AE101" i="2" s="1"/>
  <c r="AE100" i="2"/>
  <c r="H89" i="2"/>
  <c r="AD113" i="2"/>
  <c r="E111" i="2"/>
  <c r="P77" i="11"/>
  <c r="D10" i="19"/>
  <c r="F10" i="19" s="1"/>
  <c r="E24" i="2"/>
  <c r="Q28" i="2"/>
  <c r="I31" i="2"/>
  <c r="H51" i="2"/>
  <c r="AG62" i="2"/>
  <c r="K63" i="2"/>
  <c r="E89" i="2"/>
  <c r="AO98" i="2"/>
  <c r="AO113" i="2"/>
  <c r="AE113" i="2"/>
  <c r="AF112" i="2"/>
  <c r="AF113" i="2" s="1"/>
  <c r="H111" i="2"/>
  <c r="I111" i="2"/>
  <c r="M103" i="11"/>
  <c r="AI28" i="2"/>
  <c r="AI29" i="2" s="1"/>
  <c r="K31" i="2"/>
  <c r="AB47" i="2"/>
  <c r="O39" i="2"/>
  <c r="O47" i="2" s="1"/>
  <c r="AE39" i="2"/>
  <c r="AE47" i="2" s="1"/>
  <c r="K51" i="2"/>
  <c r="H53" i="2"/>
  <c r="E56" i="2"/>
  <c r="Q62" i="2"/>
  <c r="Q79" i="2" s="1"/>
  <c r="AI69" i="2"/>
  <c r="AI79" i="2" s="1"/>
  <c r="AI101" i="2" s="1"/>
  <c r="I76" i="2"/>
  <c r="U85" i="2"/>
  <c r="E85" i="2" s="1"/>
  <c r="E82" i="2"/>
  <c r="AK85" i="2"/>
  <c r="AK98" i="2"/>
  <c r="N113" i="2"/>
  <c r="H106" i="2"/>
  <c r="H109" i="2"/>
  <c r="Z112" i="2"/>
  <c r="Z113" i="2" s="1"/>
  <c r="I112" i="2"/>
  <c r="D152" i="2" s="1"/>
  <c r="F152" i="2" s="1"/>
  <c r="AO20" i="2"/>
  <c r="S28" i="2"/>
  <c r="S29" i="2" s="1"/>
  <c r="S48" i="2" s="1"/>
  <c r="S102" i="2" s="1"/>
  <c r="S114" i="2" s="1"/>
  <c r="AJ28" i="2"/>
  <c r="H40" i="2"/>
  <c r="K78" i="2"/>
  <c r="I80" i="2"/>
  <c r="V100" i="2"/>
  <c r="I92" i="2"/>
  <c r="O113" i="2"/>
  <c r="AP20" i="2"/>
  <c r="I24" i="2"/>
  <c r="T28" i="2"/>
  <c r="T29" i="2" s="1"/>
  <c r="AK28" i="2"/>
  <c r="N47" i="2"/>
  <c r="AD47" i="2"/>
  <c r="I61" i="2"/>
  <c r="K64" i="2"/>
  <c r="K66" i="2"/>
  <c r="V69" i="2"/>
  <c r="E73" i="2"/>
  <c r="I78" i="2"/>
  <c r="AB85" i="2"/>
  <c r="AB100" i="2" s="1"/>
  <c r="H84" i="2"/>
  <c r="AQ20" i="2"/>
  <c r="AQ29" i="2" s="1"/>
  <c r="K24" i="2"/>
  <c r="AG57" i="10"/>
  <c r="B57" i="10" s="1"/>
  <c r="U28" i="2"/>
  <c r="H59" i="2"/>
  <c r="I60" i="2"/>
  <c r="I64" i="2"/>
  <c r="K77" i="2"/>
  <c r="AN85" i="2"/>
  <c r="AN100" i="2" s="1"/>
  <c r="O100" i="2"/>
  <c r="AC98" i="2"/>
  <c r="AR113" i="2"/>
  <c r="H108" i="2"/>
  <c r="AA112" i="2"/>
  <c r="AA113" i="2" s="1"/>
  <c r="Q100" i="2"/>
  <c r="H88" i="2"/>
  <c r="E92" i="2"/>
  <c r="E95" i="2"/>
  <c r="E83" i="2"/>
  <c r="F116" i="2"/>
  <c r="AA79" i="2"/>
  <c r="AQ79" i="2"/>
  <c r="AQ101" i="2" s="1"/>
  <c r="E78" i="2"/>
  <c r="AL98" i="2"/>
  <c r="I105" i="2"/>
  <c r="H82" i="2"/>
  <c r="E94" i="2"/>
  <c r="S113" i="2"/>
  <c r="L116" i="2"/>
  <c r="K111" i="2"/>
  <c r="K82" i="2"/>
  <c r="E91" i="2"/>
  <c r="H66" i="2"/>
  <c r="E74" i="2"/>
  <c r="E86" i="2"/>
  <c r="H87" i="2"/>
  <c r="B31" i="9"/>
  <c r="E93" i="2"/>
  <c r="E99" i="2"/>
  <c r="E109" i="2"/>
  <c r="E76" i="2"/>
  <c r="E80" i="2"/>
  <c r="E98" i="2"/>
  <c r="S8" i="33"/>
  <c r="S1" i="33"/>
  <c r="T5" i="33"/>
  <c r="K91" i="2"/>
  <c r="E108" i="2"/>
  <c r="X112" i="2"/>
  <c r="E110" i="2"/>
  <c r="AN112" i="2"/>
  <c r="AN113" i="2" s="1"/>
  <c r="E60" i="2"/>
  <c r="E75" i="2"/>
  <c r="Z98" i="2"/>
  <c r="Z100" i="2" s="1"/>
  <c r="AP98" i="2"/>
  <c r="AP100" i="2" s="1"/>
  <c r="K93" i="2"/>
  <c r="K99" i="2"/>
  <c r="I106" i="2"/>
  <c r="D151" i="2" s="1"/>
  <c r="F151" i="2" s="1"/>
  <c r="K109" i="2"/>
  <c r="B59" i="17"/>
  <c r="B52" i="17"/>
  <c r="B51" i="17"/>
  <c r="R1" i="33"/>
  <c r="B50" i="17"/>
  <c r="B2" i="45"/>
  <c r="F11" i="49" s="1"/>
  <c r="B2" i="44"/>
  <c r="Q10" i="33"/>
  <c r="Q11" i="33"/>
  <c r="C30" i="35"/>
  <c r="C39" i="35" s="1"/>
  <c r="K11" i="33"/>
  <c r="J11" i="33"/>
  <c r="B2" i="48"/>
  <c r="B2" i="49" s="1"/>
  <c r="B2" i="37"/>
  <c r="L5" i="33"/>
  <c r="J9" i="33"/>
  <c r="D13" i="35"/>
  <c r="T13" i="35" s="1"/>
  <c r="K15" i="35"/>
  <c r="D8" i="33"/>
  <c r="D149" i="33"/>
  <c r="E148" i="33" s="1"/>
  <c r="E149" i="33" s="1"/>
  <c r="C22" i="35"/>
  <c r="D7" i="35"/>
  <c r="C184" i="11" s="1"/>
  <c r="C10" i="56" s="1"/>
  <c r="D26" i="35"/>
  <c r="T26" i="35" s="1"/>
  <c r="D28" i="35"/>
  <c r="D19" i="35"/>
  <c r="K120" i="48"/>
  <c r="O8" i="46"/>
  <c r="O9" i="46"/>
  <c r="L120" i="48"/>
  <c r="C119" i="48"/>
  <c r="K5" i="46"/>
  <c r="K5" i="52" s="1"/>
  <c r="J8" i="46"/>
  <c r="K34" i="35"/>
  <c r="T25" i="35"/>
  <c r="D10" i="46"/>
  <c r="Q38" i="46"/>
  <c r="P68" i="46"/>
  <c r="P98" i="46"/>
  <c r="P38" i="46"/>
  <c r="P83" i="46"/>
  <c r="P113" i="46"/>
  <c r="P8" i="46"/>
  <c r="H9" i="46"/>
  <c r="Q126" i="46"/>
  <c r="Q113" i="46"/>
  <c r="I9" i="46"/>
  <c r="R5" i="46"/>
  <c r="R5" i="52" s="1"/>
  <c r="P23" i="46"/>
  <c r="Q23" i="46"/>
  <c r="E171" i="30"/>
  <c r="E173" i="30"/>
  <c r="E259" i="30"/>
  <c r="E99" i="30"/>
  <c r="E201" i="30"/>
  <c r="E24" i="30"/>
  <c r="C54" i="47"/>
  <c r="C62" i="47" s="1"/>
  <c r="E144" i="30"/>
  <c r="E17" i="30"/>
  <c r="E13" i="30"/>
  <c r="E281" i="30"/>
  <c r="E104" i="30"/>
  <c r="E236" i="30"/>
  <c r="S105" i="38" s="1"/>
  <c r="E234" i="30"/>
  <c r="E20" i="30"/>
  <c r="E215" i="30"/>
  <c r="E219" i="30"/>
  <c r="E196" i="30"/>
  <c r="E198" i="30"/>
  <c r="E42" i="30"/>
  <c r="E44" i="30"/>
  <c r="E46" i="30"/>
  <c r="E102" i="30"/>
  <c r="E121" i="30"/>
  <c r="E123" i="30"/>
  <c r="E165" i="30"/>
  <c r="E169" i="30"/>
  <c r="E190" i="30"/>
  <c r="E194" i="30"/>
  <c r="E308" i="30"/>
  <c r="E30" i="30"/>
  <c r="E34" i="30"/>
  <c r="E73" i="30"/>
  <c r="E98" i="30"/>
  <c r="E100" i="30"/>
  <c r="E115" i="30"/>
  <c r="E119" i="30"/>
  <c r="E163" i="30"/>
  <c r="E209" i="30"/>
  <c r="E9" i="30"/>
  <c r="E67" i="30"/>
  <c r="E69" i="30"/>
  <c r="E71" i="30"/>
  <c r="E94" i="30"/>
  <c r="E96" i="30"/>
  <c r="E182" i="30"/>
  <c r="E184" i="30"/>
  <c r="E205" i="30"/>
  <c r="E207" i="30"/>
  <c r="E155" i="30"/>
  <c r="E157" i="30"/>
  <c r="E222" i="30"/>
  <c r="E256" i="30"/>
  <c r="E258" i="30"/>
  <c r="E260" i="30"/>
  <c r="E296" i="30"/>
  <c r="E313" i="30"/>
  <c r="E61" i="30"/>
  <c r="E86" i="30"/>
  <c r="E275" i="30"/>
  <c r="E82" i="30"/>
  <c r="E84" i="30"/>
  <c r="E147" i="30"/>
  <c r="E199" i="30"/>
  <c r="E239" i="30"/>
  <c r="E292" i="30"/>
  <c r="E294" i="30"/>
  <c r="E143" i="30"/>
  <c r="E145" i="30"/>
  <c r="E309" i="30"/>
  <c r="E25" i="30"/>
  <c r="E41" i="30"/>
  <c r="E45" i="30"/>
  <c r="E78" i="30"/>
  <c r="E80" i="30"/>
  <c r="E168" i="30"/>
  <c r="E231" i="30"/>
  <c r="E267" i="30"/>
  <c r="E269" i="30"/>
  <c r="E284" i="30"/>
  <c r="E133" i="30"/>
  <c r="E137" i="30"/>
  <c r="E187" i="30"/>
  <c r="E189" i="30"/>
  <c r="E208" i="30"/>
  <c r="E225" i="30"/>
  <c r="E278" i="30"/>
  <c r="E280" i="30"/>
  <c r="E303" i="30"/>
  <c r="E181" i="30"/>
  <c r="E185" i="30"/>
  <c r="E12" i="30"/>
  <c r="E129" i="30"/>
  <c r="E179" i="30"/>
  <c r="E255" i="30"/>
  <c r="E14" i="30"/>
  <c r="E18" i="30"/>
  <c r="E54" i="30"/>
  <c r="E58" i="30"/>
  <c r="E202" i="30"/>
  <c r="E253" i="30"/>
  <c r="E276" i="30"/>
  <c r="E295" i="30"/>
  <c r="E312" i="30"/>
  <c r="E48" i="30"/>
  <c r="E50" i="30"/>
  <c r="E125" i="30"/>
  <c r="E127" i="30"/>
  <c r="E249" i="30"/>
  <c r="C183" i="61" l="1"/>
  <c r="B182" i="61"/>
  <c r="D182" i="61"/>
  <c r="B174" i="61"/>
  <c r="C175" i="61"/>
  <c r="C45" i="61"/>
  <c r="C47" i="61" s="1"/>
  <c r="D139" i="61"/>
  <c r="C149" i="61"/>
  <c r="C117" i="61"/>
  <c r="C207" i="63"/>
  <c r="B206" i="63"/>
  <c r="D206" i="63"/>
  <c r="C43" i="62"/>
  <c r="D138" i="61"/>
  <c r="C85" i="61"/>
  <c r="D174" i="61" s="1"/>
  <c r="D71" i="61"/>
  <c r="C111" i="61" s="1"/>
  <c r="C58" i="61"/>
  <c r="D66" i="61"/>
  <c r="D133" i="63"/>
  <c r="C111" i="63"/>
  <c r="C113" i="63" s="1"/>
  <c r="C48" i="63"/>
  <c r="C41" i="63"/>
  <c r="C169" i="63"/>
  <c r="C123" i="63" s="1"/>
  <c r="C94" i="63"/>
  <c r="D195" i="63" s="1"/>
  <c r="B198" i="63"/>
  <c r="C199" i="63"/>
  <c r="D67" i="63"/>
  <c r="C190" i="63"/>
  <c r="C192" i="63" s="1"/>
  <c r="C107" i="63"/>
  <c r="C108" i="63" s="1"/>
  <c r="D67" i="61"/>
  <c r="C40" i="61"/>
  <c r="F14" i="62"/>
  <c r="G14" i="62" s="1"/>
  <c r="D61" i="61"/>
  <c r="D63" i="61" s="1"/>
  <c r="C94" i="61"/>
  <c r="C96" i="61" s="1"/>
  <c r="C66" i="61"/>
  <c r="E27" i="62"/>
  <c r="E25" i="62"/>
  <c r="E23" i="62"/>
  <c r="C51" i="62"/>
  <c r="C52" i="62" s="1"/>
  <c r="D17" i="62" s="1"/>
  <c r="E24" i="62"/>
  <c r="C101" i="61"/>
  <c r="C103" i="61" s="1"/>
  <c r="D22" i="62"/>
  <c r="D23" i="62" s="1"/>
  <c r="F22" i="62"/>
  <c r="F26" i="62" s="1"/>
  <c r="E26" i="62"/>
  <c r="C50" i="62"/>
  <c r="C67" i="61"/>
  <c r="C63" i="61"/>
  <c r="M21" i="51" a="1"/>
  <c r="M21" i="51" s="1"/>
  <c r="C21" i="51"/>
  <c r="Q23" i="59"/>
  <c r="M20" i="51" a="1"/>
  <c r="M20" i="51" s="1"/>
  <c r="C20" i="51"/>
  <c r="AH48" i="2"/>
  <c r="AH102" i="2" s="1"/>
  <c r="AH114" i="2" s="1"/>
  <c r="O100" i="16"/>
  <c r="K100" i="11"/>
  <c r="K67" i="8" s="1"/>
  <c r="M19" i="51" a="1"/>
  <c r="M19" i="51" s="1"/>
  <c r="C19" i="51"/>
  <c r="H25" i="31"/>
  <c r="C20" i="31"/>
  <c r="Q113" i="59"/>
  <c r="K69" i="2"/>
  <c r="Q101" i="2"/>
  <c r="I47" i="2"/>
  <c r="D147" i="2" s="1"/>
  <c r="F147" i="2" s="1"/>
  <c r="AM101" i="2"/>
  <c r="AG108" i="16"/>
  <c r="M14" i="51" a="1"/>
  <c r="M14" i="51" s="1"/>
  <c r="C14" i="51"/>
  <c r="I20" i="2"/>
  <c r="Q48" i="2"/>
  <c r="F25" i="49"/>
  <c r="F32" i="49"/>
  <c r="F17" i="49"/>
  <c r="M26" i="51" a="1"/>
  <c r="M26" i="51" s="1"/>
  <c r="C26" i="51"/>
  <c r="M13" i="51" a="1"/>
  <c r="M13" i="51" s="1"/>
  <c r="C13" i="51"/>
  <c r="H27" i="31"/>
  <c r="O79" i="2"/>
  <c r="F12" i="49"/>
  <c r="M24" i="51" a="1"/>
  <c r="M24" i="51" s="1"/>
  <c r="C24" i="51"/>
  <c r="M12" i="51" a="1"/>
  <c r="M12" i="51" s="1"/>
  <c r="C12" i="51"/>
  <c r="H29" i="31"/>
  <c r="F29" i="31"/>
  <c r="F10" i="49"/>
  <c r="K23" i="59"/>
  <c r="M23" i="51" a="1"/>
  <c r="M23" i="51" s="1"/>
  <c r="C23" i="51"/>
  <c r="M11" i="51" a="1"/>
  <c r="M11" i="51" s="1"/>
  <c r="C11" i="51"/>
  <c r="K83" i="59"/>
  <c r="Q38" i="59"/>
  <c r="C27" i="19"/>
  <c r="D27" i="19"/>
  <c r="Q53" i="59"/>
  <c r="F27" i="49"/>
  <c r="AD79" i="2"/>
  <c r="AD101" i="2" s="1"/>
  <c r="AT24" i="11"/>
  <c r="AN29" i="2"/>
  <c r="AN48" i="2" s="1"/>
  <c r="F19" i="49"/>
  <c r="M15" i="51" a="1"/>
  <c r="M15" i="51" s="1"/>
  <c r="C15" i="51"/>
  <c r="H26" i="31"/>
  <c r="F26" i="31"/>
  <c r="F15" i="49"/>
  <c r="K98" i="59"/>
  <c r="Q68" i="59"/>
  <c r="V113" i="2"/>
  <c r="AG100" i="16"/>
  <c r="AB102" i="2"/>
  <c r="AB114" i="2" s="1"/>
  <c r="I16" i="2"/>
  <c r="W102" i="2"/>
  <c r="F14" i="49"/>
  <c r="F29" i="49"/>
  <c r="M10" i="51" a="1"/>
  <c r="M10" i="51" s="1"/>
  <c r="C10" i="51"/>
  <c r="G31" i="31"/>
  <c r="K9" i="59"/>
  <c r="C104" i="16"/>
  <c r="M18" i="51" a="1"/>
  <c r="M18" i="51" s="1"/>
  <c r="C18" i="51"/>
  <c r="E31" i="31"/>
  <c r="F28" i="31" s="1"/>
  <c r="H24" i="31"/>
  <c r="F24" i="31"/>
  <c r="M17" i="51" a="1"/>
  <c r="M17" i="51" s="1"/>
  <c r="C17" i="51"/>
  <c r="E200" i="30"/>
  <c r="E131" i="30"/>
  <c r="E229" i="30"/>
  <c r="E290" i="30"/>
  <c r="E220" i="30"/>
  <c r="E111" i="30"/>
  <c r="E226" i="30"/>
  <c r="E289" i="30"/>
  <c r="E38" i="30"/>
  <c r="E210" i="30"/>
  <c r="K113" i="59"/>
  <c r="Q83" i="59"/>
  <c r="M16" i="51" a="1"/>
  <c r="M16" i="51" s="1"/>
  <c r="C16" i="51"/>
  <c r="D29" i="31"/>
  <c r="Q53" i="46"/>
  <c r="E177" i="30"/>
  <c r="E114" i="30"/>
  <c r="E227" i="30"/>
  <c r="E248" i="30"/>
  <c r="E153" i="30"/>
  <c r="E92" i="30"/>
  <c r="T68" i="33" s="1"/>
  <c r="E161" i="30"/>
  <c r="E287" i="30"/>
  <c r="E28" i="30"/>
  <c r="E176" i="30"/>
  <c r="Q83" i="46"/>
  <c r="H30" i="31"/>
  <c r="AG48" i="2"/>
  <c r="M25" i="51" a="1"/>
  <c r="M25" i="51" s="1"/>
  <c r="C25" i="51"/>
  <c r="I98" i="2"/>
  <c r="R56" i="38"/>
  <c r="I113" i="2"/>
  <c r="D153" i="2" s="1"/>
  <c r="F153" i="2" s="1"/>
  <c r="AA101" i="2"/>
  <c r="T48" i="2"/>
  <c r="T102" i="2" s="1"/>
  <c r="T114" i="2" s="1"/>
  <c r="T100" i="16"/>
  <c r="E175" i="30"/>
  <c r="E112" i="30"/>
  <c r="E141" i="30"/>
  <c r="E237" i="30"/>
  <c r="E149" i="30"/>
  <c r="E88" i="30"/>
  <c r="E159" i="30"/>
  <c r="E270" i="30"/>
  <c r="E26" i="30"/>
  <c r="J72" i="38" s="1"/>
  <c r="E108" i="30"/>
  <c r="E29" i="30"/>
  <c r="B29" i="56"/>
  <c r="B28" i="56"/>
  <c r="B27" i="56"/>
  <c r="B26" i="56"/>
  <c r="B25" i="56"/>
  <c r="X48" i="2"/>
  <c r="X102" i="2" s="1"/>
  <c r="M8" i="51" a="1"/>
  <c r="M8" i="51" s="1"/>
  <c r="C8" i="51"/>
  <c r="D8" i="51" s="1"/>
  <c r="E70" i="30"/>
  <c r="E233" i="30"/>
  <c r="E128" i="30"/>
  <c r="E136" i="30"/>
  <c r="E266" i="30"/>
  <c r="E15" i="30"/>
  <c r="Q8" i="46"/>
  <c r="L119" i="48" s="1"/>
  <c r="AP29" i="2"/>
  <c r="AP48" i="2" s="1"/>
  <c r="M9" i="51" a="1"/>
  <c r="M9" i="51" s="1"/>
  <c r="E9" i="51" s="1" a="1"/>
  <c r="E9" i="51" s="1"/>
  <c r="C9" i="51"/>
  <c r="D9" i="51" s="1"/>
  <c r="H28" i="31"/>
  <c r="K126" i="59"/>
  <c r="E62" i="30"/>
  <c r="E10" i="30"/>
  <c r="L72" i="38" s="1"/>
  <c r="E76" i="30"/>
  <c r="E218" i="30"/>
  <c r="E109" i="30"/>
  <c r="E262" i="30"/>
  <c r="E306" i="30"/>
  <c r="E247" i="30"/>
  <c r="E33" i="30"/>
  <c r="E274" i="30"/>
  <c r="Q68" i="46"/>
  <c r="L128" i="48" s="1"/>
  <c r="AI48" i="2"/>
  <c r="Y101" i="2"/>
  <c r="Y102" i="2" s="1"/>
  <c r="Y114" i="2" s="1"/>
  <c r="R48" i="2"/>
  <c r="R102" i="2" s="1"/>
  <c r="R114" i="2" s="1"/>
  <c r="E9" i="19"/>
  <c r="F24" i="49"/>
  <c r="L9" i="59"/>
  <c r="C7" i="51"/>
  <c r="D7" i="51" s="1"/>
  <c r="M7" i="51" a="1"/>
  <c r="M7" i="51" s="1"/>
  <c r="F22" i="49"/>
  <c r="K10" i="33"/>
  <c r="K12" i="33"/>
  <c r="K9" i="33"/>
  <c r="U29" i="2"/>
  <c r="C31" i="31"/>
  <c r="C45" i="31" s="1"/>
  <c r="E152" i="30"/>
  <c r="E139" i="30"/>
  <c r="E300" i="30"/>
  <c r="K43" i="38" s="1"/>
  <c r="E297" i="30"/>
  <c r="L58" i="38" s="1"/>
  <c r="F8" i="49"/>
  <c r="F21" i="49"/>
  <c r="E251" i="30"/>
  <c r="E60" i="30"/>
  <c r="E305" i="30"/>
  <c r="E286" i="30"/>
  <c r="E216" i="30"/>
  <c r="E107" i="30"/>
  <c r="E224" i="30"/>
  <c r="K88" i="38" s="1"/>
  <c r="E211" i="30"/>
  <c r="E213" i="30"/>
  <c r="E228" i="30"/>
  <c r="Q98" i="46"/>
  <c r="AQ48" i="2"/>
  <c r="AQ102" i="2" s="1"/>
  <c r="AQ114" i="2" s="1"/>
  <c r="D18" i="19"/>
  <c r="F31" i="49"/>
  <c r="M22" i="51" a="1"/>
  <c r="M22" i="51" s="1"/>
  <c r="C22" i="51"/>
  <c r="L1" i="59"/>
  <c r="L53" i="59" s="1"/>
  <c r="M5" i="59"/>
  <c r="S5" i="59"/>
  <c r="R1" i="59"/>
  <c r="R53" i="59" s="1"/>
  <c r="Q100" i="16"/>
  <c r="G100" i="16"/>
  <c r="G108" i="16"/>
  <c r="K69" i="8"/>
  <c r="R23" i="9"/>
  <c r="T24" i="11"/>
  <c r="L108" i="16"/>
  <c r="Q108" i="16"/>
  <c r="O108" i="16"/>
  <c r="AG24" i="11"/>
  <c r="AB24" i="11"/>
  <c r="W24" i="11"/>
  <c r="W68" i="11" s="1"/>
  <c r="AF24" i="11"/>
  <c r="T108" i="16"/>
  <c r="P24" i="11"/>
  <c r="P68" i="11" s="1"/>
  <c r="P69" i="11" s="1"/>
  <c r="N68" i="8"/>
  <c r="Z108" i="16"/>
  <c r="S71" i="17"/>
  <c r="R108" i="16"/>
  <c r="J108" i="16"/>
  <c r="J20" i="9"/>
  <c r="J23" i="9" s="1"/>
  <c r="J25" i="9" s="1"/>
  <c r="K86" i="17" s="1"/>
  <c r="AL28" i="11"/>
  <c r="H100" i="16"/>
  <c r="AH24" i="11"/>
  <c r="G86" i="17" s="1"/>
  <c r="AD24" i="11"/>
  <c r="AD68" i="11" s="1"/>
  <c r="AD69" i="11" s="1"/>
  <c r="AI24" i="11"/>
  <c r="AI68" i="11" s="1"/>
  <c r="V108" i="16"/>
  <c r="D108" i="16"/>
  <c r="AM24" i="11"/>
  <c r="AM68" i="11" s="1"/>
  <c r="D104" i="16"/>
  <c r="O71" i="17"/>
  <c r="U24" i="11"/>
  <c r="U68" i="11" s="1"/>
  <c r="U71" i="11" s="1"/>
  <c r="Q24" i="11"/>
  <c r="Q68" i="11" s="1"/>
  <c r="AJ24" i="11"/>
  <c r="AA24" i="11"/>
  <c r="AA68" i="11" s="1"/>
  <c r="U100" i="16"/>
  <c r="E108" i="16"/>
  <c r="U108" i="16"/>
  <c r="K71" i="17"/>
  <c r="V24" i="11"/>
  <c r="V68" i="11" s="1"/>
  <c r="P108" i="16"/>
  <c r="AH66" i="11"/>
  <c r="G72" i="17" s="1"/>
  <c r="G71" i="17" s="1"/>
  <c r="J17" i="17"/>
  <c r="Y108" i="16"/>
  <c r="W108" i="16"/>
  <c r="M108" i="16"/>
  <c r="P71" i="17"/>
  <c r="N71" i="17"/>
  <c r="Q16" i="35"/>
  <c r="P100" i="16"/>
  <c r="R24" i="11"/>
  <c r="AC24" i="11"/>
  <c r="P30" i="9"/>
  <c r="P33" i="9"/>
  <c r="J33" i="9"/>
  <c r="J32" i="9"/>
  <c r="H32" i="9"/>
  <c r="E104" i="16"/>
  <c r="AN15" i="11"/>
  <c r="AA104" i="16" s="1"/>
  <c r="AO24" i="11"/>
  <c r="AO68" i="11" s="1"/>
  <c r="AB108" i="16"/>
  <c r="AE104" i="16"/>
  <c r="AD100" i="16"/>
  <c r="AH104" i="11"/>
  <c r="AQ24" i="11"/>
  <c r="AQ68" i="11" s="1"/>
  <c r="V104" i="16"/>
  <c r="AB100" i="16"/>
  <c r="I17" i="17"/>
  <c r="AD108" i="16"/>
  <c r="M30" i="9"/>
  <c r="M35" i="9"/>
  <c r="M32" i="9"/>
  <c r="M25" i="9"/>
  <c r="N86" i="17" s="1"/>
  <c r="N75" i="17" s="1"/>
  <c r="M34" i="9"/>
  <c r="M33" i="9"/>
  <c r="M28" i="9"/>
  <c r="I32" i="9"/>
  <c r="I28" i="9"/>
  <c r="AC100" i="16"/>
  <c r="P25" i="9"/>
  <c r="Q86" i="17" s="1"/>
  <c r="Q75" i="17" s="1"/>
  <c r="R66" i="11"/>
  <c r="Y100" i="16"/>
  <c r="K20" i="18"/>
  <c r="K22" i="8"/>
  <c r="O17" i="17"/>
  <c r="H17" i="17"/>
  <c r="R100" i="16"/>
  <c r="M100" i="16"/>
  <c r="F100" i="16"/>
  <c r="F108" i="16"/>
  <c r="AP104" i="11"/>
  <c r="AS24" i="11"/>
  <c r="AS68" i="11" s="1"/>
  <c r="R17" i="17"/>
  <c r="N17" i="17"/>
  <c r="AE24" i="11"/>
  <c r="AE68" i="11" s="1"/>
  <c r="N108" i="16"/>
  <c r="AP24" i="11"/>
  <c r="AP68" i="11" s="1"/>
  <c r="S24" i="11"/>
  <c r="S68" i="11" s="1"/>
  <c r="M71" i="17"/>
  <c r="N104" i="16"/>
  <c r="AT68" i="11"/>
  <c r="AT69" i="11" s="1"/>
  <c r="P29" i="9"/>
  <c r="Z24" i="11"/>
  <c r="Z68" i="11" s="1"/>
  <c r="Z69" i="11" s="1"/>
  <c r="AF100" i="16"/>
  <c r="AJ66" i="11"/>
  <c r="I72" i="17" s="1"/>
  <c r="I71" i="17" s="1"/>
  <c r="AK24" i="11"/>
  <c r="AK68" i="11" s="1"/>
  <c r="M104" i="16"/>
  <c r="N103" i="11"/>
  <c r="F9" i="51" a="1"/>
  <c r="F9" i="51" s="1"/>
  <c r="G9" i="51" s="1"/>
  <c r="AN102" i="2"/>
  <c r="AN114" i="2" s="1"/>
  <c r="Q46" i="9"/>
  <c r="R85" i="17"/>
  <c r="Q34" i="9"/>
  <c r="Q33" i="9"/>
  <c r="Q28" i="9"/>
  <c r="Q35" i="9"/>
  <c r="Q25" i="9"/>
  <c r="R86" i="17" s="1"/>
  <c r="R75" i="17" s="1"/>
  <c r="Q30" i="9"/>
  <c r="Q32" i="9"/>
  <c r="Q29" i="9"/>
  <c r="AI102" i="2"/>
  <c r="AI114" i="2" s="1"/>
  <c r="AF102" i="2"/>
  <c r="AF114" i="2" s="1"/>
  <c r="K100" i="39"/>
  <c r="P102" i="2"/>
  <c r="P114" i="2" s="1"/>
  <c r="H113" i="2"/>
  <c r="P34" i="17"/>
  <c r="R56" i="17"/>
  <c r="R47" i="17"/>
  <c r="O47" i="17"/>
  <c r="O60" i="17" s="1"/>
  <c r="O56" i="17"/>
  <c r="S32" i="17"/>
  <c r="R43" i="9"/>
  <c r="K16" i="9"/>
  <c r="K31" i="9" s="1"/>
  <c r="K38" i="9"/>
  <c r="E12" i="9"/>
  <c r="K12" i="8"/>
  <c r="K12" i="18"/>
  <c r="S74" i="38"/>
  <c r="K128" i="48"/>
  <c r="AL100" i="2"/>
  <c r="AH56" i="10"/>
  <c r="E311" i="30"/>
  <c r="E277" i="30"/>
  <c r="E174" i="30"/>
  <c r="E158" i="30"/>
  <c r="E142" i="30"/>
  <c r="E124" i="30"/>
  <c r="E106" i="30"/>
  <c r="E97" i="30"/>
  <c r="E81" i="30"/>
  <c r="E72" i="30"/>
  <c r="E63" i="30"/>
  <c r="E47" i="30"/>
  <c r="E302" i="30"/>
  <c r="E293" i="30"/>
  <c r="E273" i="30"/>
  <c r="E264" i="30"/>
  <c r="E246" i="30"/>
  <c r="E244" i="30"/>
  <c r="E242" i="30"/>
  <c r="E240" i="30"/>
  <c r="E206" i="30"/>
  <c r="E197" i="30"/>
  <c r="E188" i="30"/>
  <c r="E172" i="30"/>
  <c r="E156" i="30"/>
  <c r="E140" i="30"/>
  <c r="N56" i="38" s="1"/>
  <c r="E122" i="30"/>
  <c r="E113" i="30"/>
  <c r="E95" i="30"/>
  <c r="E79" i="30"/>
  <c r="E52" i="30"/>
  <c r="E36" i="30"/>
  <c r="E307" i="30"/>
  <c r="E291" i="30"/>
  <c r="E271" i="30"/>
  <c r="R106" i="38" s="1"/>
  <c r="E238" i="30"/>
  <c r="E204" i="30"/>
  <c r="E195" i="30"/>
  <c r="E186" i="30"/>
  <c r="E170" i="30"/>
  <c r="E154" i="30"/>
  <c r="E138" i="30"/>
  <c r="E120" i="30"/>
  <c r="E93" i="30"/>
  <c r="E77" i="30"/>
  <c r="E68" i="30"/>
  <c r="E59" i="30"/>
  <c r="E43" i="30"/>
  <c r="E27" i="30"/>
  <c r="E298" i="30"/>
  <c r="E282" i="30"/>
  <c r="E193" i="30"/>
  <c r="E118" i="30"/>
  <c r="E91" i="30"/>
  <c r="E75" i="30"/>
  <c r="E66" i="30"/>
  <c r="E57" i="30"/>
  <c r="E191" i="30"/>
  <c r="E166" i="30"/>
  <c r="E150" i="30"/>
  <c r="E134" i="30"/>
  <c r="E116" i="30"/>
  <c r="E105" i="30"/>
  <c r="E89" i="30"/>
  <c r="E64" i="30"/>
  <c r="E55" i="30"/>
  <c r="E39" i="30"/>
  <c r="E23" i="30"/>
  <c r="E301" i="30"/>
  <c r="E285" i="30"/>
  <c r="E265" i="30"/>
  <c r="E263" i="30"/>
  <c r="E254" i="30"/>
  <c r="E245" i="30"/>
  <c r="E243" i="30"/>
  <c r="E241" i="30"/>
  <c r="E232" i="30"/>
  <c r="E223" i="30"/>
  <c r="E214" i="30"/>
  <c r="E180" i="30"/>
  <c r="E164" i="30"/>
  <c r="E148" i="30"/>
  <c r="E132" i="30"/>
  <c r="E103" i="30"/>
  <c r="E87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51" i="30"/>
  <c r="E35" i="30"/>
  <c r="E56" i="30"/>
  <c r="E16" i="30"/>
  <c r="E257" i="30"/>
  <c r="E183" i="30"/>
  <c r="E160" i="30"/>
  <c r="E8" i="30"/>
  <c r="E135" i="30"/>
  <c r="E74" i="30"/>
  <c r="E31" i="30"/>
  <c r="E288" i="30"/>
  <c r="E37" i="30"/>
  <c r="E250" i="30"/>
  <c r="E235" i="30"/>
  <c r="E126" i="30"/>
  <c r="E49" i="30"/>
  <c r="E21" i="30"/>
  <c r="E53" i="30"/>
  <c r="E19" i="30"/>
  <c r="E151" i="30"/>
  <c r="E90" i="30"/>
  <c r="L40" i="38" s="1"/>
  <c r="E279" i="30"/>
  <c r="Q107" i="38" s="1"/>
  <c r="E65" i="30"/>
  <c r="E7" i="30"/>
  <c r="E304" i="30"/>
  <c r="E117" i="30"/>
  <c r="E32" i="30"/>
  <c r="E268" i="30"/>
  <c r="E192" i="30"/>
  <c r="E167" i="30"/>
  <c r="E40" i="30"/>
  <c r="E217" i="30"/>
  <c r="E22" i="30"/>
  <c r="E83" i="30"/>
  <c r="E11" i="30"/>
  <c r="E69" i="2"/>
  <c r="AM48" i="2"/>
  <c r="AM102" i="2" s="1"/>
  <c r="AM114" i="2" s="1"/>
  <c r="M34" i="17"/>
  <c r="E45" i="17"/>
  <c r="K34" i="8"/>
  <c r="K32" i="18"/>
  <c r="AK104" i="11"/>
  <c r="K62" i="2"/>
  <c r="P17" i="17"/>
  <c r="O101" i="2"/>
  <c r="P9" i="35"/>
  <c r="X15" i="11"/>
  <c r="AL104" i="11"/>
  <c r="R44" i="38"/>
  <c r="R91" i="38"/>
  <c r="Q58" i="38"/>
  <c r="L124" i="48"/>
  <c r="D15" i="35"/>
  <c r="T15" i="35" s="1"/>
  <c r="K16" i="35"/>
  <c r="AH103" i="16"/>
  <c r="Q56" i="33"/>
  <c r="I85" i="2"/>
  <c r="O29" i="2"/>
  <c r="I46" i="9"/>
  <c r="J85" i="17"/>
  <c r="H30" i="9"/>
  <c r="H56" i="17"/>
  <c r="H47" i="17"/>
  <c r="AQ104" i="11"/>
  <c r="S58" i="17"/>
  <c r="J71" i="17"/>
  <c r="I31" i="9"/>
  <c r="I41" i="9"/>
  <c r="I34" i="17"/>
  <c r="L47" i="17"/>
  <c r="L56" i="17"/>
  <c r="J31" i="9"/>
  <c r="J41" i="9"/>
  <c r="L76" i="38"/>
  <c r="L73" i="38"/>
  <c r="L12" i="38"/>
  <c r="L9" i="38"/>
  <c r="L11" i="38"/>
  <c r="L10" i="38"/>
  <c r="R74" i="38"/>
  <c r="Q91" i="38"/>
  <c r="R41" i="38"/>
  <c r="S59" i="38"/>
  <c r="R38" i="33"/>
  <c r="W113" i="2"/>
  <c r="K106" i="2"/>
  <c r="AE102" i="2"/>
  <c r="AE114" i="2" s="1"/>
  <c r="O41" i="9"/>
  <c r="AE108" i="16"/>
  <c r="W104" i="16"/>
  <c r="E15" i="9"/>
  <c r="R90" i="38"/>
  <c r="Q74" i="38"/>
  <c r="S76" i="38"/>
  <c r="J120" i="48"/>
  <c r="R98" i="33"/>
  <c r="AK100" i="2"/>
  <c r="AH55" i="10"/>
  <c r="AC100" i="2"/>
  <c r="AC101" i="2" s="1"/>
  <c r="AC102" i="2" s="1"/>
  <c r="AC114" i="2" s="1"/>
  <c r="Q47" i="17"/>
  <c r="Q56" i="17"/>
  <c r="P32" i="9"/>
  <c r="E18" i="9"/>
  <c r="V79" i="2"/>
  <c r="V101" i="2" s="1"/>
  <c r="V102" i="2" s="1"/>
  <c r="V114" i="2" s="1"/>
  <c r="AJ104" i="11"/>
  <c r="AT104" i="11"/>
  <c r="R71" i="17"/>
  <c r="I34" i="9"/>
  <c r="R45" i="9"/>
  <c r="O16" i="9"/>
  <c r="O28" i="9" s="1"/>
  <c r="O38" i="9"/>
  <c r="R42" i="38"/>
  <c r="S41" i="38"/>
  <c r="R53" i="33"/>
  <c r="H28" i="2"/>
  <c r="H85" i="2"/>
  <c r="R36" i="17"/>
  <c r="X100" i="16"/>
  <c r="I85" i="17"/>
  <c r="Z29" i="2"/>
  <c r="C145" i="11"/>
  <c r="K42" i="11"/>
  <c r="K34" i="17"/>
  <c r="H41" i="9"/>
  <c r="Z47" i="2"/>
  <c r="H47" i="2" s="1"/>
  <c r="T68" i="11"/>
  <c r="R41" i="9"/>
  <c r="R57" i="38"/>
  <c r="Q105" i="38"/>
  <c r="R89" i="38"/>
  <c r="S90" i="38"/>
  <c r="R87" i="33"/>
  <c r="R71" i="33"/>
  <c r="R102" i="33"/>
  <c r="R72" i="33"/>
  <c r="R69" i="33"/>
  <c r="R12" i="33"/>
  <c r="R40" i="33"/>
  <c r="R86" i="33"/>
  <c r="R56" i="33"/>
  <c r="R57" i="33"/>
  <c r="R101" i="33"/>
  <c r="R70" i="33"/>
  <c r="R10" i="33"/>
  <c r="R55" i="33"/>
  <c r="R39" i="33"/>
  <c r="R41" i="33"/>
  <c r="R54" i="33"/>
  <c r="R11" i="33"/>
  <c r="R9" i="33"/>
  <c r="H98" i="2"/>
  <c r="E106" i="2"/>
  <c r="D127" i="2" s="1"/>
  <c r="F127" i="2" s="1"/>
  <c r="K85" i="2"/>
  <c r="U100" i="2"/>
  <c r="K100" i="2" s="1"/>
  <c r="P35" i="9"/>
  <c r="N41" i="9"/>
  <c r="X108" i="16"/>
  <c r="E10" i="17"/>
  <c r="K23" i="8"/>
  <c r="K21" i="18"/>
  <c r="I29" i="9"/>
  <c r="H31" i="9"/>
  <c r="E11" i="17"/>
  <c r="K22" i="18"/>
  <c r="K24" i="8"/>
  <c r="K85" i="17"/>
  <c r="J46" i="9"/>
  <c r="AB68" i="11"/>
  <c r="L104" i="38"/>
  <c r="M106" i="38"/>
  <c r="M89" i="38"/>
  <c r="M107" i="38"/>
  <c r="M90" i="38"/>
  <c r="M74" i="38"/>
  <c r="M59" i="38"/>
  <c r="M58" i="38"/>
  <c r="M44" i="38"/>
  <c r="M108" i="38"/>
  <c r="M57" i="38"/>
  <c r="M43" i="38"/>
  <c r="M41" i="38"/>
  <c r="M11" i="38"/>
  <c r="M91" i="38"/>
  <c r="M105" i="38"/>
  <c r="M75" i="38"/>
  <c r="M76" i="38"/>
  <c r="M42" i="38"/>
  <c r="M26" i="38" s="1"/>
  <c r="F88" i="39" s="1"/>
  <c r="M12" i="38"/>
  <c r="M60" i="38"/>
  <c r="M9" i="38"/>
  <c r="M92" i="38"/>
  <c r="M73" i="38"/>
  <c r="M10" i="38"/>
  <c r="Q90" i="38"/>
  <c r="R72" i="38"/>
  <c r="Q34" i="35"/>
  <c r="M34" i="35"/>
  <c r="C170" i="11"/>
  <c r="L98" i="33"/>
  <c r="L83" i="33"/>
  <c r="L53" i="33"/>
  <c r="L1" i="33"/>
  <c r="L8" i="33"/>
  <c r="L38" i="33"/>
  <c r="M5" i="33"/>
  <c r="R68" i="33"/>
  <c r="E62" i="2"/>
  <c r="AK101" i="2"/>
  <c r="AK102" i="2" s="1"/>
  <c r="AK114" i="2" s="1"/>
  <c r="C7" i="19"/>
  <c r="C187" i="11"/>
  <c r="C25" i="19"/>
  <c r="D25" i="19" s="1"/>
  <c r="D15" i="19"/>
  <c r="Q36" i="17"/>
  <c r="H28" i="9"/>
  <c r="AO100" i="2"/>
  <c r="AO101" i="2" s="1"/>
  <c r="O36" i="17"/>
  <c r="N79" i="2"/>
  <c r="K16" i="2"/>
  <c r="S47" i="17"/>
  <c r="S56" i="17"/>
  <c r="S33" i="17"/>
  <c r="AH54" i="10"/>
  <c r="I25" i="9"/>
  <c r="J86" i="17" s="1"/>
  <c r="J25" i="17" s="1"/>
  <c r="H36" i="17"/>
  <c r="E10" i="19"/>
  <c r="J29" i="9"/>
  <c r="S34" i="17"/>
  <c r="S57" i="17"/>
  <c r="J28" i="9"/>
  <c r="AO104" i="11"/>
  <c r="AJ29" i="2"/>
  <c r="AJ48" i="2" s="1"/>
  <c r="AJ102" i="2" s="1"/>
  <c r="AJ114" i="2" s="1"/>
  <c r="K47" i="17"/>
  <c r="K60" i="17" s="1"/>
  <c r="K56" i="17"/>
  <c r="L56" i="38"/>
  <c r="G46" i="9"/>
  <c r="R107" i="38"/>
  <c r="R43" i="38"/>
  <c r="S42" i="38"/>
  <c r="K124" i="48"/>
  <c r="C120" i="48"/>
  <c r="Q55" i="33"/>
  <c r="Q85" i="33"/>
  <c r="R83" i="33"/>
  <c r="L117" i="2"/>
  <c r="L27" i="2" s="1"/>
  <c r="L106" i="2"/>
  <c r="F55" i="2"/>
  <c r="F80" i="2"/>
  <c r="F117" i="2"/>
  <c r="F105" i="2" s="1"/>
  <c r="F71" i="2"/>
  <c r="F58" i="2"/>
  <c r="F52" i="2"/>
  <c r="F24" i="2"/>
  <c r="F84" i="2"/>
  <c r="F28" i="2"/>
  <c r="F64" i="2"/>
  <c r="F95" i="2"/>
  <c r="F59" i="2"/>
  <c r="U101" i="2"/>
  <c r="E11" i="9"/>
  <c r="K11" i="18"/>
  <c r="K11" i="8"/>
  <c r="Q17" i="17"/>
  <c r="P16" i="35"/>
  <c r="E44" i="17"/>
  <c r="K31" i="18"/>
  <c r="K33" i="8"/>
  <c r="M41" i="9"/>
  <c r="M31" i="9"/>
  <c r="J30" i="9"/>
  <c r="L88" i="38"/>
  <c r="Q76" i="38"/>
  <c r="K74" i="38"/>
  <c r="G6" i="17"/>
  <c r="AI5" i="11"/>
  <c r="R73" i="38"/>
  <c r="S43" i="38"/>
  <c r="S108" i="38"/>
  <c r="K119" i="48"/>
  <c r="T28" i="35"/>
  <c r="Q70" i="33"/>
  <c r="Q71" i="33"/>
  <c r="AL79" i="2"/>
  <c r="R34" i="17"/>
  <c r="H34" i="9"/>
  <c r="AM104" i="11"/>
  <c r="AR48" i="2"/>
  <c r="AR102" i="2" s="1"/>
  <c r="AR114" i="2" s="1"/>
  <c r="K35" i="35"/>
  <c r="E16" i="17"/>
  <c r="K27" i="18"/>
  <c r="K29" i="8"/>
  <c r="L44" i="9"/>
  <c r="N85" i="17"/>
  <c r="E9" i="9"/>
  <c r="K9" i="18"/>
  <c r="K9" i="8"/>
  <c r="M29" i="9"/>
  <c r="G16" i="9"/>
  <c r="H85" i="17" s="1"/>
  <c r="Q89" i="38"/>
  <c r="R40" i="38"/>
  <c r="R75" i="38"/>
  <c r="S73" i="38"/>
  <c r="S89" i="38"/>
  <c r="Q72" i="33"/>
  <c r="Q87" i="33"/>
  <c r="K28" i="2"/>
  <c r="N48" i="2"/>
  <c r="U47" i="2"/>
  <c r="K47" i="2" s="1"/>
  <c r="AG101" i="2"/>
  <c r="Q79" i="17"/>
  <c r="Q34" i="17"/>
  <c r="O34" i="17"/>
  <c r="N36" i="17"/>
  <c r="K41" i="9"/>
  <c r="S39" i="17"/>
  <c r="J36" i="17"/>
  <c r="I35" i="9"/>
  <c r="AR24" i="11"/>
  <c r="AR68" i="11" s="1"/>
  <c r="H29" i="9"/>
  <c r="N16" i="9"/>
  <c r="N25" i="9" s="1"/>
  <c r="O86" i="17" s="1"/>
  <c r="N38" i="9"/>
  <c r="E46" i="17"/>
  <c r="K35" i="8"/>
  <c r="K33" i="18"/>
  <c r="R39" i="9"/>
  <c r="E310" i="30"/>
  <c r="N40" i="38"/>
  <c r="N72" i="38"/>
  <c r="N88" i="38"/>
  <c r="N104" i="38"/>
  <c r="N1" i="38"/>
  <c r="N8" i="38"/>
  <c r="O5" i="38"/>
  <c r="R104" i="38"/>
  <c r="R108" i="38"/>
  <c r="S91" i="38"/>
  <c r="J98" i="33"/>
  <c r="J88" i="38"/>
  <c r="J40" i="38"/>
  <c r="K56" i="33"/>
  <c r="Q41" i="33"/>
  <c r="K104" i="38"/>
  <c r="K40" i="38"/>
  <c r="S5" i="46"/>
  <c r="S5" i="52" s="1"/>
  <c r="R67" i="46"/>
  <c r="R1" i="46"/>
  <c r="R9" i="46"/>
  <c r="J119" i="48"/>
  <c r="T19" i="35"/>
  <c r="T22" i="35" s="1"/>
  <c r="K68" i="33"/>
  <c r="K99" i="33"/>
  <c r="Q57" i="33"/>
  <c r="G45" i="42"/>
  <c r="H34" i="42"/>
  <c r="H28" i="42"/>
  <c r="G23" i="42"/>
  <c r="H12" i="42"/>
  <c r="G7" i="42"/>
  <c r="D142" i="45"/>
  <c r="D138" i="45"/>
  <c r="D134" i="45"/>
  <c r="D130" i="45"/>
  <c r="D126" i="45"/>
  <c r="D122" i="45"/>
  <c r="D118" i="45"/>
  <c r="D114" i="45"/>
  <c r="D110" i="45"/>
  <c r="D106" i="45"/>
  <c r="D102" i="45"/>
  <c r="D98" i="45"/>
  <c r="R38" i="46" s="1"/>
  <c r="D94" i="45"/>
  <c r="E88" i="45"/>
  <c r="D83" i="45"/>
  <c r="E72" i="45"/>
  <c r="D67" i="45"/>
  <c r="D61" i="45"/>
  <c r="E50" i="45"/>
  <c r="D45" i="45"/>
  <c r="E34" i="45"/>
  <c r="D29" i="45"/>
  <c r="E18" i="45"/>
  <c r="D13" i="45"/>
  <c r="H50" i="42"/>
  <c r="H39" i="42"/>
  <c r="G34" i="42"/>
  <c r="G28" i="42"/>
  <c r="H17" i="42"/>
  <c r="G12" i="42"/>
  <c r="D88" i="45"/>
  <c r="H49" i="42"/>
  <c r="H38" i="42"/>
  <c r="G27" i="42"/>
  <c r="H16" i="42"/>
  <c r="G11" i="42"/>
  <c r="D141" i="45"/>
  <c r="D137" i="45"/>
  <c r="D133" i="45"/>
  <c r="D129" i="45"/>
  <c r="D125" i="45"/>
  <c r="D121" i="45"/>
  <c r="D117" i="45"/>
  <c r="D113" i="45"/>
  <c r="D109" i="45"/>
  <c r="D105" i="45"/>
  <c r="D101" i="45"/>
  <c r="D97" i="45"/>
  <c r="D93" i="45"/>
  <c r="D87" i="45"/>
  <c r="E76" i="45"/>
  <c r="D71" i="45"/>
  <c r="E54" i="45"/>
  <c r="G43" i="42"/>
  <c r="G32" i="42"/>
  <c r="H26" i="42"/>
  <c r="G21" i="42"/>
  <c r="H10" i="42"/>
  <c r="G5" i="42"/>
  <c r="G48" i="42"/>
  <c r="H42" i="42"/>
  <c r="G37" i="42"/>
  <c r="G31" i="42"/>
  <c r="H20" i="42"/>
  <c r="G15" i="42"/>
  <c r="H4" i="42"/>
  <c r="D140" i="45"/>
  <c r="D136" i="45"/>
  <c r="D132" i="45"/>
  <c r="D128" i="45"/>
  <c r="D124" i="45"/>
  <c r="D120" i="45"/>
  <c r="D116" i="45"/>
  <c r="D112" i="45"/>
  <c r="D108" i="45"/>
  <c r="D104" i="45"/>
  <c r="D100" i="45"/>
  <c r="D96" i="45"/>
  <c r="L126" i="59" s="1"/>
  <c r="D91" i="45"/>
  <c r="E80" i="45"/>
  <c r="D75" i="45"/>
  <c r="E64" i="45"/>
  <c r="E58" i="45"/>
  <c r="D53" i="45"/>
  <c r="E42" i="45"/>
  <c r="D37" i="45"/>
  <c r="E26" i="45"/>
  <c r="D21" i="45"/>
  <c r="E10" i="45"/>
  <c r="G51" i="42"/>
  <c r="G44" i="42"/>
  <c r="H37" i="42"/>
  <c r="G16" i="42"/>
  <c r="G9" i="42"/>
  <c r="E127" i="45"/>
  <c r="E122" i="45"/>
  <c r="E89" i="45"/>
  <c r="D77" i="45"/>
  <c r="L82" i="59" s="1"/>
  <c r="E70" i="45"/>
  <c r="D46" i="45"/>
  <c r="D40" i="45"/>
  <c r="D34" i="45"/>
  <c r="E28" i="45"/>
  <c r="D11" i="45"/>
  <c r="G50" i="42"/>
  <c r="H43" i="42"/>
  <c r="H36" i="42"/>
  <c r="G29" i="42"/>
  <c r="G22" i="42"/>
  <c r="H15" i="42"/>
  <c r="H8" i="42"/>
  <c r="G2" i="42"/>
  <c r="G36" i="42"/>
  <c r="G8" i="42"/>
  <c r="E105" i="45"/>
  <c r="D95" i="45"/>
  <c r="E69" i="45"/>
  <c r="D39" i="45"/>
  <c r="D33" i="45"/>
  <c r="G49" i="42"/>
  <c r="G42" i="42"/>
  <c r="H21" i="42"/>
  <c r="H14" i="42"/>
  <c r="E131" i="45"/>
  <c r="E126" i="45"/>
  <c r="E115" i="45"/>
  <c r="E87" i="45"/>
  <c r="E81" i="45"/>
  <c r="E75" i="45"/>
  <c r="D69" i="45"/>
  <c r="E62" i="45"/>
  <c r="E56" i="45"/>
  <c r="D50" i="45"/>
  <c r="E44" i="45"/>
  <c r="D27" i="45"/>
  <c r="E21" i="45"/>
  <c r="E15" i="45"/>
  <c r="E9" i="45"/>
  <c r="H35" i="42"/>
  <c r="H27" i="42"/>
  <c r="G14" i="42"/>
  <c r="H7" i="42"/>
  <c r="E141" i="45"/>
  <c r="E136" i="45"/>
  <c r="D131" i="45"/>
  <c r="E120" i="45"/>
  <c r="D115" i="45"/>
  <c r="E110" i="45"/>
  <c r="E99" i="45"/>
  <c r="D81" i="45"/>
  <c r="H48" i="42"/>
  <c r="H41" i="42"/>
  <c r="G35" i="42"/>
  <c r="G20" i="42"/>
  <c r="G41" i="42"/>
  <c r="G26" i="42"/>
  <c r="H13" i="42"/>
  <c r="H6" i="42"/>
  <c r="E109" i="45"/>
  <c r="D86" i="45"/>
  <c r="D80" i="45"/>
  <c r="D74" i="45"/>
  <c r="D68" i="45"/>
  <c r="H47" i="42"/>
  <c r="H33" i="42"/>
  <c r="H19" i="42"/>
  <c r="G13" i="42"/>
  <c r="G6" i="42"/>
  <c r="E140" i="45"/>
  <c r="E135" i="45"/>
  <c r="E130" i="45"/>
  <c r="E119" i="45"/>
  <c r="E114" i="45"/>
  <c r="E93" i="45"/>
  <c r="D55" i="45"/>
  <c r="D43" i="45"/>
  <c r="E37" i="45"/>
  <c r="E31" i="45"/>
  <c r="E25" i="45"/>
  <c r="D14" i="45"/>
  <c r="D8" i="45"/>
  <c r="G46" i="42"/>
  <c r="H32" i="42"/>
  <c r="H18" i="42"/>
  <c r="H11" i="42"/>
  <c r="E139" i="45"/>
  <c r="E113" i="45"/>
  <c r="E91" i="45"/>
  <c r="E66" i="45"/>
  <c r="D36" i="45"/>
  <c r="E30" i="45"/>
  <c r="E24" i="45"/>
  <c r="D7" i="45"/>
  <c r="H52" i="42"/>
  <c r="G39" i="42"/>
  <c r="H31" i="42"/>
  <c r="H24" i="42"/>
  <c r="G18" i="42"/>
  <c r="G4" i="42"/>
  <c r="D139" i="45"/>
  <c r="E134" i="45"/>
  <c r="E123" i="45"/>
  <c r="E118" i="45"/>
  <c r="E97" i="45"/>
  <c r="E84" i="45"/>
  <c r="H40" i="42"/>
  <c r="E111" i="45"/>
  <c r="E104" i="45"/>
  <c r="E73" i="45"/>
  <c r="E65" i="45"/>
  <c r="D58" i="45"/>
  <c r="E51" i="45"/>
  <c r="E22" i="45"/>
  <c r="D16" i="45"/>
  <c r="G17" i="42"/>
  <c r="E137" i="45"/>
  <c r="E103" i="45"/>
  <c r="E57" i="45"/>
  <c r="E36" i="45"/>
  <c r="D15" i="45"/>
  <c r="E143" i="45"/>
  <c r="D103" i="45"/>
  <c r="E79" i="45"/>
  <c r="D72" i="45"/>
  <c r="D64" i="45"/>
  <c r="D57" i="45"/>
  <c r="E43" i="45"/>
  <c r="D28" i="45"/>
  <c r="E7" i="45"/>
  <c r="G38" i="42"/>
  <c r="H25" i="42"/>
  <c r="H3" i="42"/>
  <c r="D143" i="45"/>
  <c r="E129" i="45"/>
  <c r="D123" i="45"/>
  <c r="E116" i="45"/>
  <c r="E96" i="45"/>
  <c r="D79" i="45"/>
  <c r="E49" i="45"/>
  <c r="E35" i="45"/>
  <c r="E20" i="45"/>
  <c r="E14" i="45"/>
  <c r="G25" i="42"/>
  <c r="G3" i="42"/>
  <c r="E102" i="45"/>
  <c r="E86" i="45"/>
  <c r="E71" i="45"/>
  <c r="D56" i="45"/>
  <c r="D49" i="45"/>
  <c r="D42" i="45"/>
  <c r="D35" i="45"/>
  <c r="K52" i="59" s="1"/>
  <c r="E27" i="45"/>
  <c r="D20" i="45"/>
  <c r="E6" i="45"/>
  <c r="G47" i="42"/>
  <c r="E142" i="45"/>
  <c r="E78" i="45"/>
  <c r="H46" i="42"/>
  <c r="G24" i="42"/>
  <c r="H2" i="42"/>
  <c r="D135" i="45"/>
  <c r="E128" i="45"/>
  <c r="E108" i="45"/>
  <c r="E101" i="45"/>
  <c r="E95" i="45"/>
  <c r="E85" i="45"/>
  <c r="D78" i="45"/>
  <c r="D70" i="45"/>
  <c r="E55" i="45"/>
  <c r="E48" i="45"/>
  <c r="E41" i="45"/>
  <c r="D26" i="45"/>
  <c r="E19" i="45"/>
  <c r="E121" i="45"/>
  <c r="D85" i="45"/>
  <c r="E61" i="45"/>
  <c r="D48" i="45"/>
  <c r="D41" i="45"/>
  <c r="E33" i="45"/>
  <c r="D19" i="45"/>
  <c r="E12" i="45"/>
  <c r="H45" i="42"/>
  <c r="G33" i="42"/>
  <c r="H23" i="42"/>
  <c r="E107" i="45"/>
  <c r="E94" i="45"/>
  <c r="E77" i="45"/>
  <c r="D54" i="45"/>
  <c r="D25" i="45"/>
  <c r="D12" i="45"/>
  <c r="G10" i="42"/>
  <c r="D127" i="45"/>
  <c r="D107" i="45"/>
  <c r="E100" i="45"/>
  <c r="D84" i="45"/>
  <c r="E68" i="45"/>
  <c r="E60" i="45"/>
  <c r="E47" i="45"/>
  <c r="E40" i="45"/>
  <c r="E32" i="45"/>
  <c r="D18" i="45"/>
  <c r="H44" i="42"/>
  <c r="H22" i="42"/>
  <c r="E133" i="45"/>
  <c r="D76" i="45"/>
  <c r="D60" i="45"/>
  <c r="E53" i="45"/>
  <c r="D47" i="45"/>
  <c r="D32" i="45"/>
  <c r="R125" i="59" s="1"/>
  <c r="D24" i="45"/>
  <c r="E11" i="45"/>
  <c r="E132" i="45"/>
  <c r="E125" i="45"/>
  <c r="E90" i="45"/>
  <c r="E82" i="45"/>
  <c r="E74" i="45"/>
  <c r="D66" i="45"/>
  <c r="D59" i="45"/>
  <c r="D52" i="45"/>
  <c r="E38" i="45"/>
  <c r="D23" i="45"/>
  <c r="H29" i="42"/>
  <c r="E59" i="45"/>
  <c r="E46" i="45"/>
  <c r="E106" i="45"/>
  <c r="D22" i="45"/>
  <c r="E83" i="45"/>
  <c r="E45" i="45"/>
  <c r="D10" i="45"/>
  <c r="E138" i="45"/>
  <c r="G40" i="42"/>
  <c r="E112" i="45"/>
  <c r="E67" i="45"/>
  <c r="H9" i="42"/>
  <c r="D119" i="45"/>
  <c r="D30" i="45"/>
  <c r="E8" i="45"/>
  <c r="G52" i="42"/>
  <c r="E17" i="45"/>
  <c r="H51" i="42"/>
  <c r="D90" i="45"/>
  <c r="D6" i="45"/>
  <c r="E117" i="45"/>
  <c r="D99" i="45"/>
  <c r="D51" i="45"/>
  <c r="E39" i="45"/>
  <c r="E16" i="45"/>
  <c r="G19" i="42"/>
  <c r="H5" i="42"/>
  <c r="D89" i="45"/>
  <c r="E29" i="45"/>
  <c r="E124" i="45"/>
  <c r="D82" i="45"/>
  <c r="E13" i="45"/>
  <c r="E52" i="45"/>
  <c r="D38" i="45"/>
  <c r="D65" i="45"/>
  <c r="Q125" i="59" s="1"/>
  <c r="E23" i="45"/>
  <c r="D9" i="45"/>
  <c r="H30" i="42"/>
  <c r="G30" i="42"/>
  <c r="D62" i="45"/>
  <c r="D111" i="45"/>
  <c r="D17" i="45"/>
  <c r="D31" i="45"/>
  <c r="D44" i="45"/>
  <c r="D73" i="45"/>
  <c r="E98" i="45"/>
  <c r="K112" i="2"/>
  <c r="E112" i="2"/>
  <c r="D128" i="2" s="1"/>
  <c r="F128" i="2" s="1"/>
  <c r="Q23" i="17"/>
  <c r="K31" i="11"/>
  <c r="H25" i="9"/>
  <c r="I86" i="17" s="1"/>
  <c r="I25" i="17" s="1"/>
  <c r="H34" i="17"/>
  <c r="M17" i="17"/>
  <c r="I28" i="2"/>
  <c r="K36" i="35"/>
  <c r="E13" i="17"/>
  <c r="K26" i="8"/>
  <c r="K24" i="18"/>
  <c r="S59" i="17"/>
  <c r="J35" i="9"/>
  <c r="G85" i="17"/>
  <c r="U104" i="16"/>
  <c r="Y68" i="11"/>
  <c r="AL22" i="11"/>
  <c r="AL24" i="11" s="1"/>
  <c r="AL68" i="11" s="1"/>
  <c r="Q106" i="38"/>
  <c r="Q60" i="38"/>
  <c r="R88" i="38"/>
  <c r="R58" i="38"/>
  <c r="S106" i="38"/>
  <c r="E119" i="48"/>
  <c r="T7" i="35"/>
  <c r="K38" i="33"/>
  <c r="K39" i="33"/>
  <c r="Q84" i="33"/>
  <c r="G59" i="49"/>
  <c r="G78" i="49"/>
  <c r="D32" i="49"/>
  <c r="G27" i="49"/>
  <c r="E19" i="49"/>
  <c r="D15" i="49"/>
  <c r="G10" i="49"/>
  <c r="G66" i="49"/>
  <c r="D31" i="49"/>
  <c r="G26" i="49"/>
  <c r="E18" i="49"/>
  <c r="D14" i="49"/>
  <c r="G9" i="49"/>
  <c r="G57" i="49"/>
  <c r="D30" i="49"/>
  <c r="G25" i="49"/>
  <c r="E17" i="49"/>
  <c r="D13" i="49"/>
  <c r="G8" i="49"/>
  <c r="G48" i="49"/>
  <c r="E29" i="49"/>
  <c r="D25" i="49"/>
  <c r="G20" i="49"/>
  <c r="E16" i="49"/>
  <c r="D12" i="49"/>
  <c r="G7" i="49"/>
  <c r="G39" i="49"/>
  <c r="D22" i="49"/>
  <c r="D16" i="49"/>
  <c r="G32" i="49"/>
  <c r="D27" i="49"/>
  <c r="E21" i="49"/>
  <c r="D10" i="49"/>
  <c r="E32" i="49"/>
  <c r="D21" i="49"/>
  <c r="E15" i="49"/>
  <c r="G31" i="49"/>
  <c r="D26" i="49"/>
  <c r="D20" i="49"/>
  <c r="D9" i="49"/>
  <c r="G73" i="49"/>
  <c r="G24" i="49"/>
  <c r="D19" i="49"/>
  <c r="G72" i="49"/>
  <c r="E30" i="49"/>
  <c r="E24" i="49"/>
  <c r="G18" i="49"/>
  <c r="E13" i="49"/>
  <c r="E7" i="49"/>
  <c r="G68" i="49"/>
  <c r="G29" i="49"/>
  <c r="D24" i="49"/>
  <c r="G12" i="49"/>
  <c r="D7" i="49"/>
  <c r="G65" i="49"/>
  <c r="G55" i="49"/>
  <c r="E28" i="49"/>
  <c r="G22" i="49"/>
  <c r="D17" i="49"/>
  <c r="E11" i="49"/>
  <c r="D29" i="49"/>
  <c r="G17" i="49"/>
  <c r="E6" i="49"/>
  <c r="G28" i="49"/>
  <c r="D6" i="49"/>
  <c r="D28" i="49"/>
  <c r="G16" i="49"/>
  <c r="E27" i="49"/>
  <c r="G15" i="49"/>
  <c r="E14" i="49"/>
  <c r="E25" i="49"/>
  <c r="G13" i="49"/>
  <c r="G23" i="49"/>
  <c r="E12" i="49"/>
  <c r="D23" i="49"/>
  <c r="G61" i="49"/>
  <c r="E22" i="49"/>
  <c r="D11" i="49"/>
  <c r="G30" i="49"/>
  <c r="E26" i="49"/>
  <c r="E23" i="49"/>
  <c r="G21" i="49"/>
  <c r="E20" i="49"/>
  <c r="G19" i="49"/>
  <c r="D18" i="49"/>
  <c r="G14" i="49"/>
  <c r="G11" i="49"/>
  <c r="E10" i="49"/>
  <c r="E9" i="49"/>
  <c r="G60" i="49"/>
  <c r="E8" i="49"/>
  <c r="G37" i="49"/>
  <c r="E31" i="49"/>
  <c r="D8" i="49"/>
  <c r="G6" i="49"/>
  <c r="G49" i="49"/>
  <c r="AH51" i="10"/>
  <c r="AH52" i="10"/>
  <c r="AH53" i="10"/>
  <c r="I39" i="2"/>
  <c r="AS104" i="11"/>
  <c r="H42" i="9"/>
  <c r="P36" i="17"/>
  <c r="N23" i="17"/>
  <c r="N34" i="17"/>
  <c r="S17" i="17"/>
  <c r="S31" i="17"/>
  <c r="Q85" i="17"/>
  <c r="C188" i="11"/>
  <c r="C189" i="11" s="1"/>
  <c r="C174" i="11"/>
  <c r="E15" i="17"/>
  <c r="K26" i="18"/>
  <c r="K28" i="8"/>
  <c r="Q43" i="38"/>
  <c r="Q59" i="38"/>
  <c r="R59" i="38"/>
  <c r="S44" i="38"/>
  <c r="S92" i="38"/>
  <c r="D120" i="48"/>
  <c r="K113" i="46"/>
  <c r="L5" i="46"/>
  <c r="L5" i="52" s="1"/>
  <c r="K1" i="46"/>
  <c r="K83" i="46" s="1"/>
  <c r="K53" i="33"/>
  <c r="K41" i="33"/>
  <c r="Q86" i="33"/>
  <c r="H112" i="2"/>
  <c r="AP101" i="2"/>
  <c r="X113" i="2"/>
  <c r="X114" i="2" s="1"/>
  <c r="Q41" i="9"/>
  <c r="Q31" i="9"/>
  <c r="AL29" i="2"/>
  <c r="I56" i="17"/>
  <c r="I47" i="17"/>
  <c r="H62" i="2"/>
  <c r="AD48" i="2"/>
  <c r="AD102" i="2" s="1"/>
  <c r="AD114" i="2" s="1"/>
  <c r="L36" i="17"/>
  <c r="E14" i="17"/>
  <c r="K27" i="8"/>
  <c r="K25" i="18"/>
  <c r="P28" i="9"/>
  <c r="P47" i="17"/>
  <c r="P56" i="17"/>
  <c r="L17" i="17"/>
  <c r="S36" i="17"/>
  <c r="S38" i="17"/>
  <c r="E16" i="2"/>
  <c r="K7" i="11"/>
  <c r="E14" i="9"/>
  <c r="K14" i="18"/>
  <c r="K14" i="8"/>
  <c r="Q44" i="38"/>
  <c r="Q41" i="38"/>
  <c r="R76" i="38"/>
  <c r="R105" i="38"/>
  <c r="S75" i="38"/>
  <c r="S58" i="38"/>
  <c r="T98" i="33"/>
  <c r="T53" i="33"/>
  <c r="T83" i="33"/>
  <c r="T38" i="33"/>
  <c r="U5" i="33"/>
  <c r="T8" i="33"/>
  <c r="T1" i="33"/>
  <c r="Z79" i="2"/>
  <c r="AO29" i="2"/>
  <c r="AO48" i="2" s="1"/>
  <c r="AR104" i="11"/>
  <c r="E39" i="2"/>
  <c r="S37" i="17"/>
  <c r="J34" i="17"/>
  <c r="J23" i="17"/>
  <c r="I33" i="9"/>
  <c r="I36" i="17"/>
  <c r="H35" i="9"/>
  <c r="AI104" i="11"/>
  <c r="AA108" i="16"/>
  <c r="L16" i="9"/>
  <c r="L34" i="9" s="1"/>
  <c r="AG68" i="11"/>
  <c r="J34" i="9"/>
  <c r="AC68" i="11"/>
  <c r="K31" i="17"/>
  <c r="K17" i="17"/>
  <c r="K40" i="17" s="1"/>
  <c r="R16" i="9"/>
  <c r="R28" i="9" s="1"/>
  <c r="R38" i="9"/>
  <c r="R44" i="9"/>
  <c r="K75" i="38"/>
  <c r="Q75" i="38"/>
  <c r="Q57" i="38"/>
  <c r="T104" i="38"/>
  <c r="T88" i="38"/>
  <c r="T8" i="38"/>
  <c r="T72" i="38"/>
  <c r="U5" i="38"/>
  <c r="T1" i="38"/>
  <c r="S57" i="38"/>
  <c r="S60" i="38"/>
  <c r="K87" i="33"/>
  <c r="E120" i="48"/>
  <c r="K70" i="33"/>
  <c r="Q54" i="33"/>
  <c r="K42" i="33"/>
  <c r="S71" i="33"/>
  <c r="S42" i="33"/>
  <c r="S40" i="33"/>
  <c r="S56" i="33"/>
  <c r="S54" i="33"/>
  <c r="S102" i="33"/>
  <c r="S100" i="33"/>
  <c r="S85" i="33"/>
  <c r="S86" i="33"/>
  <c r="S87" i="33"/>
  <c r="S57" i="33"/>
  <c r="S84" i="33"/>
  <c r="S101" i="33"/>
  <c r="S72" i="33"/>
  <c r="S70" i="33"/>
  <c r="S10" i="33"/>
  <c r="S55" i="33"/>
  <c r="S99" i="33"/>
  <c r="S41" i="33"/>
  <c r="S69" i="33"/>
  <c r="S11" i="33"/>
  <c r="S39" i="33"/>
  <c r="S9" i="33"/>
  <c r="S12" i="33"/>
  <c r="K98" i="2"/>
  <c r="I30" i="9"/>
  <c r="Q71" i="17"/>
  <c r="P31" i="9"/>
  <c r="P41" i="9"/>
  <c r="G47" i="17"/>
  <c r="G17" i="17"/>
  <c r="AA29" i="2"/>
  <c r="AA48" i="2" s="1"/>
  <c r="AA102" i="2" s="1"/>
  <c r="AA114" i="2" s="1"/>
  <c r="H10" i="2"/>
  <c r="M36" i="17"/>
  <c r="L71" i="17"/>
  <c r="L34" i="17"/>
  <c r="AF108" i="16"/>
  <c r="P34" i="9"/>
  <c r="H71" i="17"/>
  <c r="AC108" i="16"/>
  <c r="AN104" i="11"/>
  <c r="M56" i="17"/>
  <c r="M47" i="17"/>
  <c r="L38" i="9"/>
  <c r="AF68" i="11"/>
  <c r="E13" i="9"/>
  <c r="K13" i="8"/>
  <c r="K13" i="18"/>
  <c r="R42" i="9"/>
  <c r="K41" i="38"/>
  <c r="K105" i="38"/>
  <c r="Q92" i="38"/>
  <c r="S107" i="38"/>
  <c r="D183" i="61" l="1"/>
  <c r="B183" i="61"/>
  <c r="C184" i="61"/>
  <c r="D175" i="61"/>
  <c r="B175" i="61"/>
  <c r="C176" i="61"/>
  <c r="B176" i="61" s="1"/>
  <c r="D80" i="61"/>
  <c r="D128" i="61" s="1"/>
  <c r="C208" i="63"/>
  <c r="D207" i="63"/>
  <c r="B207" i="63"/>
  <c r="D68" i="61"/>
  <c r="C88" i="61"/>
  <c r="C89" i="61" s="1"/>
  <c r="C114" i="63"/>
  <c r="C98" i="63"/>
  <c r="C99" i="63" s="1"/>
  <c r="D72" i="63"/>
  <c r="D69" i="63"/>
  <c r="D77" i="63" s="1"/>
  <c r="C59" i="63"/>
  <c r="D81" i="63"/>
  <c r="C95" i="63"/>
  <c r="D143" i="63"/>
  <c r="D74" i="63"/>
  <c r="C146" i="63"/>
  <c r="C74" i="63"/>
  <c r="C75" i="63" s="1"/>
  <c r="C172" i="63" s="1"/>
  <c r="C115" i="63"/>
  <c r="D71" i="63"/>
  <c r="C200" i="63"/>
  <c r="D199" i="63"/>
  <c r="B199" i="63"/>
  <c r="C191" i="63"/>
  <c r="C120" i="63"/>
  <c r="C118" i="63"/>
  <c r="C171" i="63"/>
  <c r="C68" i="61"/>
  <c r="C160" i="61" s="1"/>
  <c r="C16" i="62"/>
  <c r="D124" i="61"/>
  <c r="C41" i="62"/>
  <c r="C104" i="61"/>
  <c r="C105" i="61" s="1"/>
  <c r="C97" i="61"/>
  <c r="C98" i="61" s="1"/>
  <c r="C56" i="62"/>
  <c r="G19" i="62"/>
  <c r="G15" i="62"/>
  <c r="F18" i="62"/>
  <c r="F19" i="62"/>
  <c r="C15" i="62"/>
  <c r="E15" i="62"/>
  <c r="G17" i="62"/>
  <c r="F16" i="62"/>
  <c r="D16" i="62"/>
  <c r="C19" i="62"/>
  <c r="E19" i="62"/>
  <c r="F17" i="62"/>
  <c r="D15" i="62"/>
  <c r="E18" i="62"/>
  <c r="C18" i="62"/>
  <c r="G18" i="62"/>
  <c r="E16" i="62"/>
  <c r="E17" i="62"/>
  <c r="C55" i="62" s="1"/>
  <c r="C17" i="62"/>
  <c r="G16" i="62"/>
  <c r="D19" i="62"/>
  <c r="D18" i="62"/>
  <c r="F15" i="62"/>
  <c r="F25" i="62"/>
  <c r="F23" i="62"/>
  <c r="F27" i="62"/>
  <c r="G22" i="62"/>
  <c r="F24" i="62"/>
  <c r="D27" i="62"/>
  <c r="C22" i="62"/>
  <c r="D26" i="62"/>
  <c r="D25" i="62"/>
  <c r="D24" i="62"/>
  <c r="G23" i="17"/>
  <c r="G50" i="17"/>
  <c r="L8" i="2"/>
  <c r="L67" i="2"/>
  <c r="L43" i="38"/>
  <c r="L60" i="38"/>
  <c r="D24" i="31"/>
  <c r="R67" i="59"/>
  <c r="L37" i="59"/>
  <c r="D21" i="19"/>
  <c r="D20" i="19"/>
  <c r="D16" i="19"/>
  <c r="D19" i="19"/>
  <c r="D22" i="19"/>
  <c r="D24" i="19"/>
  <c r="D23" i="19"/>
  <c r="D17" i="19"/>
  <c r="L41" i="38"/>
  <c r="L89" i="38"/>
  <c r="R97" i="59"/>
  <c r="L52" i="59"/>
  <c r="D30" i="31"/>
  <c r="F34" i="2"/>
  <c r="F73" i="2"/>
  <c r="L41" i="2"/>
  <c r="L104" i="2"/>
  <c r="K44" i="38"/>
  <c r="L75" i="38"/>
  <c r="L106" i="38"/>
  <c r="R52" i="59"/>
  <c r="L38" i="59"/>
  <c r="I53" i="59"/>
  <c r="I98" i="59"/>
  <c r="I68" i="59"/>
  <c r="I126" i="59"/>
  <c r="I83" i="59"/>
  <c r="I23" i="59"/>
  <c r="I113" i="59"/>
  <c r="I38" i="59"/>
  <c r="K92" i="38"/>
  <c r="J53" i="33"/>
  <c r="K72" i="33"/>
  <c r="F39" i="2"/>
  <c r="F78" i="2"/>
  <c r="L21" i="2"/>
  <c r="L61" i="2"/>
  <c r="R26" i="33"/>
  <c r="N82" i="17"/>
  <c r="AB54" i="59"/>
  <c r="R18" i="52"/>
  <c r="V17" i="52"/>
  <c r="Z16" i="52"/>
  <c r="J16" i="52"/>
  <c r="D17" i="52"/>
  <c r="AB114" i="59"/>
  <c r="Q18" i="52"/>
  <c r="U17" i="52"/>
  <c r="Y16" i="52"/>
  <c r="I16" i="52"/>
  <c r="C17" i="52"/>
  <c r="P18" i="52"/>
  <c r="T17" i="52"/>
  <c r="X16" i="52"/>
  <c r="H16" i="52"/>
  <c r="O18" i="52"/>
  <c r="S17" i="52"/>
  <c r="W16" i="52"/>
  <c r="F16" i="52"/>
  <c r="N18" i="52"/>
  <c r="R17" i="52"/>
  <c r="M18" i="52"/>
  <c r="Q17" i="52"/>
  <c r="U16" i="52"/>
  <c r="C16" i="52"/>
  <c r="AB99" i="59"/>
  <c r="AA18" i="52"/>
  <c r="K18" i="52"/>
  <c r="O17" i="52"/>
  <c r="S16" i="52"/>
  <c r="Z18" i="52"/>
  <c r="J18" i="52"/>
  <c r="N17" i="52"/>
  <c r="R16" i="52"/>
  <c r="AB69" i="59"/>
  <c r="AB24" i="59"/>
  <c r="Y18" i="52"/>
  <c r="I18" i="52"/>
  <c r="M17" i="52"/>
  <c r="Q16" i="52"/>
  <c r="X18" i="52"/>
  <c r="AB17" i="52"/>
  <c r="L17" i="52"/>
  <c r="P16" i="52"/>
  <c r="H18" i="52"/>
  <c r="W18" i="52"/>
  <c r="AA17" i="52"/>
  <c r="K17" i="52"/>
  <c r="O16" i="52"/>
  <c r="F18" i="52"/>
  <c r="AB127" i="59"/>
  <c r="V18" i="52"/>
  <c r="Z17" i="52"/>
  <c r="J17" i="52"/>
  <c r="N16" i="52"/>
  <c r="D18" i="52"/>
  <c r="AB39" i="59"/>
  <c r="T18" i="52"/>
  <c r="X17" i="52"/>
  <c r="AB16" i="52"/>
  <c r="L16" i="52"/>
  <c r="H17" i="52"/>
  <c r="O112" i="59"/>
  <c r="AB84" i="59"/>
  <c r="V16" i="52"/>
  <c r="T16" i="52"/>
  <c r="D16" i="52"/>
  <c r="M16" i="52"/>
  <c r="K16" i="52"/>
  <c r="AB18" i="52"/>
  <c r="F17" i="52"/>
  <c r="S18" i="52"/>
  <c r="L18" i="52"/>
  <c r="Y17" i="52"/>
  <c r="W17" i="52"/>
  <c r="P17" i="52"/>
  <c r="I17" i="52"/>
  <c r="AA16" i="52"/>
  <c r="C18" i="52"/>
  <c r="U18" i="52"/>
  <c r="O37" i="59"/>
  <c r="O52" i="59"/>
  <c r="O97" i="59"/>
  <c r="O82" i="59"/>
  <c r="O125" i="59"/>
  <c r="O22" i="59"/>
  <c r="O67" i="59"/>
  <c r="Q37" i="59"/>
  <c r="Q82" i="59"/>
  <c r="Q22" i="59"/>
  <c r="J68" i="33"/>
  <c r="AG102" i="2"/>
  <c r="F100" i="2"/>
  <c r="F66" i="2"/>
  <c r="L47" i="2"/>
  <c r="L89" i="2"/>
  <c r="K58" i="38"/>
  <c r="Q99" i="33"/>
  <c r="R99" i="33"/>
  <c r="R42" i="33"/>
  <c r="Q73" i="38"/>
  <c r="H100" i="2"/>
  <c r="L57" i="38"/>
  <c r="K106" i="38"/>
  <c r="R92" i="38"/>
  <c r="D26" i="31"/>
  <c r="Q97" i="59"/>
  <c r="Q25" i="38"/>
  <c r="J87" i="39" s="1"/>
  <c r="J104" i="38"/>
  <c r="J38" i="33"/>
  <c r="F72" i="2"/>
  <c r="F86" i="2"/>
  <c r="L64" i="2"/>
  <c r="L112" i="2"/>
  <c r="K69" i="33"/>
  <c r="K108" i="38"/>
  <c r="L91" i="38"/>
  <c r="L59" i="38"/>
  <c r="K42" i="38"/>
  <c r="R9" i="59"/>
  <c r="R8" i="59"/>
  <c r="R126" i="59"/>
  <c r="R23" i="59"/>
  <c r="R22" i="59"/>
  <c r="R38" i="59"/>
  <c r="R68" i="59"/>
  <c r="R83" i="59"/>
  <c r="F8" i="51" a="1"/>
  <c r="F8" i="51" s="1"/>
  <c r="G8" i="51" s="1"/>
  <c r="E8" i="51" a="1"/>
  <c r="E8" i="51" s="1"/>
  <c r="B8" i="51" a="1"/>
  <c r="B8" i="51" s="1"/>
  <c r="D28" i="31"/>
  <c r="K125" i="59"/>
  <c r="T40" i="38"/>
  <c r="R60" i="38"/>
  <c r="K73" i="38"/>
  <c r="R97" i="46"/>
  <c r="J83" i="33"/>
  <c r="F38" i="2"/>
  <c r="F57" i="2"/>
  <c r="L16" i="2"/>
  <c r="L69" i="2"/>
  <c r="R100" i="33"/>
  <c r="R85" i="33"/>
  <c r="L90" i="38"/>
  <c r="L105" i="38"/>
  <c r="K56" i="38"/>
  <c r="R112" i="59"/>
  <c r="F27" i="31"/>
  <c r="E113" i="2"/>
  <c r="D129" i="2" s="1"/>
  <c r="F129" i="2" s="1"/>
  <c r="L107" i="38"/>
  <c r="K90" i="38"/>
  <c r="R98" i="59"/>
  <c r="R82" i="46"/>
  <c r="H97" i="59"/>
  <c r="H22" i="59"/>
  <c r="H112" i="59"/>
  <c r="H52" i="59"/>
  <c r="H82" i="59"/>
  <c r="H125" i="59"/>
  <c r="H67" i="59"/>
  <c r="H37" i="59"/>
  <c r="F9" i="2"/>
  <c r="F98" i="2"/>
  <c r="L34" i="2"/>
  <c r="L91" i="2"/>
  <c r="Q100" i="33"/>
  <c r="Q101" i="33"/>
  <c r="L42" i="38"/>
  <c r="K98" i="33"/>
  <c r="B9" i="51" a="1"/>
  <c r="B9" i="51" s="1"/>
  <c r="L22" i="59"/>
  <c r="L8" i="59"/>
  <c r="L97" i="59"/>
  <c r="L68" i="59"/>
  <c r="K67" i="59"/>
  <c r="I112" i="59"/>
  <c r="I125" i="59"/>
  <c r="I67" i="59"/>
  <c r="I82" i="59"/>
  <c r="I37" i="59"/>
  <c r="I97" i="59"/>
  <c r="I52" i="59"/>
  <c r="I22" i="59"/>
  <c r="F18" i="2"/>
  <c r="F106" i="2"/>
  <c r="D139" i="2" s="1"/>
  <c r="F139" i="2" s="1"/>
  <c r="L23" i="2"/>
  <c r="L59" i="2"/>
  <c r="Q69" i="33"/>
  <c r="K71" i="33"/>
  <c r="Q39" i="33"/>
  <c r="L108" i="38"/>
  <c r="D25" i="31"/>
  <c r="K82" i="59"/>
  <c r="L125" i="59"/>
  <c r="D26" i="19"/>
  <c r="Q52" i="59"/>
  <c r="L23" i="59"/>
  <c r="F7" i="51" a="1"/>
  <c r="F7" i="51" s="1"/>
  <c r="G7" i="51" s="1"/>
  <c r="B7" i="51" a="1"/>
  <c r="B7" i="51" s="1"/>
  <c r="E7" i="51" a="1"/>
  <c r="E7" i="51" s="1"/>
  <c r="L83" i="59"/>
  <c r="L26" i="2"/>
  <c r="L87" i="2"/>
  <c r="Z71" i="11"/>
  <c r="K76" i="38"/>
  <c r="J97" i="59"/>
  <c r="J125" i="59"/>
  <c r="J112" i="59"/>
  <c r="J82" i="59"/>
  <c r="J67" i="59"/>
  <c r="J22" i="59"/>
  <c r="J37" i="59"/>
  <c r="J52" i="59"/>
  <c r="O98" i="59"/>
  <c r="O38" i="59"/>
  <c r="O53" i="59"/>
  <c r="O68" i="59"/>
  <c r="O83" i="59"/>
  <c r="O113" i="59"/>
  <c r="O126" i="59"/>
  <c r="O23" i="59"/>
  <c r="L72" i="2"/>
  <c r="L74" i="2"/>
  <c r="K55" i="33"/>
  <c r="K102" i="33"/>
  <c r="K100" i="33"/>
  <c r="L44" i="38"/>
  <c r="T56" i="38"/>
  <c r="AP102" i="2"/>
  <c r="AP114" i="2" s="1"/>
  <c r="K60" i="38"/>
  <c r="K72" i="38"/>
  <c r="Q42" i="38"/>
  <c r="Q26" i="38" s="1"/>
  <c r="J88" i="39" s="1"/>
  <c r="K79" i="2"/>
  <c r="F13" i="2"/>
  <c r="L95" i="2"/>
  <c r="L88" i="2"/>
  <c r="L82" i="2"/>
  <c r="L68" i="33"/>
  <c r="R84" i="33"/>
  <c r="L74" i="38"/>
  <c r="K83" i="33"/>
  <c r="K23" i="33" s="1"/>
  <c r="L112" i="59"/>
  <c r="D27" i="31"/>
  <c r="L15" i="2"/>
  <c r="L31" i="2"/>
  <c r="K40" i="33"/>
  <c r="L98" i="59"/>
  <c r="L113" i="59"/>
  <c r="C46" i="31"/>
  <c r="H31" i="31"/>
  <c r="F30" i="31"/>
  <c r="H126" i="59"/>
  <c r="H53" i="59"/>
  <c r="H113" i="59"/>
  <c r="H23" i="59"/>
  <c r="H68" i="59"/>
  <c r="H98" i="59"/>
  <c r="H38" i="59"/>
  <c r="H83" i="59"/>
  <c r="R37" i="59"/>
  <c r="L13" i="2"/>
  <c r="L18" i="2"/>
  <c r="K22" i="59"/>
  <c r="K37" i="59"/>
  <c r="J56" i="38"/>
  <c r="K107" i="38"/>
  <c r="F37" i="2"/>
  <c r="F77" i="2"/>
  <c r="L20" i="2"/>
  <c r="L46" i="2"/>
  <c r="K86" i="33"/>
  <c r="K89" i="38"/>
  <c r="Q40" i="33"/>
  <c r="K59" i="38"/>
  <c r="K57" i="38"/>
  <c r="K25" i="38" s="1"/>
  <c r="D87" i="39" s="1"/>
  <c r="L92" i="38"/>
  <c r="Q10" i="31"/>
  <c r="P7" i="31"/>
  <c r="E10" i="31"/>
  <c r="C9" i="31"/>
  <c r="D10" i="31"/>
  <c r="Q8" i="31"/>
  <c r="H8" i="31" s="1"/>
  <c r="Q9" i="31"/>
  <c r="H9" i="31" s="1"/>
  <c r="D8" i="31"/>
  <c r="D7" i="31"/>
  <c r="D11" i="31" s="1"/>
  <c r="P10" i="31"/>
  <c r="E8" i="31"/>
  <c r="C10" i="31"/>
  <c r="P9" i="31"/>
  <c r="C8" i="31"/>
  <c r="E7" i="31"/>
  <c r="E9" i="31"/>
  <c r="Q7" i="31"/>
  <c r="D9" i="31"/>
  <c r="I9" i="31" s="1"/>
  <c r="P8" i="31"/>
  <c r="C7" i="31"/>
  <c r="C11" i="31" s="1"/>
  <c r="C44" i="31" s="1"/>
  <c r="K91" i="38"/>
  <c r="K27" i="38" s="1"/>
  <c r="D89" i="39" s="1"/>
  <c r="R113" i="59"/>
  <c r="L67" i="59"/>
  <c r="Q67" i="59"/>
  <c r="K112" i="59"/>
  <c r="Q102" i="2"/>
  <c r="Q114" i="2" s="1"/>
  <c r="Q112" i="59"/>
  <c r="P125" i="59"/>
  <c r="P97" i="59"/>
  <c r="P37" i="59"/>
  <c r="P67" i="59"/>
  <c r="P112" i="59"/>
  <c r="P22" i="59"/>
  <c r="P52" i="59"/>
  <c r="P82" i="59"/>
  <c r="J83" i="59"/>
  <c r="J68" i="59"/>
  <c r="J113" i="59"/>
  <c r="J126" i="59"/>
  <c r="J98" i="59"/>
  <c r="J38" i="59"/>
  <c r="J53" i="59"/>
  <c r="J23" i="59"/>
  <c r="F14" i="2"/>
  <c r="L63" i="2"/>
  <c r="K57" i="33"/>
  <c r="R82" i="59"/>
  <c r="F25" i="31"/>
  <c r="F31" i="31" s="1"/>
  <c r="K97" i="59"/>
  <c r="T5" i="59"/>
  <c r="S1" i="59"/>
  <c r="S67" i="59" s="1"/>
  <c r="M1" i="59"/>
  <c r="M53" i="59" s="1"/>
  <c r="N5" i="59"/>
  <c r="Q53" i="17"/>
  <c r="J76" i="17"/>
  <c r="AH68" i="11"/>
  <c r="G34" i="9"/>
  <c r="N25" i="17"/>
  <c r="R68" i="11"/>
  <c r="R69" i="11" s="1"/>
  <c r="AT71" i="11"/>
  <c r="K78" i="17"/>
  <c r="K20" i="17"/>
  <c r="Q20" i="17"/>
  <c r="Q28" i="17"/>
  <c r="Q77" i="17"/>
  <c r="Q81" i="17"/>
  <c r="Q27" i="17"/>
  <c r="Q83" i="17"/>
  <c r="N40" i="17"/>
  <c r="O40" i="17"/>
  <c r="Q21" i="17"/>
  <c r="Q26" i="17"/>
  <c r="Q25" i="17"/>
  <c r="Q51" i="17"/>
  <c r="P46" i="9"/>
  <c r="Q76" i="17"/>
  <c r="M60" i="17"/>
  <c r="Z74" i="11"/>
  <c r="Z78" i="11" s="1"/>
  <c r="AT74" i="11"/>
  <c r="AT78" i="11" s="1"/>
  <c r="AT79" i="11" s="1"/>
  <c r="AJ68" i="11"/>
  <c r="J40" i="17"/>
  <c r="S40" i="17"/>
  <c r="G28" i="9"/>
  <c r="N27" i="17"/>
  <c r="I60" i="17"/>
  <c r="U74" i="11"/>
  <c r="U78" i="11" s="1"/>
  <c r="U69" i="11"/>
  <c r="K53" i="17"/>
  <c r="N76" i="17"/>
  <c r="N83" i="17"/>
  <c r="K50" i="17"/>
  <c r="S60" i="17"/>
  <c r="K76" i="17"/>
  <c r="K22" i="17"/>
  <c r="K24" i="17"/>
  <c r="Q50" i="17"/>
  <c r="N24" i="17"/>
  <c r="K81" i="17"/>
  <c r="Q78" i="17"/>
  <c r="N78" i="17"/>
  <c r="K79" i="17"/>
  <c r="K82" i="17"/>
  <c r="K26" i="17"/>
  <c r="K27" i="17"/>
  <c r="P60" i="17"/>
  <c r="K77" i="17"/>
  <c r="N20" i="17"/>
  <c r="K23" i="17"/>
  <c r="Q22" i="17"/>
  <c r="I40" i="17"/>
  <c r="K28" i="17"/>
  <c r="K80" i="17"/>
  <c r="O31" i="9"/>
  <c r="P40" i="17"/>
  <c r="K75" i="17"/>
  <c r="AA100" i="16"/>
  <c r="K51" i="17"/>
  <c r="K25" i="17"/>
  <c r="J60" i="17"/>
  <c r="K83" i="17"/>
  <c r="K21" i="17"/>
  <c r="H40" i="17"/>
  <c r="K52" i="17"/>
  <c r="AN24" i="11"/>
  <c r="AN68" i="11" s="1"/>
  <c r="AN69" i="11" s="1"/>
  <c r="R23" i="17"/>
  <c r="K25" i="9"/>
  <c r="L86" i="17" s="1"/>
  <c r="L20" i="17" s="1"/>
  <c r="R83" i="17"/>
  <c r="R76" i="17"/>
  <c r="P74" i="11"/>
  <c r="P78" i="11" s="1"/>
  <c r="P79" i="11" s="1"/>
  <c r="R25" i="17"/>
  <c r="AD71" i="11"/>
  <c r="Q82" i="17"/>
  <c r="Q52" i="17"/>
  <c r="Q24" i="17"/>
  <c r="Q80" i="17"/>
  <c r="AD74" i="11"/>
  <c r="AD78" i="11" s="1"/>
  <c r="Q40" i="17"/>
  <c r="N26" i="17"/>
  <c r="N53" i="17"/>
  <c r="N28" i="17"/>
  <c r="N50" i="17"/>
  <c r="N52" i="17"/>
  <c r="N21" i="17"/>
  <c r="N77" i="17"/>
  <c r="N79" i="17"/>
  <c r="N80" i="17"/>
  <c r="N81" i="17"/>
  <c r="N22" i="17"/>
  <c r="N51" i="17"/>
  <c r="D11" i="51"/>
  <c r="D10" i="51"/>
  <c r="B10" i="51" a="1"/>
  <c r="B10" i="51" s="1"/>
  <c r="F10" i="51" a="1"/>
  <c r="F10" i="51" s="1"/>
  <c r="G10" i="51" s="1"/>
  <c r="E10" i="51" a="1"/>
  <c r="E10" i="51" s="1"/>
  <c r="E96" i="39"/>
  <c r="L24" i="38"/>
  <c r="AG114" i="2"/>
  <c r="AI71" i="11" s="1"/>
  <c r="O80" i="17"/>
  <c r="O79" i="17"/>
  <c r="O82" i="17"/>
  <c r="O81" i="17"/>
  <c r="O22" i="17"/>
  <c r="O52" i="17"/>
  <c r="O21" i="17"/>
  <c r="O51" i="17"/>
  <c r="O53" i="17"/>
  <c r="O24" i="17"/>
  <c r="O26" i="17"/>
  <c r="O76" i="17"/>
  <c r="O27" i="17"/>
  <c r="O28" i="17"/>
  <c r="O78" i="17"/>
  <c r="O77" i="17"/>
  <c r="O20" i="17"/>
  <c r="O25" i="17"/>
  <c r="O50" i="17"/>
  <c r="O75" i="17"/>
  <c r="O23" i="17"/>
  <c r="O83" i="17"/>
  <c r="AF71" i="11"/>
  <c r="AF69" i="11"/>
  <c r="AF74" i="11"/>
  <c r="AF78" i="11" s="1"/>
  <c r="AI74" i="11"/>
  <c r="AI78" i="11" s="1"/>
  <c r="AI69" i="11"/>
  <c r="Q69" i="11"/>
  <c r="Q74" i="11"/>
  <c r="Q78" i="11" s="1"/>
  <c r="M122" i="37"/>
  <c r="T23" i="33"/>
  <c r="K52" i="46"/>
  <c r="K91" i="11"/>
  <c r="K53" i="8" s="1"/>
  <c r="R8" i="46"/>
  <c r="C96" i="39"/>
  <c r="J24" i="38"/>
  <c r="N89" i="38"/>
  <c r="N108" i="38"/>
  <c r="N75" i="38"/>
  <c r="N73" i="38"/>
  <c r="N44" i="38"/>
  <c r="N42" i="38"/>
  <c r="N105" i="38"/>
  <c r="N58" i="38"/>
  <c r="N107" i="38"/>
  <c r="N57" i="38"/>
  <c r="N43" i="38"/>
  <c r="N90" i="38"/>
  <c r="N11" i="38"/>
  <c r="N41" i="38"/>
  <c r="N91" i="38"/>
  <c r="N106" i="38"/>
  <c r="N76" i="38"/>
  <c r="N12" i="38"/>
  <c r="N60" i="38"/>
  <c r="N9" i="38"/>
  <c r="N74" i="38"/>
  <c r="N59" i="38"/>
  <c r="N10" i="38"/>
  <c r="N92" i="38"/>
  <c r="R71" i="11"/>
  <c r="F21" i="2"/>
  <c r="F12" i="2"/>
  <c r="F44" i="2"/>
  <c r="F89" i="2"/>
  <c r="F79" i="2"/>
  <c r="F63" i="2"/>
  <c r="L76" i="2"/>
  <c r="L42" i="2"/>
  <c r="L38" i="2"/>
  <c r="L58" i="2"/>
  <c r="L83" i="2"/>
  <c r="L111" i="2"/>
  <c r="E100" i="39"/>
  <c r="F97" i="39"/>
  <c r="M28" i="38"/>
  <c r="H60" i="17"/>
  <c r="K104" i="16"/>
  <c r="X24" i="11"/>
  <c r="X68" i="11" s="1"/>
  <c r="K100" i="16"/>
  <c r="K108" i="16"/>
  <c r="L101" i="39"/>
  <c r="E8" i="9"/>
  <c r="K8" i="8"/>
  <c r="K8" i="18"/>
  <c r="K98" i="46"/>
  <c r="D122" i="37"/>
  <c r="P37" i="46"/>
  <c r="P125" i="46"/>
  <c r="P112" i="46"/>
  <c r="P67" i="46"/>
  <c r="P97" i="46"/>
  <c r="P52" i="46"/>
  <c r="P82" i="46"/>
  <c r="P22" i="46"/>
  <c r="J68" i="46"/>
  <c r="J38" i="46"/>
  <c r="J113" i="46"/>
  <c r="J83" i="46"/>
  <c r="J53" i="46"/>
  <c r="J126" i="46"/>
  <c r="J23" i="46"/>
  <c r="J98" i="46"/>
  <c r="J127" i="37"/>
  <c r="T5" i="46"/>
  <c r="T5" i="52" s="1"/>
  <c r="S22" i="46"/>
  <c r="S1" i="46"/>
  <c r="S38" i="46" s="1"/>
  <c r="S53" i="46"/>
  <c r="S83" i="46"/>
  <c r="C100" i="39"/>
  <c r="N28" i="9"/>
  <c r="Q35" i="35"/>
  <c r="F10" i="2"/>
  <c r="F19" i="2"/>
  <c r="F94" i="2"/>
  <c r="F112" i="2"/>
  <c r="D140" i="2" s="1"/>
  <c r="F140" i="2" s="1"/>
  <c r="F93" i="2"/>
  <c r="F88" i="2"/>
  <c r="L97" i="2"/>
  <c r="L57" i="2"/>
  <c r="L51" i="2"/>
  <c r="L71" i="2"/>
  <c r="L94" i="2"/>
  <c r="L101" i="33"/>
  <c r="L99" i="33"/>
  <c r="L84" i="33"/>
  <c r="L72" i="33"/>
  <c r="L57" i="33"/>
  <c r="L71" i="33"/>
  <c r="L69" i="33"/>
  <c r="L85" i="33"/>
  <c r="L54" i="33"/>
  <c r="L41" i="33"/>
  <c r="L86" i="33"/>
  <c r="L42" i="33"/>
  <c r="L11" i="33"/>
  <c r="L70" i="33"/>
  <c r="L55" i="33"/>
  <c r="L100" i="33"/>
  <c r="L87" i="33"/>
  <c r="L12" i="33"/>
  <c r="L56" i="33"/>
  <c r="L9" i="33"/>
  <c r="L102" i="33"/>
  <c r="L10" i="33"/>
  <c r="L40" i="33"/>
  <c r="L39" i="33"/>
  <c r="L24" i="33" s="1"/>
  <c r="K116" i="48"/>
  <c r="K115" i="37"/>
  <c r="L60" i="17"/>
  <c r="S9" i="35"/>
  <c r="T9" i="35" s="1"/>
  <c r="T30" i="35" s="1"/>
  <c r="T39" i="35" s="1"/>
  <c r="I100" i="2"/>
  <c r="K29" i="2"/>
  <c r="R46" i="9"/>
  <c r="S85" i="17"/>
  <c r="R30" i="9"/>
  <c r="M126" i="37"/>
  <c r="K37" i="46"/>
  <c r="Q27" i="38"/>
  <c r="J89" i="39" s="1"/>
  <c r="N60" i="17"/>
  <c r="R98" i="46"/>
  <c r="G100" i="39"/>
  <c r="AH71" i="11"/>
  <c r="AH69" i="11"/>
  <c r="AH74" i="11"/>
  <c r="AH78" i="11" s="1"/>
  <c r="S27" i="38"/>
  <c r="F99" i="2"/>
  <c r="L77" i="2"/>
  <c r="L52" i="2"/>
  <c r="E126" i="37"/>
  <c r="K123" i="37"/>
  <c r="R27" i="33"/>
  <c r="G29" i="9"/>
  <c r="E43" i="17"/>
  <c r="K46" i="11"/>
  <c r="K32" i="8"/>
  <c r="K30" i="18"/>
  <c r="AM69" i="11"/>
  <c r="AM74" i="11"/>
  <c r="AM78" i="11" s="1"/>
  <c r="AM71" i="11"/>
  <c r="Q42" i="33"/>
  <c r="W114" i="2"/>
  <c r="U48" i="2"/>
  <c r="K97" i="46"/>
  <c r="I81" i="17"/>
  <c r="I53" i="17"/>
  <c r="I22" i="17"/>
  <c r="I78" i="17"/>
  <c r="I27" i="17"/>
  <c r="I52" i="17"/>
  <c r="I80" i="17"/>
  <c r="I24" i="17"/>
  <c r="I82" i="17"/>
  <c r="I21" i="17"/>
  <c r="I26" i="17"/>
  <c r="I77" i="17"/>
  <c r="I51" i="17"/>
  <c r="I79" i="17"/>
  <c r="I28" i="17"/>
  <c r="I20" i="17"/>
  <c r="I126" i="46"/>
  <c r="I113" i="46"/>
  <c r="I83" i="46"/>
  <c r="I68" i="46"/>
  <c r="I53" i="46"/>
  <c r="I23" i="46"/>
  <c r="I38" i="46"/>
  <c r="I98" i="46"/>
  <c r="R23" i="46"/>
  <c r="O85" i="17"/>
  <c r="N46" i="9"/>
  <c r="N34" i="9"/>
  <c r="N29" i="9"/>
  <c r="N30" i="9"/>
  <c r="N32" i="9"/>
  <c r="N33" i="9"/>
  <c r="N35" i="9"/>
  <c r="G21" i="17"/>
  <c r="G51" i="17"/>
  <c r="G81" i="17"/>
  <c r="G20" i="17"/>
  <c r="G80" i="17"/>
  <c r="G82" i="17"/>
  <c r="G53" i="17"/>
  <c r="G22" i="17"/>
  <c r="G52" i="17"/>
  <c r="G24" i="17"/>
  <c r="G25" i="17"/>
  <c r="G26" i="17"/>
  <c r="G27" i="17"/>
  <c r="G77" i="17"/>
  <c r="G28" i="17"/>
  <c r="G79" i="17"/>
  <c r="G78" i="17"/>
  <c r="F83" i="2"/>
  <c r="F47" i="2"/>
  <c r="D135" i="2" s="1"/>
  <c r="F135" i="2" s="1"/>
  <c r="F31" i="2"/>
  <c r="F20" i="2"/>
  <c r="F53" i="2"/>
  <c r="F109" i="2"/>
  <c r="L24" i="2"/>
  <c r="L25" i="2"/>
  <c r="L29" i="2"/>
  <c r="L9" i="2"/>
  <c r="L96" i="2"/>
  <c r="L66" i="2"/>
  <c r="J77" i="17"/>
  <c r="J28" i="17"/>
  <c r="J51" i="17"/>
  <c r="J79" i="17"/>
  <c r="J50" i="17"/>
  <c r="J78" i="17"/>
  <c r="J81" i="17"/>
  <c r="J22" i="17"/>
  <c r="J80" i="17"/>
  <c r="J53" i="17"/>
  <c r="J82" i="17"/>
  <c r="J24" i="17"/>
  <c r="J52" i="17"/>
  <c r="J27" i="17"/>
  <c r="J26" i="17"/>
  <c r="J21" i="17"/>
  <c r="J20" i="17"/>
  <c r="R24" i="33"/>
  <c r="G30" i="9"/>
  <c r="AJ71" i="11"/>
  <c r="AJ69" i="11"/>
  <c r="AJ74" i="11"/>
  <c r="AJ78" i="11" s="1"/>
  <c r="L27" i="38"/>
  <c r="E89" i="39" s="1"/>
  <c r="E101" i="39"/>
  <c r="AD73" i="33"/>
  <c r="AD58" i="33"/>
  <c r="AD88" i="33"/>
  <c r="AD103" i="33"/>
  <c r="AD43" i="33"/>
  <c r="AD77" i="38"/>
  <c r="AD109" i="38"/>
  <c r="AD45" i="38"/>
  <c r="AD93" i="38"/>
  <c r="AD61" i="38"/>
  <c r="K85" i="33"/>
  <c r="G32" i="9"/>
  <c r="S24" i="33"/>
  <c r="K26" i="33"/>
  <c r="K68" i="46"/>
  <c r="R113" i="46"/>
  <c r="K96" i="39"/>
  <c r="R24" i="38"/>
  <c r="M4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F101" i="39"/>
  <c r="G75" i="17"/>
  <c r="Z48" i="2"/>
  <c r="F48" i="2" s="1"/>
  <c r="D136" i="2" s="1"/>
  <c r="F136" i="2" s="1"/>
  <c r="H29" i="2"/>
  <c r="AK71" i="11"/>
  <c r="AK69" i="11"/>
  <c r="AK74" i="11"/>
  <c r="AK78" i="11" s="1"/>
  <c r="AP69" i="11"/>
  <c r="AP74" i="11"/>
  <c r="AP78" i="11" s="1"/>
  <c r="AP71" i="11"/>
  <c r="S72" i="38"/>
  <c r="S83" i="33"/>
  <c r="S38" i="33"/>
  <c r="S56" i="38"/>
  <c r="S98" i="33"/>
  <c r="S88" i="38"/>
  <c r="S68" i="33"/>
  <c r="S104" i="38"/>
  <c r="S53" i="33"/>
  <c r="S40" i="38"/>
  <c r="K101" i="33"/>
  <c r="K84" i="33"/>
  <c r="I83" i="17"/>
  <c r="T108" i="38"/>
  <c r="T106" i="38"/>
  <c r="T105" i="38"/>
  <c r="T60" i="38"/>
  <c r="T58" i="38"/>
  <c r="T59" i="38"/>
  <c r="T57" i="38"/>
  <c r="T89" i="38"/>
  <c r="T42" i="38"/>
  <c r="T11" i="38"/>
  <c r="T90" i="38"/>
  <c r="T41" i="38"/>
  <c r="T91" i="38"/>
  <c r="T10" i="38"/>
  <c r="T92" i="38"/>
  <c r="T76" i="38"/>
  <c r="T74" i="38"/>
  <c r="T75" i="38"/>
  <c r="T107" i="38"/>
  <c r="T44" i="38"/>
  <c r="T9" i="38"/>
  <c r="T73" i="38"/>
  <c r="T43" i="38"/>
  <c r="T12" i="38"/>
  <c r="M96" i="39"/>
  <c r="T24" i="38"/>
  <c r="U88" i="38"/>
  <c r="U104" i="38"/>
  <c r="U56" i="38"/>
  <c r="U40" i="38"/>
  <c r="U72" i="38"/>
  <c r="V5" i="38"/>
  <c r="U8" i="38"/>
  <c r="U1" i="38"/>
  <c r="D126" i="37"/>
  <c r="K82" i="46"/>
  <c r="D101" i="39"/>
  <c r="E8" i="17"/>
  <c r="K19" i="18"/>
  <c r="K21" i="8"/>
  <c r="AB127" i="46"/>
  <c r="AB114" i="46"/>
  <c r="AB39" i="46"/>
  <c r="AB24" i="46"/>
  <c r="AB54" i="46"/>
  <c r="AB99" i="46"/>
  <c r="AB69" i="46"/>
  <c r="AB84" i="46"/>
  <c r="O125" i="46"/>
  <c r="O22" i="46"/>
  <c r="O82" i="46"/>
  <c r="O67" i="46"/>
  <c r="O37" i="46"/>
  <c r="O97" i="46"/>
  <c r="O112" i="46"/>
  <c r="O52" i="46"/>
  <c r="Q125" i="46"/>
  <c r="Q22" i="46"/>
  <c r="Q112" i="46"/>
  <c r="Q82" i="46"/>
  <c r="Q97" i="46"/>
  <c r="Q37" i="46"/>
  <c r="Q67" i="46"/>
  <c r="Q52" i="46"/>
  <c r="R83" i="46"/>
  <c r="C126" i="37"/>
  <c r="G96" i="39"/>
  <c r="N24" i="38"/>
  <c r="AO69" i="11"/>
  <c r="AO74" i="11"/>
  <c r="AO78" i="11" s="1"/>
  <c r="AO71" i="11"/>
  <c r="F60" i="2"/>
  <c r="F16" i="2"/>
  <c r="F40" i="2"/>
  <c r="F36" i="2"/>
  <c r="F82" i="2"/>
  <c r="F70" i="2"/>
  <c r="L44" i="2"/>
  <c r="L45" i="2"/>
  <c r="L39" i="2"/>
  <c r="L35" i="2"/>
  <c r="L68" i="2"/>
  <c r="L62" i="2"/>
  <c r="G35" i="9"/>
  <c r="S25" i="38"/>
  <c r="S26" i="33"/>
  <c r="S25" i="33"/>
  <c r="AC71" i="11"/>
  <c r="AC69" i="11"/>
  <c r="AC74" i="11"/>
  <c r="AC78" i="11" s="1"/>
  <c r="K38" i="46"/>
  <c r="K53" i="46"/>
  <c r="R22" i="46"/>
  <c r="G33" i="9"/>
  <c r="F61" i="2"/>
  <c r="F26" i="2"/>
  <c r="F69" i="2"/>
  <c r="F92" i="2"/>
  <c r="F113" i="2"/>
  <c r="D141" i="2" s="1"/>
  <c r="F141" i="2" s="1"/>
  <c r="D165" i="2" s="1"/>
  <c r="F76" i="2"/>
  <c r="L80" i="2"/>
  <c r="L14" i="2"/>
  <c r="L75" i="2"/>
  <c r="L43" i="2"/>
  <c r="L92" i="2"/>
  <c r="L85" i="2"/>
  <c r="K89" i="11"/>
  <c r="K58" i="8" s="1"/>
  <c r="N31" i="9"/>
  <c r="H46" i="9"/>
  <c r="R26" i="38"/>
  <c r="K88" i="39" s="1"/>
  <c r="I23" i="17"/>
  <c r="O48" i="2"/>
  <c r="O102" i="2" s="1"/>
  <c r="O114" i="2" s="1"/>
  <c r="Q71" i="11" s="1"/>
  <c r="E29" i="2"/>
  <c r="D122" i="2" s="1"/>
  <c r="L85" i="17"/>
  <c r="K46" i="9"/>
  <c r="K29" i="9"/>
  <c r="K30" i="9"/>
  <c r="K32" i="9"/>
  <c r="K33" i="9"/>
  <c r="K35" i="9"/>
  <c r="K34" i="9"/>
  <c r="G83" i="17"/>
  <c r="U98" i="33"/>
  <c r="U68" i="33"/>
  <c r="U83" i="33"/>
  <c r="U38" i="33"/>
  <c r="U53" i="33"/>
  <c r="V5" i="33"/>
  <c r="U8" i="33"/>
  <c r="U1" i="33"/>
  <c r="L123" i="37"/>
  <c r="S27" i="33"/>
  <c r="K8" i="46"/>
  <c r="K112" i="46"/>
  <c r="R126" i="46"/>
  <c r="R68" i="46"/>
  <c r="C122" i="37"/>
  <c r="J23" i="33"/>
  <c r="AL101" i="2"/>
  <c r="I101" i="2" s="1"/>
  <c r="D149" i="2" s="1"/>
  <c r="F149" i="2" s="1"/>
  <c r="I79" i="2"/>
  <c r="I75" i="17"/>
  <c r="F29" i="2"/>
  <c r="D134" i="2" s="1"/>
  <c r="F134" i="2" s="1"/>
  <c r="R31" i="9"/>
  <c r="K113" i="2"/>
  <c r="K97" i="39"/>
  <c r="R28" i="38"/>
  <c r="K28" i="9"/>
  <c r="E100" i="2"/>
  <c r="C11" i="19"/>
  <c r="E7" i="19"/>
  <c r="D7" i="19"/>
  <c r="P34" i="35"/>
  <c r="S34" i="35" s="1"/>
  <c r="T71" i="11"/>
  <c r="T69" i="11"/>
  <c r="T74" i="11"/>
  <c r="T78" i="11" s="1"/>
  <c r="S71" i="11"/>
  <c r="S74" i="11"/>
  <c r="S78" i="11" s="1"/>
  <c r="S69" i="11"/>
  <c r="R23" i="33"/>
  <c r="K122" i="37"/>
  <c r="Q108" i="38"/>
  <c r="R22" i="17"/>
  <c r="R78" i="17"/>
  <c r="R21" i="17"/>
  <c r="R77" i="17"/>
  <c r="R24" i="17"/>
  <c r="R52" i="17"/>
  <c r="R80" i="17"/>
  <c r="R79" i="17"/>
  <c r="R82" i="17"/>
  <c r="R81" i="17"/>
  <c r="R51" i="17"/>
  <c r="R26" i="17"/>
  <c r="R28" i="17"/>
  <c r="R53" i="17"/>
  <c r="R20" i="17"/>
  <c r="R27" i="17"/>
  <c r="M100" i="39"/>
  <c r="M85" i="17"/>
  <c r="L46" i="9"/>
  <c r="L32" i="9"/>
  <c r="L29" i="9"/>
  <c r="L31" i="9"/>
  <c r="L33" i="9"/>
  <c r="L35" i="9"/>
  <c r="L25" i="9"/>
  <c r="M86" i="17" s="1"/>
  <c r="L30" i="9"/>
  <c r="L28" i="9"/>
  <c r="K126" i="46"/>
  <c r="H22" i="46"/>
  <c r="H125" i="46"/>
  <c r="H52" i="46"/>
  <c r="H67" i="46"/>
  <c r="H97" i="46"/>
  <c r="H82" i="46"/>
  <c r="H37" i="46"/>
  <c r="H112" i="46"/>
  <c r="R53" i="46"/>
  <c r="R112" i="46"/>
  <c r="AB74" i="11"/>
  <c r="AB78" i="11" s="1"/>
  <c r="AB69" i="11"/>
  <c r="Q24" i="33"/>
  <c r="R33" i="9"/>
  <c r="Q102" i="33"/>
  <c r="AD79" i="11"/>
  <c r="Y69" i="11"/>
  <c r="Y74" i="11"/>
  <c r="Y78" i="11" s="1"/>
  <c r="Y71" i="11"/>
  <c r="R29" i="9"/>
  <c r="AR74" i="11"/>
  <c r="AR78" i="11" s="1"/>
  <c r="AR71" i="11"/>
  <c r="AR69" i="11"/>
  <c r="I76" i="17"/>
  <c r="J97" i="39"/>
  <c r="Q28" i="38"/>
  <c r="K22" i="46"/>
  <c r="I52" i="46"/>
  <c r="I37" i="46"/>
  <c r="I67" i="46"/>
  <c r="I97" i="46"/>
  <c r="I112" i="46"/>
  <c r="I22" i="46"/>
  <c r="I125" i="46"/>
  <c r="I82" i="46"/>
  <c r="R125" i="46"/>
  <c r="AE71" i="11"/>
  <c r="AE74" i="11"/>
  <c r="AE78" i="11" s="1"/>
  <c r="AE69" i="11"/>
  <c r="E47" i="2"/>
  <c r="D123" i="2" s="1"/>
  <c r="F123" i="2" s="1"/>
  <c r="F15" i="2"/>
  <c r="F42" i="2"/>
  <c r="F43" i="2"/>
  <c r="F96" i="2"/>
  <c r="F87" i="2"/>
  <c r="F67" i="2"/>
  <c r="L32" i="2"/>
  <c r="L99" i="2"/>
  <c r="L105" i="2"/>
  <c r="L108" i="2"/>
  <c r="L53" i="2"/>
  <c r="L79" i="2"/>
  <c r="S26" i="38"/>
  <c r="AS71" i="11"/>
  <c r="AS69" i="11"/>
  <c r="AS74" i="11"/>
  <c r="AS78" i="11" s="1"/>
  <c r="K127" i="37"/>
  <c r="L26" i="38"/>
  <c r="E88" i="39" s="1"/>
  <c r="W69" i="11"/>
  <c r="W74" i="11"/>
  <c r="W78" i="11" s="1"/>
  <c r="J83" i="17"/>
  <c r="K26" i="38"/>
  <c r="D88" i="39" s="1"/>
  <c r="Q83" i="33"/>
  <c r="Q68" i="33"/>
  <c r="Q53" i="33"/>
  <c r="Q98" i="33"/>
  <c r="Q38" i="33"/>
  <c r="Q88" i="38"/>
  <c r="Q56" i="38"/>
  <c r="Q104" i="38"/>
  <c r="Q40" i="38"/>
  <c r="Q72" i="38"/>
  <c r="J40" i="33"/>
  <c r="J54" i="33"/>
  <c r="J58" i="38"/>
  <c r="J105" i="38"/>
  <c r="J107" i="38"/>
  <c r="J86" i="33"/>
  <c r="J44" i="38"/>
  <c r="J84" i="33"/>
  <c r="J89" i="38"/>
  <c r="J57" i="33"/>
  <c r="J43" i="38"/>
  <c r="J100" i="33"/>
  <c r="J41" i="33"/>
  <c r="J42" i="38"/>
  <c r="J87" i="33"/>
  <c r="J92" i="38"/>
  <c r="J90" i="38"/>
  <c r="J99" i="33"/>
  <c r="J59" i="38"/>
  <c r="J91" i="38"/>
  <c r="J42" i="33"/>
  <c r="J72" i="33"/>
  <c r="J57" i="38"/>
  <c r="J41" i="38"/>
  <c r="J69" i="33"/>
  <c r="J106" i="38"/>
  <c r="J108" i="38"/>
  <c r="J102" i="33"/>
  <c r="J39" i="33"/>
  <c r="J76" i="38"/>
  <c r="J71" i="33"/>
  <c r="J56" i="33"/>
  <c r="J60" i="38"/>
  <c r="J74" i="38"/>
  <c r="J85" i="33"/>
  <c r="J55" i="33"/>
  <c r="J75" i="38"/>
  <c r="J70" i="33"/>
  <c r="J73" i="38"/>
  <c r="J101" i="33"/>
  <c r="M72" i="38"/>
  <c r="M88" i="38"/>
  <c r="M56" i="38"/>
  <c r="M104" i="38"/>
  <c r="M40" i="38"/>
  <c r="K54" i="33"/>
  <c r="R32" i="9"/>
  <c r="AO102" i="2"/>
  <c r="AO114" i="2" s="1"/>
  <c r="I50" i="17"/>
  <c r="L113" i="46"/>
  <c r="L53" i="46"/>
  <c r="L125" i="46"/>
  <c r="L23" i="46"/>
  <c r="M5" i="46"/>
  <c r="M5" i="52" s="1"/>
  <c r="L22" i="46"/>
  <c r="L82" i="46"/>
  <c r="L38" i="46"/>
  <c r="L37" i="46"/>
  <c r="L83" i="46"/>
  <c r="L67" i="46"/>
  <c r="L1" i="46"/>
  <c r="L8" i="46" s="1"/>
  <c r="J101" i="39"/>
  <c r="J52" i="46"/>
  <c r="J67" i="46"/>
  <c r="J82" i="46"/>
  <c r="J112" i="46"/>
  <c r="J97" i="46"/>
  <c r="J22" i="46"/>
  <c r="J37" i="46"/>
  <c r="J125" i="46"/>
  <c r="O98" i="46"/>
  <c r="O23" i="46"/>
  <c r="O68" i="46"/>
  <c r="O53" i="46"/>
  <c r="O126" i="46"/>
  <c r="O83" i="46"/>
  <c r="O113" i="46"/>
  <c r="O38" i="46"/>
  <c r="R52" i="46"/>
  <c r="D96" i="39"/>
  <c r="K24" i="38"/>
  <c r="F8" i="2"/>
  <c r="F23" i="2"/>
  <c r="F46" i="2"/>
  <c r="F101" i="2"/>
  <c r="D137" i="2" s="1"/>
  <c r="F137" i="2" s="1"/>
  <c r="F62" i="2"/>
  <c r="F108" i="2"/>
  <c r="L36" i="2"/>
  <c r="L10" i="2"/>
  <c r="L109" i="2"/>
  <c r="L110" i="2"/>
  <c r="L73" i="2"/>
  <c r="L86" i="2"/>
  <c r="R27" i="38"/>
  <c r="K89" i="39" s="1"/>
  <c r="AQ74" i="11"/>
  <c r="AQ78" i="11" s="1"/>
  <c r="AQ71" i="11"/>
  <c r="AQ69" i="11"/>
  <c r="K25" i="33"/>
  <c r="D100" i="39"/>
  <c r="Z79" i="11"/>
  <c r="G31" i="9"/>
  <c r="D123" i="37"/>
  <c r="K27" i="33"/>
  <c r="K67" i="46"/>
  <c r="D164" i="2"/>
  <c r="H79" i="2"/>
  <c r="Z101" i="2"/>
  <c r="H101" i="2" s="1"/>
  <c r="K23" i="46"/>
  <c r="Q36" i="35"/>
  <c r="R37" i="46"/>
  <c r="F25" i="2"/>
  <c r="F56" i="2"/>
  <c r="F51" i="2"/>
  <c r="F104" i="2"/>
  <c r="F85" i="2"/>
  <c r="F110" i="2"/>
  <c r="L28" i="2"/>
  <c r="L12" i="2"/>
  <c r="L101" i="2"/>
  <c r="L113" i="2"/>
  <c r="L98" i="2"/>
  <c r="M25" i="38"/>
  <c r="F87" i="39" s="1"/>
  <c r="D163" i="2"/>
  <c r="E97" i="39"/>
  <c r="L28" i="38"/>
  <c r="R60" i="17"/>
  <c r="K101" i="39"/>
  <c r="M120" i="48"/>
  <c r="T102" i="33"/>
  <c r="T100" i="33"/>
  <c r="T12" i="33"/>
  <c r="T85" i="33"/>
  <c r="T70" i="33"/>
  <c r="T101" i="33"/>
  <c r="T71" i="33"/>
  <c r="T57" i="33"/>
  <c r="T42" i="33"/>
  <c r="T55" i="33"/>
  <c r="T86" i="33"/>
  <c r="T72" i="33"/>
  <c r="T10" i="33"/>
  <c r="T39" i="33"/>
  <c r="T99" i="33"/>
  <c r="T87" i="33"/>
  <c r="T56" i="33"/>
  <c r="T40" i="33"/>
  <c r="T41" i="33"/>
  <c r="T69" i="33"/>
  <c r="T11" i="33"/>
  <c r="T54" i="33"/>
  <c r="T9" i="33"/>
  <c r="T84" i="33"/>
  <c r="AL48" i="2"/>
  <c r="L48" i="2" s="1"/>
  <c r="I29" i="2"/>
  <c r="D146" i="2" s="1"/>
  <c r="F146" i="2" s="1"/>
  <c r="K9" i="46"/>
  <c r="F41" i="2"/>
  <c r="F68" i="2"/>
  <c r="F27" i="2"/>
  <c r="F111" i="2"/>
  <c r="F91" i="2"/>
  <c r="F32" i="2"/>
  <c r="L55" i="2"/>
  <c r="L70" i="2"/>
  <c r="L19" i="2"/>
  <c r="L84" i="2"/>
  <c r="L78" i="2"/>
  <c r="L93" i="2"/>
  <c r="E79" i="2"/>
  <c r="N101" i="2"/>
  <c r="E101" i="2" s="1"/>
  <c r="D125" i="2" s="1"/>
  <c r="F125" i="2" s="1"/>
  <c r="D161" i="2" s="1"/>
  <c r="M27" i="38"/>
  <c r="F89" i="39" s="1"/>
  <c r="R25" i="33"/>
  <c r="G25" i="9"/>
  <c r="H86" i="17" s="1"/>
  <c r="H83" i="17" s="1"/>
  <c r="K126" i="37"/>
  <c r="P85" i="17"/>
  <c r="O46" i="9"/>
  <c r="O33" i="9"/>
  <c r="O32" i="9"/>
  <c r="O29" i="9"/>
  <c r="O35" i="9"/>
  <c r="O25" i="9"/>
  <c r="P86" i="17" s="1"/>
  <c r="O34" i="9"/>
  <c r="O30" i="9"/>
  <c r="AA74" i="11"/>
  <c r="AA78" i="11" s="1"/>
  <c r="AA71" i="11"/>
  <c r="AA69" i="11"/>
  <c r="R50" i="17"/>
  <c r="U79" i="11"/>
  <c r="V69" i="11"/>
  <c r="V74" i="11"/>
  <c r="V78" i="11" s="1"/>
  <c r="V71" i="11"/>
  <c r="R40" i="17"/>
  <c r="AG71" i="11"/>
  <c r="AG69" i="11"/>
  <c r="AG74" i="11"/>
  <c r="AG78" i="11" s="1"/>
  <c r="L40" i="17"/>
  <c r="K125" i="46"/>
  <c r="L127" i="37"/>
  <c r="R34" i="9"/>
  <c r="L97" i="39"/>
  <c r="S28" i="38"/>
  <c r="AL69" i="11"/>
  <c r="AL74" i="11"/>
  <c r="AL78" i="11" s="1"/>
  <c r="AL71" i="11"/>
  <c r="M40" i="17"/>
  <c r="H38" i="46"/>
  <c r="H68" i="46"/>
  <c r="H126" i="46"/>
  <c r="H83" i="46"/>
  <c r="H98" i="46"/>
  <c r="H23" i="46"/>
  <c r="H53" i="46"/>
  <c r="H113" i="46"/>
  <c r="Q26" i="33"/>
  <c r="O40" i="38"/>
  <c r="O88" i="38"/>
  <c r="O56" i="38"/>
  <c r="O104" i="38"/>
  <c r="O72" i="38"/>
  <c r="O8" i="38"/>
  <c r="O1" i="38"/>
  <c r="P5" i="38"/>
  <c r="F45" i="2"/>
  <c r="F75" i="2"/>
  <c r="F35" i="2"/>
  <c r="F97" i="2"/>
  <c r="F74" i="2"/>
  <c r="L60" i="2"/>
  <c r="L37" i="2"/>
  <c r="L40" i="2"/>
  <c r="L100" i="2"/>
  <c r="L56" i="2"/>
  <c r="M98" i="33"/>
  <c r="M83" i="33"/>
  <c r="M38" i="33"/>
  <c r="N5" i="33"/>
  <c r="M1" i="33"/>
  <c r="M8" i="33"/>
  <c r="M68" i="33"/>
  <c r="M53" i="33"/>
  <c r="Q25" i="33"/>
  <c r="Q60" i="17"/>
  <c r="R25" i="38"/>
  <c r="K87" i="39" s="1"/>
  <c r="R25" i="9"/>
  <c r="S86" i="17" s="1"/>
  <c r="M127" i="48"/>
  <c r="E122" i="37"/>
  <c r="L23" i="33"/>
  <c r="D97" i="39"/>
  <c r="K28" i="38"/>
  <c r="D127" i="37"/>
  <c r="R35" i="9"/>
  <c r="J75" i="17"/>
  <c r="G76" i="17"/>
  <c r="B184" i="61" l="1"/>
  <c r="D176" i="61"/>
  <c r="B208" i="63"/>
  <c r="D90" i="63"/>
  <c r="D127" i="63"/>
  <c r="C119" i="63"/>
  <c r="D79" i="63"/>
  <c r="D73" i="63"/>
  <c r="D75" i="63" s="1"/>
  <c r="D138" i="63" s="1"/>
  <c r="C96" i="63"/>
  <c r="C100" i="63" s="1"/>
  <c r="D198" i="63"/>
  <c r="C78" i="63"/>
  <c r="C121" i="63"/>
  <c r="C127" i="63"/>
  <c r="C126" i="63"/>
  <c r="C128" i="63"/>
  <c r="D139" i="63"/>
  <c r="D140" i="63" s="1"/>
  <c r="C79" i="63"/>
  <c r="D135" i="63"/>
  <c r="D136" i="63"/>
  <c r="D137" i="63"/>
  <c r="C129" i="63"/>
  <c r="D78" i="63"/>
  <c r="D200" i="63"/>
  <c r="B200" i="63"/>
  <c r="C26" i="62"/>
  <c r="C24" i="62"/>
  <c r="C27" i="62"/>
  <c r="C25" i="62"/>
  <c r="C23" i="62"/>
  <c r="G25" i="62"/>
  <c r="G27" i="62"/>
  <c r="G23" i="62"/>
  <c r="G24" i="62"/>
  <c r="G26" i="62"/>
  <c r="L97" i="46"/>
  <c r="S67" i="46"/>
  <c r="R74" i="11"/>
  <c r="R78" i="11" s="1"/>
  <c r="H7" i="31"/>
  <c r="Q11" i="31"/>
  <c r="H11" i="31" s="1"/>
  <c r="C19" i="31" s="1"/>
  <c r="H10" i="31"/>
  <c r="M8" i="59"/>
  <c r="M68" i="59"/>
  <c r="S126" i="59"/>
  <c r="F24" i="59"/>
  <c r="D24" i="59"/>
  <c r="L98" i="46"/>
  <c r="S113" i="46"/>
  <c r="F9" i="31"/>
  <c r="G9" i="31"/>
  <c r="J9" i="31"/>
  <c r="M23" i="59"/>
  <c r="S53" i="59"/>
  <c r="J8" i="51"/>
  <c r="I8" i="51"/>
  <c r="H8" i="51"/>
  <c r="F127" i="59"/>
  <c r="D127" i="59"/>
  <c r="F69" i="59"/>
  <c r="D69" i="59"/>
  <c r="T26" i="38"/>
  <c r="M88" i="39" s="1"/>
  <c r="S126" i="46"/>
  <c r="G7" i="31"/>
  <c r="F7" i="31"/>
  <c r="E11" i="31"/>
  <c r="J8" i="31" s="1"/>
  <c r="M9" i="59"/>
  <c r="S113" i="59"/>
  <c r="T25" i="33"/>
  <c r="S125" i="46"/>
  <c r="M38" i="59"/>
  <c r="S52" i="59"/>
  <c r="E48" i="2"/>
  <c r="D124" i="2" s="1"/>
  <c r="F124" i="2" s="1"/>
  <c r="D159" i="2"/>
  <c r="T27" i="38"/>
  <c r="M89" i="39" s="1"/>
  <c r="M125" i="59"/>
  <c r="S37" i="59"/>
  <c r="D84" i="59"/>
  <c r="F84" i="59"/>
  <c r="F54" i="59"/>
  <c r="D54" i="59"/>
  <c r="L25" i="33"/>
  <c r="M83" i="59"/>
  <c r="S38" i="59"/>
  <c r="K24" i="33"/>
  <c r="D114" i="48" s="1"/>
  <c r="F8" i="31"/>
  <c r="G8" i="31"/>
  <c r="M112" i="59"/>
  <c r="S68" i="59"/>
  <c r="M98" i="59"/>
  <c r="S112" i="59"/>
  <c r="N67" i="59"/>
  <c r="N112" i="59"/>
  <c r="J7" i="51"/>
  <c r="I7" i="51"/>
  <c r="H7" i="51"/>
  <c r="M113" i="59"/>
  <c r="S125" i="59"/>
  <c r="I8" i="31"/>
  <c r="H9" i="51"/>
  <c r="J9" i="51"/>
  <c r="I9" i="51"/>
  <c r="M126" i="59"/>
  <c r="S82" i="59"/>
  <c r="S98" i="59"/>
  <c r="D31" i="31"/>
  <c r="M67" i="59"/>
  <c r="S83" i="59"/>
  <c r="S23" i="59"/>
  <c r="F99" i="59"/>
  <c r="D99" i="59"/>
  <c r="S9" i="46"/>
  <c r="N120" i="48" s="1"/>
  <c r="T23" i="59"/>
  <c r="T98" i="59"/>
  <c r="T83" i="59"/>
  <c r="T112" i="59"/>
  <c r="T68" i="59"/>
  <c r="T53" i="59"/>
  <c r="T52" i="59"/>
  <c r="T67" i="59"/>
  <c r="T82" i="59"/>
  <c r="T126" i="59"/>
  <c r="T97" i="59"/>
  <c r="T22" i="59"/>
  <c r="T125" i="59"/>
  <c r="M82" i="59"/>
  <c r="S9" i="59"/>
  <c r="F39" i="59"/>
  <c r="D39" i="59"/>
  <c r="L25" i="38"/>
  <c r="E87" i="39" s="1"/>
  <c r="I10" i="31"/>
  <c r="M37" i="59"/>
  <c r="S22" i="59"/>
  <c r="M52" i="59"/>
  <c r="S8" i="59"/>
  <c r="F10" i="31"/>
  <c r="J10" i="31"/>
  <c r="G10" i="31"/>
  <c r="M97" i="59"/>
  <c r="S97" i="59"/>
  <c r="D114" i="59"/>
  <c r="F114" i="59"/>
  <c r="I7" i="31"/>
  <c r="P11" i="31"/>
  <c r="I11" i="31" s="1"/>
  <c r="C18" i="31" s="1"/>
  <c r="M22" i="59"/>
  <c r="N1" i="59"/>
  <c r="N68" i="59" s="1"/>
  <c r="U5" i="59"/>
  <c r="T1" i="59"/>
  <c r="T8" i="59" s="1"/>
  <c r="AN74" i="11"/>
  <c r="AN78" i="11" s="1"/>
  <c r="L53" i="17"/>
  <c r="L21" i="17"/>
  <c r="L52" i="17"/>
  <c r="L28" i="17"/>
  <c r="L51" i="17"/>
  <c r="L75" i="17"/>
  <c r="L80" i="17"/>
  <c r="L26" i="17"/>
  <c r="L83" i="17"/>
  <c r="L50" i="17"/>
  <c r="L24" i="17"/>
  <c r="L27" i="17"/>
  <c r="L81" i="17"/>
  <c r="L78" i="17"/>
  <c r="L79" i="17"/>
  <c r="L82" i="17"/>
  <c r="L22" i="17"/>
  <c r="L77" i="17"/>
  <c r="L76" i="17"/>
  <c r="L23" i="17"/>
  <c r="L25" i="17"/>
  <c r="J10" i="51"/>
  <c r="I10" i="51"/>
  <c r="H10" i="51"/>
  <c r="B11" i="51" a="1"/>
  <c r="B11" i="51" s="1"/>
  <c r="F11" i="51" a="1"/>
  <c r="F11" i="51" s="1"/>
  <c r="G11" i="51" s="1"/>
  <c r="E11" i="51" a="1"/>
  <c r="E11" i="51" s="1"/>
  <c r="G119" i="48"/>
  <c r="D113" i="37"/>
  <c r="C124" i="48"/>
  <c r="F126" i="37"/>
  <c r="E127" i="48"/>
  <c r="G124" i="48"/>
  <c r="AB79" i="11"/>
  <c r="D54" i="46"/>
  <c r="F54" i="46"/>
  <c r="F61" i="38"/>
  <c r="H61" i="38"/>
  <c r="K119" i="37"/>
  <c r="AH79" i="11"/>
  <c r="K101" i="2"/>
  <c r="AL102" i="2"/>
  <c r="I48" i="2"/>
  <c r="D148" i="2" s="1"/>
  <c r="F148" i="2" s="1"/>
  <c r="M123" i="37"/>
  <c r="T27" i="33"/>
  <c r="L9" i="46"/>
  <c r="D160" i="2"/>
  <c r="C123" i="37"/>
  <c r="J27" i="33"/>
  <c r="L88" i="39"/>
  <c r="AE79" i="11"/>
  <c r="K113" i="48"/>
  <c r="K112" i="37"/>
  <c r="K118" i="37" s="1"/>
  <c r="V68" i="33"/>
  <c r="V8" i="33"/>
  <c r="V98" i="33"/>
  <c r="V83" i="33"/>
  <c r="V38" i="33"/>
  <c r="V53" i="33"/>
  <c r="V1" i="33"/>
  <c r="W5" i="33"/>
  <c r="D24" i="46"/>
  <c r="F24" i="46"/>
  <c r="K86" i="39"/>
  <c r="K92" i="39" s="1"/>
  <c r="F93" i="38"/>
  <c r="H93" i="38"/>
  <c r="U102" i="2"/>
  <c r="K48" i="2"/>
  <c r="S23" i="46"/>
  <c r="S52" i="46"/>
  <c r="K127" i="48"/>
  <c r="F120" i="48"/>
  <c r="C128" i="48"/>
  <c r="N102" i="2"/>
  <c r="F123" i="48"/>
  <c r="Y79" i="11"/>
  <c r="M52" i="17"/>
  <c r="M77" i="17"/>
  <c r="M27" i="17"/>
  <c r="M79" i="17"/>
  <c r="M81" i="17"/>
  <c r="M20" i="17"/>
  <c r="M22" i="17"/>
  <c r="M51" i="17"/>
  <c r="M53" i="17"/>
  <c r="M24" i="17"/>
  <c r="M26" i="17"/>
  <c r="M78" i="17"/>
  <c r="M21" i="17"/>
  <c r="M80" i="17"/>
  <c r="M28" i="17"/>
  <c r="M82" i="17"/>
  <c r="M76" i="17"/>
  <c r="M25" i="17"/>
  <c r="M75" i="17"/>
  <c r="M50" i="17"/>
  <c r="M23" i="17"/>
  <c r="M83" i="17"/>
  <c r="C113" i="48"/>
  <c r="C112" i="37"/>
  <c r="C118" i="37" s="1"/>
  <c r="N126" i="37"/>
  <c r="F122" i="2"/>
  <c r="D158" i="2" s="1"/>
  <c r="F39" i="46"/>
  <c r="D39" i="46"/>
  <c r="F45" i="38"/>
  <c r="H45" i="38"/>
  <c r="AD29" i="38"/>
  <c r="M127" i="37"/>
  <c r="D115" i="48"/>
  <c r="D114" i="37"/>
  <c r="E113" i="48"/>
  <c r="E112" i="37"/>
  <c r="E118" i="37" s="1"/>
  <c r="M102" i="33"/>
  <c r="M100" i="33"/>
  <c r="M101" i="33"/>
  <c r="M99" i="33"/>
  <c r="M86" i="33"/>
  <c r="M69" i="33"/>
  <c r="M55" i="33"/>
  <c r="M71" i="33"/>
  <c r="M85" i="33"/>
  <c r="M54" i="33"/>
  <c r="M41" i="33"/>
  <c r="M26" i="33" s="1"/>
  <c r="M84" i="33"/>
  <c r="M70" i="33"/>
  <c r="M87" i="33"/>
  <c r="M42" i="33"/>
  <c r="M57" i="33"/>
  <c r="M11" i="33"/>
  <c r="M72" i="33"/>
  <c r="M56" i="33"/>
  <c r="M40" i="33"/>
  <c r="M9" i="33"/>
  <c r="M12" i="33"/>
  <c r="M10" i="33"/>
  <c r="M39" i="33"/>
  <c r="P88" i="38"/>
  <c r="E88" i="38" s="1"/>
  <c r="P40" i="38"/>
  <c r="P72" i="38"/>
  <c r="P104" i="38"/>
  <c r="P56" i="38"/>
  <c r="E56" i="38" s="1"/>
  <c r="P1" i="38"/>
  <c r="P8" i="38"/>
  <c r="L112" i="46"/>
  <c r="W79" i="11"/>
  <c r="S79" i="11"/>
  <c r="U23" i="33"/>
  <c r="N122" i="37"/>
  <c r="AC79" i="11"/>
  <c r="L123" i="48"/>
  <c r="D114" i="46"/>
  <c r="F114" i="46"/>
  <c r="U107" i="38"/>
  <c r="U92" i="38"/>
  <c r="U89" i="38"/>
  <c r="U42" i="38"/>
  <c r="U11" i="38"/>
  <c r="U108" i="38"/>
  <c r="U90" i="38"/>
  <c r="U41" i="38"/>
  <c r="U91" i="38"/>
  <c r="U10" i="38"/>
  <c r="U105" i="38"/>
  <c r="U76" i="38"/>
  <c r="U60" i="38"/>
  <c r="U12" i="38"/>
  <c r="U74" i="38"/>
  <c r="U106" i="38"/>
  <c r="U75" i="38"/>
  <c r="U73" i="38"/>
  <c r="U57" i="38"/>
  <c r="U44" i="38"/>
  <c r="U9" i="38"/>
  <c r="U59" i="38"/>
  <c r="U43" i="38"/>
  <c r="U58" i="38"/>
  <c r="M97" i="39"/>
  <c r="T28" i="38"/>
  <c r="M101" i="39"/>
  <c r="H109" i="38"/>
  <c r="F109" i="38"/>
  <c r="AJ79" i="11"/>
  <c r="D86" i="39"/>
  <c r="D92" i="39" s="1"/>
  <c r="D93" i="39"/>
  <c r="V79" i="11"/>
  <c r="P51" i="17"/>
  <c r="P79" i="17"/>
  <c r="P22" i="17"/>
  <c r="P81" i="17"/>
  <c r="P53" i="17"/>
  <c r="P78" i="17"/>
  <c r="P24" i="17"/>
  <c r="P80" i="17"/>
  <c r="P52" i="17"/>
  <c r="P82" i="17"/>
  <c r="P27" i="17"/>
  <c r="P26" i="17"/>
  <c r="P21" i="17"/>
  <c r="P77" i="17"/>
  <c r="P20" i="17"/>
  <c r="P28" i="17"/>
  <c r="P76" i="17"/>
  <c r="P25" i="17"/>
  <c r="P50" i="17"/>
  <c r="P75" i="17"/>
  <c r="P23" i="17"/>
  <c r="P83" i="17"/>
  <c r="N98" i="33"/>
  <c r="N1" i="33"/>
  <c r="N53" i="33"/>
  <c r="N83" i="33"/>
  <c r="N68" i="33"/>
  <c r="N8" i="33"/>
  <c r="N38" i="33"/>
  <c r="O5" i="33"/>
  <c r="O108" i="38"/>
  <c r="O75" i="38"/>
  <c r="O73" i="38"/>
  <c r="O44" i="38"/>
  <c r="O42" i="38"/>
  <c r="O91" i="38"/>
  <c r="O12" i="38"/>
  <c r="O107" i="38"/>
  <c r="O90" i="38"/>
  <c r="O106" i="38"/>
  <c r="O57" i="38"/>
  <c r="O43" i="38"/>
  <c r="O89" i="38"/>
  <c r="O41" i="38"/>
  <c r="O11" i="38"/>
  <c r="O105" i="38"/>
  <c r="O92" i="38"/>
  <c r="O60" i="38"/>
  <c r="O74" i="38"/>
  <c r="O59" i="38"/>
  <c r="O76" i="38"/>
  <c r="O10" i="38"/>
  <c r="O9" i="38"/>
  <c r="O58" i="38"/>
  <c r="L52" i="46"/>
  <c r="J93" i="39"/>
  <c r="AO79" i="11"/>
  <c r="F127" i="46"/>
  <c r="D127" i="46"/>
  <c r="L100" i="39"/>
  <c r="C112" i="11"/>
  <c r="F77" i="38"/>
  <c r="H77" i="38"/>
  <c r="S37" i="46"/>
  <c r="N26" i="38"/>
  <c r="G88" i="39" s="1"/>
  <c r="E93" i="39"/>
  <c r="C101" i="39"/>
  <c r="J25" i="33"/>
  <c r="T79" i="11"/>
  <c r="K93" i="39"/>
  <c r="M128" i="48"/>
  <c r="V72" i="38"/>
  <c r="V104" i="38"/>
  <c r="V40" i="38"/>
  <c r="V88" i="38"/>
  <c r="V8" i="38"/>
  <c r="V1" i="38"/>
  <c r="V56" i="38"/>
  <c r="W5" i="38"/>
  <c r="L122" i="37"/>
  <c r="S23" i="33"/>
  <c r="M124" i="48"/>
  <c r="J123" i="37"/>
  <c r="Q27" i="33"/>
  <c r="S82" i="46"/>
  <c r="N127" i="48" s="1"/>
  <c r="D113" i="48"/>
  <c r="D112" i="37"/>
  <c r="D118" i="37" s="1"/>
  <c r="G97" i="39"/>
  <c r="N28" i="38"/>
  <c r="AF79" i="11"/>
  <c r="AL79" i="11"/>
  <c r="AQ79" i="11"/>
  <c r="L126" i="46"/>
  <c r="G86" i="39"/>
  <c r="G92" i="39" s="1"/>
  <c r="P35" i="35"/>
  <c r="S35" i="35" s="1"/>
  <c r="S97" i="46"/>
  <c r="E124" i="48"/>
  <c r="M113" i="48"/>
  <c r="M112" i="37"/>
  <c r="M118" i="37" s="1"/>
  <c r="F122" i="37"/>
  <c r="M23" i="33"/>
  <c r="S81" i="17"/>
  <c r="S79" i="17"/>
  <c r="S76" i="17"/>
  <c r="S78" i="17"/>
  <c r="S80" i="17"/>
  <c r="S77" i="17"/>
  <c r="S82" i="17"/>
  <c r="S24" i="17"/>
  <c r="S28" i="17"/>
  <c r="S52" i="17"/>
  <c r="S83" i="17"/>
  <c r="S23" i="17"/>
  <c r="S75" i="17"/>
  <c r="S50" i="17"/>
  <c r="S51" i="17"/>
  <c r="S20" i="17"/>
  <c r="S25" i="17"/>
  <c r="S26" i="17"/>
  <c r="S22" i="17"/>
  <c r="S53" i="17"/>
  <c r="S27" i="17"/>
  <c r="S21" i="17"/>
  <c r="J128" i="48"/>
  <c r="G127" i="48"/>
  <c r="J96" i="39"/>
  <c r="Q24" i="38"/>
  <c r="D123" i="48"/>
  <c r="L115" i="48"/>
  <c r="L114" i="37"/>
  <c r="N96" i="39"/>
  <c r="U24" i="38"/>
  <c r="K114" i="48"/>
  <c r="K113" i="37"/>
  <c r="AM79" i="11"/>
  <c r="S8" i="46"/>
  <c r="G101" i="39"/>
  <c r="F127" i="48"/>
  <c r="J26" i="38"/>
  <c r="C127" i="48"/>
  <c r="N100" i="39"/>
  <c r="AD28" i="33"/>
  <c r="H43" i="33"/>
  <c r="F43" i="33"/>
  <c r="E123" i="37"/>
  <c r="L27" i="33"/>
  <c r="N123" i="48"/>
  <c r="F96" i="39"/>
  <c r="M24" i="38"/>
  <c r="J24" i="33"/>
  <c r="J26" i="33"/>
  <c r="J100" i="39"/>
  <c r="F119" i="48"/>
  <c r="L116" i="48"/>
  <c r="L115" i="37"/>
  <c r="J127" i="48"/>
  <c r="AP79" i="11"/>
  <c r="F128" i="48"/>
  <c r="D124" i="48"/>
  <c r="K34" i="18"/>
  <c r="T113" i="46"/>
  <c r="T97" i="46"/>
  <c r="T126" i="46"/>
  <c r="T98" i="46"/>
  <c r="T67" i="46"/>
  <c r="T125" i="46"/>
  <c r="T82" i="46"/>
  <c r="U5" i="46"/>
  <c r="U5" i="52" s="1"/>
  <c r="T8" i="46"/>
  <c r="T37" i="46"/>
  <c r="T1" i="46"/>
  <c r="T112" i="46" s="1"/>
  <c r="T9" i="46"/>
  <c r="F93" i="39"/>
  <c r="Q79" i="11"/>
  <c r="M115" i="48"/>
  <c r="M114" i="37"/>
  <c r="AA79" i="11"/>
  <c r="L68" i="46"/>
  <c r="D127" i="48"/>
  <c r="J114" i="48"/>
  <c r="J113" i="37"/>
  <c r="D116" i="48"/>
  <c r="D115" i="37"/>
  <c r="H103" i="33"/>
  <c r="F103" i="33"/>
  <c r="K36" i="8"/>
  <c r="L26" i="33"/>
  <c r="S98" i="46"/>
  <c r="E86" i="39"/>
  <c r="E92" i="39" s="1"/>
  <c r="T26" i="33"/>
  <c r="H100" i="39"/>
  <c r="J124" i="48"/>
  <c r="L93" i="39"/>
  <c r="D119" i="37"/>
  <c r="H96" i="39"/>
  <c r="O24" i="38"/>
  <c r="J116" i="48"/>
  <c r="J115" i="37"/>
  <c r="AN79" i="11"/>
  <c r="F100" i="39"/>
  <c r="J27" i="38"/>
  <c r="J122" i="37"/>
  <c r="Q23" i="33"/>
  <c r="AR79" i="11"/>
  <c r="C123" i="48"/>
  <c r="D11" i="19"/>
  <c r="F7" i="19"/>
  <c r="L119" i="37"/>
  <c r="J123" i="48"/>
  <c r="T25" i="38"/>
  <c r="M87" i="39" s="1"/>
  <c r="AK79" i="11"/>
  <c r="H88" i="33"/>
  <c r="F88" i="33"/>
  <c r="D128" i="48"/>
  <c r="S68" i="46"/>
  <c r="E40" i="38"/>
  <c r="J115" i="48"/>
  <c r="J114" i="37"/>
  <c r="AG79" i="11"/>
  <c r="H21" i="17"/>
  <c r="H24" i="17"/>
  <c r="H52" i="17"/>
  <c r="H80" i="17"/>
  <c r="H77" i="17"/>
  <c r="H82" i="17"/>
  <c r="H51" i="17"/>
  <c r="H79" i="17"/>
  <c r="H26" i="17"/>
  <c r="H81" i="17"/>
  <c r="H53" i="17"/>
  <c r="H20" i="17"/>
  <c r="H28" i="17"/>
  <c r="H27" i="17"/>
  <c r="H22" i="17"/>
  <c r="H78" i="17"/>
  <c r="H50" i="17"/>
  <c r="H75" i="17"/>
  <c r="H76" i="17"/>
  <c r="H23" i="17"/>
  <c r="H25" i="17"/>
  <c r="T24" i="33"/>
  <c r="E123" i="48"/>
  <c r="C127" i="37"/>
  <c r="K102" i="11"/>
  <c r="K66" i="8" s="1"/>
  <c r="J66" i="8"/>
  <c r="L114" i="48"/>
  <c r="L113" i="37"/>
  <c r="H58" i="33"/>
  <c r="F58" i="33"/>
  <c r="E114" i="48"/>
  <c r="E113" i="37"/>
  <c r="S112" i="46"/>
  <c r="E128" i="48"/>
  <c r="X69" i="11"/>
  <c r="X74" i="11"/>
  <c r="X78" i="11" s="1"/>
  <c r="X71" i="11"/>
  <c r="N25" i="38"/>
  <c r="G87" i="39" s="1"/>
  <c r="C86" i="39"/>
  <c r="C92" i="39" s="1"/>
  <c r="K115" i="48"/>
  <c r="K114" i="37"/>
  <c r="J126" i="37"/>
  <c r="AS79" i="11"/>
  <c r="M123" i="48"/>
  <c r="F84" i="46"/>
  <c r="D84" i="46"/>
  <c r="M86" i="39"/>
  <c r="M92" i="39" s="1"/>
  <c r="AK5" i="11"/>
  <c r="E115" i="48"/>
  <c r="E114" i="37"/>
  <c r="K123" i="48"/>
  <c r="F124" i="48"/>
  <c r="G123" i="48"/>
  <c r="J25" i="38"/>
  <c r="L127" i="48"/>
  <c r="F69" i="46"/>
  <c r="D69" i="46"/>
  <c r="L96" i="39"/>
  <c r="S24" i="38"/>
  <c r="E47" i="17"/>
  <c r="L89" i="39"/>
  <c r="M119" i="48"/>
  <c r="AI79" i="11"/>
  <c r="M97" i="46"/>
  <c r="M82" i="46"/>
  <c r="M23" i="46"/>
  <c r="M52" i="46"/>
  <c r="M112" i="46"/>
  <c r="N5" i="46"/>
  <c r="N5" i="52" s="1"/>
  <c r="M38" i="46"/>
  <c r="M8" i="46"/>
  <c r="M37" i="46"/>
  <c r="M1" i="46"/>
  <c r="M67" i="46" s="1"/>
  <c r="C97" i="39"/>
  <c r="J28" i="38"/>
  <c r="U101" i="33"/>
  <c r="U99" i="33"/>
  <c r="U102" i="33"/>
  <c r="U100" i="33"/>
  <c r="U85" i="33"/>
  <c r="U56" i="33"/>
  <c r="U70" i="33"/>
  <c r="U86" i="33"/>
  <c r="U40" i="33"/>
  <c r="U55" i="33"/>
  <c r="U72" i="33"/>
  <c r="U57" i="33"/>
  <c r="U10" i="33"/>
  <c r="U12" i="33"/>
  <c r="U9" i="33"/>
  <c r="U39" i="33"/>
  <c r="U87" i="33"/>
  <c r="U41" i="33"/>
  <c r="U71" i="33"/>
  <c r="U69" i="33"/>
  <c r="U54" i="33"/>
  <c r="U84" i="33"/>
  <c r="U42" i="33"/>
  <c r="U11" i="33"/>
  <c r="L87" i="39"/>
  <c r="F99" i="46"/>
  <c r="D99" i="46"/>
  <c r="L126" i="37"/>
  <c r="Z102" i="2"/>
  <c r="H48" i="2"/>
  <c r="F73" i="33"/>
  <c r="H73" i="33"/>
  <c r="E127" i="37"/>
  <c r="R79" i="11"/>
  <c r="N27" i="38"/>
  <c r="G89" i="39" s="1"/>
  <c r="C122" i="63" l="1"/>
  <c r="D118" i="63" s="1"/>
  <c r="C130" i="63"/>
  <c r="D89" i="63"/>
  <c r="D208" i="63"/>
  <c r="D88" i="63"/>
  <c r="C101" i="63"/>
  <c r="C82" i="63"/>
  <c r="C147" i="63" s="1"/>
  <c r="D82" i="63"/>
  <c r="C85" i="63"/>
  <c r="C173" i="63"/>
  <c r="D120" i="63"/>
  <c r="D121" i="63"/>
  <c r="D119" i="63"/>
  <c r="D85" i="63"/>
  <c r="D86" i="63"/>
  <c r="D147" i="63"/>
  <c r="M113" i="46"/>
  <c r="T52" i="46"/>
  <c r="T113" i="59"/>
  <c r="N8" i="59"/>
  <c r="C8" i="59" s="1"/>
  <c r="N125" i="59"/>
  <c r="N83" i="59"/>
  <c r="N23" i="59"/>
  <c r="M22" i="46"/>
  <c r="T22" i="46"/>
  <c r="T37" i="59"/>
  <c r="N98" i="59"/>
  <c r="C98" i="59" s="1"/>
  <c r="T38" i="59"/>
  <c r="N113" i="59"/>
  <c r="C113" i="59" s="1"/>
  <c r="N126" i="59"/>
  <c r="N9" i="59"/>
  <c r="N82" i="59"/>
  <c r="U26" i="33"/>
  <c r="N115" i="37" s="1"/>
  <c r="N37" i="59"/>
  <c r="N52" i="59"/>
  <c r="N97" i="59"/>
  <c r="C97" i="59" s="1"/>
  <c r="T23" i="46"/>
  <c r="T9" i="59"/>
  <c r="N38" i="59"/>
  <c r="N53" i="59"/>
  <c r="G11" i="31"/>
  <c r="C15" i="31" s="1"/>
  <c r="C17" i="31" s="1"/>
  <c r="F11" i="31"/>
  <c r="M53" i="46"/>
  <c r="T38" i="46"/>
  <c r="N22" i="59"/>
  <c r="C22" i="59" s="1"/>
  <c r="J7" i="31"/>
  <c r="J11" i="31" s="1"/>
  <c r="C68" i="59"/>
  <c r="C53" i="59"/>
  <c r="C112" i="59"/>
  <c r="V5" i="59"/>
  <c r="U1" i="59"/>
  <c r="U22" i="59" s="1"/>
  <c r="C37" i="59"/>
  <c r="C38" i="59"/>
  <c r="N66" i="8"/>
  <c r="M66" i="8"/>
  <c r="I11" i="51"/>
  <c r="J11" i="51"/>
  <c r="H11" i="51"/>
  <c r="D13" i="51"/>
  <c r="F12" i="51" a="1"/>
  <c r="F12" i="51" s="1"/>
  <c r="G12" i="51" s="1"/>
  <c r="E12" i="51" a="1"/>
  <c r="E12" i="51" s="1"/>
  <c r="B12" i="51" a="1"/>
  <c r="B12" i="51" s="1"/>
  <c r="D12" i="51"/>
  <c r="H127" i="48"/>
  <c r="U24" i="33"/>
  <c r="N125" i="46"/>
  <c r="N112" i="46"/>
  <c r="N38" i="46"/>
  <c r="C38" i="46" s="1"/>
  <c r="N1" i="46"/>
  <c r="N52" i="46" s="1"/>
  <c r="AL5" i="11"/>
  <c r="J113" i="48"/>
  <c r="J112" i="37"/>
  <c r="J118" i="37" s="1"/>
  <c r="O27" i="38"/>
  <c r="H89" i="39" s="1"/>
  <c r="M9" i="46"/>
  <c r="T53" i="46"/>
  <c r="C88" i="39"/>
  <c r="G126" i="37"/>
  <c r="M93" i="39"/>
  <c r="E8" i="38"/>
  <c r="F123" i="37"/>
  <c r="M27" i="33"/>
  <c r="G128" i="48"/>
  <c r="H123" i="48"/>
  <c r="M125" i="46"/>
  <c r="C89" i="39"/>
  <c r="L113" i="48"/>
  <c r="L112" i="37"/>
  <c r="L118" i="37" s="1"/>
  <c r="N102" i="33"/>
  <c r="N100" i="33"/>
  <c r="N71" i="33"/>
  <c r="N69" i="33"/>
  <c r="N99" i="33"/>
  <c r="N11" i="33"/>
  <c r="N9" i="33"/>
  <c r="N86" i="33"/>
  <c r="N55" i="33"/>
  <c r="N57" i="33"/>
  <c r="N84" i="33"/>
  <c r="N70" i="33"/>
  <c r="N101" i="33"/>
  <c r="N87" i="33"/>
  <c r="N41" i="33"/>
  <c r="N42" i="33"/>
  <c r="N54" i="33"/>
  <c r="N72" i="33"/>
  <c r="N85" i="33"/>
  <c r="N12" i="33"/>
  <c r="N56" i="33"/>
  <c r="N40" i="33"/>
  <c r="N39" i="33"/>
  <c r="N24" i="33" s="1"/>
  <c r="N10" i="33"/>
  <c r="P92" i="38"/>
  <c r="P90" i="38"/>
  <c r="E90" i="38" s="1"/>
  <c r="P108" i="38"/>
  <c r="P75" i="38"/>
  <c r="E75" i="38" s="1"/>
  <c r="P73" i="38"/>
  <c r="E73" i="38" s="1"/>
  <c r="P44" i="38"/>
  <c r="P42" i="38"/>
  <c r="P91" i="38"/>
  <c r="E91" i="38" s="1"/>
  <c r="P76" i="38"/>
  <c r="P74" i="38"/>
  <c r="E74" i="38" s="1"/>
  <c r="P43" i="38"/>
  <c r="P41" i="38"/>
  <c r="P89" i="38"/>
  <c r="E89" i="38" s="1"/>
  <c r="P107" i="38"/>
  <c r="E107" i="38" s="1"/>
  <c r="P57" i="38"/>
  <c r="E57" i="38" s="1"/>
  <c r="P9" i="38"/>
  <c r="E9" i="38" s="1"/>
  <c r="P105" i="38"/>
  <c r="E105" i="38" s="1"/>
  <c r="P60" i="38"/>
  <c r="P58" i="38"/>
  <c r="E58" i="38" s="1"/>
  <c r="P12" i="38"/>
  <c r="P106" i="38"/>
  <c r="E106" i="38" s="1"/>
  <c r="P11" i="38"/>
  <c r="E11" i="38" s="1"/>
  <c r="P10" i="38"/>
  <c r="E10" i="38" s="1"/>
  <c r="P59" i="38"/>
  <c r="E59" i="38" s="1"/>
  <c r="W68" i="33"/>
  <c r="W98" i="33"/>
  <c r="W38" i="33"/>
  <c r="W83" i="33"/>
  <c r="X5" i="33"/>
  <c r="W8" i="33"/>
  <c r="W53" i="33"/>
  <c r="W1" i="33"/>
  <c r="C119" i="37"/>
  <c r="N116" i="48"/>
  <c r="E116" i="48"/>
  <c r="E115" i="37"/>
  <c r="U25" i="38"/>
  <c r="I100" i="39"/>
  <c r="H29" i="38"/>
  <c r="F29" i="38"/>
  <c r="N114" i="2"/>
  <c r="E102" i="2"/>
  <c r="D126" i="2" s="1"/>
  <c r="V101" i="33"/>
  <c r="V99" i="33"/>
  <c r="V72" i="33"/>
  <c r="V70" i="33"/>
  <c r="V85" i="33"/>
  <c r="V10" i="33"/>
  <c r="V56" i="33"/>
  <c r="V54" i="33"/>
  <c r="V102" i="33"/>
  <c r="V84" i="33"/>
  <c r="V100" i="33"/>
  <c r="V87" i="33"/>
  <c r="V39" i="33"/>
  <c r="V57" i="33"/>
  <c r="V42" i="33"/>
  <c r="V55" i="33"/>
  <c r="V41" i="33"/>
  <c r="V86" i="33"/>
  <c r="V12" i="33"/>
  <c r="V9" i="33"/>
  <c r="V71" i="33"/>
  <c r="V69" i="33"/>
  <c r="V11" i="33"/>
  <c r="V40" i="33"/>
  <c r="O119" i="48"/>
  <c r="F28" i="33"/>
  <c r="H28" i="33"/>
  <c r="W72" i="38"/>
  <c r="W88" i="38"/>
  <c r="W104" i="38"/>
  <c r="W40" i="38"/>
  <c r="X5" i="38"/>
  <c r="W56" i="38"/>
  <c r="W8" i="38"/>
  <c r="W1" i="38"/>
  <c r="U27" i="38"/>
  <c r="N124" i="48"/>
  <c r="O126" i="37"/>
  <c r="X79" i="11"/>
  <c r="H124" i="48"/>
  <c r="M114" i="48"/>
  <c r="M113" i="37"/>
  <c r="O123" i="48"/>
  <c r="J86" i="39"/>
  <c r="J92" i="39" s="1"/>
  <c r="O100" i="39"/>
  <c r="N113" i="48"/>
  <c r="N112" i="37"/>
  <c r="N118" i="37" s="1"/>
  <c r="F116" i="48"/>
  <c r="F115" i="37"/>
  <c r="O122" i="37"/>
  <c r="V23" i="33"/>
  <c r="U25" i="33"/>
  <c r="M126" i="46"/>
  <c r="N128" i="48"/>
  <c r="U125" i="46"/>
  <c r="U1" i="46"/>
  <c r="U97" i="46" s="1"/>
  <c r="U52" i="46"/>
  <c r="U38" i="46"/>
  <c r="V5" i="46"/>
  <c r="V5" i="52" s="1"/>
  <c r="U98" i="46"/>
  <c r="V107" i="38"/>
  <c r="V90" i="38"/>
  <c r="V76" i="38"/>
  <c r="V74" i="38"/>
  <c r="V43" i="38"/>
  <c r="V41" i="38"/>
  <c r="V106" i="38"/>
  <c r="V89" i="38"/>
  <c r="V105" i="38"/>
  <c r="V108" i="38"/>
  <c r="V91" i="38"/>
  <c r="V10" i="38"/>
  <c r="V12" i="38"/>
  <c r="V60" i="38"/>
  <c r="V92" i="38"/>
  <c r="V59" i="38"/>
  <c r="V75" i="38"/>
  <c r="V73" i="38"/>
  <c r="V58" i="38"/>
  <c r="V44" i="38"/>
  <c r="V57" i="38"/>
  <c r="V42" i="38"/>
  <c r="V9" i="38"/>
  <c r="V11" i="38"/>
  <c r="I96" i="39"/>
  <c r="P24" i="38"/>
  <c r="K102" i="2"/>
  <c r="U114" i="2"/>
  <c r="N127" i="37"/>
  <c r="C93" i="39"/>
  <c r="M68" i="46"/>
  <c r="F113" i="48"/>
  <c r="F112" i="37"/>
  <c r="F118" i="37" s="1"/>
  <c r="O26" i="38"/>
  <c r="H88" i="39" s="1"/>
  <c r="N97" i="39"/>
  <c r="U28" i="38"/>
  <c r="U26" i="38"/>
  <c r="E104" i="38"/>
  <c r="C87" i="39"/>
  <c r="H97" i="39"/>
  <c r="O28" i="38"/>
  <c r="M24" i="33"/>
  <c r="G120" i="48"/>
  <c r="O127" i="48"/>
  <c r="N86" i="39"/>
  <c r="N92" i="39" s="1"/>
  <c r="O96" i="39"/>
  <c r="V24" i="38"/>
  <c r="Z114" i="2"/>
  <c r="H102" i="2"/>
  <c r="F102" i="2"/>
  <c r="D138" i="2" s="1"/>
  <c r="F138" i="2" s="1"/>
  <c r="M83" i="46"/>
  <c r="M98" i="46"/>
  <c r="N102" i="11"/>
  <c r="M102" i="11"/>
  <c r="T83" i="46"/>
  <c r="J119" i="37"/>
  <c r="H101" i="39"/>
  <c r="C116" i="48"/>
  <c r="C115" i="37"/>
  <c r="E119" i="37"/>
  <c r="N119" i="48"/>
  <c r="M119" i="37"/>
  <c r="L86" i="39"/>
  <c r="L92" i="39" s="1"/>
  <c r="T68" i="46"/>
  <c r="C115" i="48"/>
  <c r="C114" i="37"/>
  <c r="O53" i="33"/>
  <c r="O98" i="33"/>
  <c r="O38" i="33"/>
  <c r="O1" i="33"/>
  <c r="O8" i="33"/>
  <c r="O68" i="33"/>
  <c r="O83" i="33"/>
  <c r="P5" i="33"/>
  <c r="M25" i="33"/>
  <c r="U27" i="33"/>
  <c r="N123" i="37"/>
  <c r="O124" i="48"/>
  <c r="C114" i="48"/>
  <c r="C113" i="37"/>
  <c r="G122" i="37"/>
  <c r="N23" i="33"/>
  <c r="E72" i="38"/>
  <c r="E11" i="19"/>
  <c r="F11" i="19" s="1"/>
  <c r="H86" i="39"/>
  <c r="H92" i="39" s="1"/>
  <c r="O120" i="48"/>
  <c r="K9" i="11"/>
  <c r="C119" i="11"/>
  <c r="O25" i="38"/>
  <c r="H87" i="39" s="1"/>
  <c r="N101" i="39"/>
  <c r="AL114" i="2"/>
  <c r="I102" i="2"/>
  <c r="D150" i="2" s="1"/>
  <c r="F150" i="2" s="1"/>
  <c r="L102" i="2"/>
  <c r="H119" i="48"/>
  <c r="M116" i="48"/>
  <c r="M115" i="37"/>
  <c r="G93" i="39"/>
  <c r="F86" i="39"/>
  <c r="F92" i="39" s="1"/>
  <c r="F127" i="37"/>
  <c r="D134" i="63" l="1"/>
  <c r="D87" i="63"/>
  <c r="D122" i="63"/>
  <c r="N8" i="46"/>
  <c r="U82" i="59"/>
  <c r="N22" i="46"/>
  <c r="C22" i="46" s="1"/>
  <c r="U97" i="59"/>
  <c r="N68" i="46"/>
  <c r="U53" i="59"/>
  <c r="U68" i="59"/>
  <c r="U112" i="59"/>
  <c r="N98" i="46"/>
  <c r="U83" i="59"/>
  <c r="N23" i="46"/>
  <c r="C23" i="46" s="1"/>
  <c r="U52" i="59"/>
  <c r="U98" i="59"/>
  <c r="U37" i="59"/>
  <c r="U23" i="59"/>
  <c r="N97" i="46"/>
  <c r="U8" i="59"/>
  <c r="U67" i="59"/>
  <c r="U125" i="59"/>
  <c r="U38" i="59"/>
  <c r="N37" i="46"/>
  <c r="C37" i="46" s="1"/>
  <c r="U9" i="59"/>
  <c r="U113" i="59"/>
  <c r="N67" i="46"/>
  <c r="I127" i="48" s="1"/>
  <c r="U126" i="59"/>
  <c r="N82" i="46"/>
  <c r="C82" i="46" s="1"/>
  <c r="C9" i="59"/>
  <c r="C52" i="59"/>
  <c r="C82" i="59"/>
  <c r="C125" i="59"/>
  <c r="C83" i="59"/>
  <c r="C126" i="59"/>
  <c r="C67" i="59"/>
  <c r="C23" i="59"/>
  <c r="W5" i="59"/>
  <c r="V1" i="59"/>
  <c r="V125" i="59" s="1"/>
  <c r="H12" i="51"/>
  <c r="I12" i="51"/>
  <c r="J12" i="51"/>
  <c r="F13" i="51" a="1"/>
  <c r="F13" i="51" s="1"/>
  <c r="G13" i="51" s="1"/>
  <c r="B13" i="51" a="1"/>
  <c r="B13" i="51" s="1"/>
  <c r="E13" i="51" a="1"/>
  <c r="E13" i="51" s="1"/>
  <c r="C52" i="46"/>
  <c r="H128" i="48"/>
  <c r="U23" i="46"/>
  <c r="U113" i="46"/>
  <c r="G127" i="37"/>
  <c r="H126" i="37"/>
  <c r="N93" i="39"/>
  <c r="G112" i="37"/>
  <c r="G118" i="37" s="1"/>
  <c r="G113" i="48"/>
  <c r="U9" i="46"/>
  <c r="U126" i="46"/>
  <c r="X83" i="33"/>
  <c r="X98" i="33"/>
  <c r="X68" i="33"/>
  <c r="X38" i="33"/>
  <c r="X53" i="33"/>
  <c r="X8" i="33"/>
  <c r="X1" i="33"/>
  <c r="Y5" i="33"/>
  <c r="I119" i="48"/>
  <c r="N119" i="37"/>
  <c r="H114" i="2"/>
  <c r="F114" i="2"/>
  <c r="D142" i="2" s="1"/>
  <c r="F142" i="2" s="1"/>
  <c r="AB71" i="11"/>
  <c r="O86" i="39"/>
  <c r="O92" i="39" s="1"/>
  <c r="P122" i="37"/>
  <c r="W23" i="33"/>
  <c r="G114" i="48"/>
  <c r="G113" i="37"/>
  <c r="I123" i="48"/>
  <c r="C98" i="46"/>
  <c r="N88" i="39"/>
  <c r="I86" i="39"/>
  <c r="I92" i="39" s="1"/>
  <c r="P25" i="38"/>
  <c r="I87" i="39" s="1"/>
  <c r="E41" i="38"/>
  <c r="N25" i="33"/>
  <c r="C125" i="46"/>
  <c r="I114" i="2"/>
  <c r="D154" i="2" s="1"/>
  <c r="F154" i="2" s="1"/>
  <c r="AN71" i="11"/>
  <c r="L114" i="2"/>
  <c r="F114" i="48"/>
  <c r="F113" i="37"/>
  <c r="P27" i="38"/>
  <c r="E43" i="38"/>
  <c r="F115" i="48"/>
  <c r="F114" i="37"/>
  <c r="H93" i="39"/>
  <c r="V27" i="38"/>
  <c r="U112" i="46"/>
  <c r="N115" i="48"/>
  <c r="N114" i="37"/>
  <c r="O127" i="37"/>
  <c r="F126" i="2"/>
  <c r="D162" i="2" s="1"/>
  <c r="E24" i="38"/>
  <c r="V27" i="33"/>
  <c r="O123" i="37"/>
  <c r="O97" i="39"/>
  <c r="V28" i="38"/>
  <c r="U37" i="46"/>
  <c r="V24" i="33"/>
  <c r="E114" i="2"/>
  <c r="D130" i="2" s="1"/>
  <c r="F130" i="2" s="1"/>
  <c r="D166" i="2" s="1"/>
  <c r="P71" i="11"/>
  <c r="E76" i="38"/>
  <c r="E26" i="38"/>
  <c r="H122" i="37"/>
  <c r="O23" i="33"/>
  <c r="O128" i="48"/>
  <c r="U8" i="46"/>
  <c r="N89" i="39"/>
  <c r="AM5" i="11"/>
  <c r="I124" i="48"/>
  <c r="V26" i="33"/>
  <c r="V26" i="38"/>
  <c r="P26" i="38"/>
  <c r="I88" i="39" s="1"/>
  <c r="E42" i="38"/>
  <c r="C112" i="46"/>
  <c r="U53" i="46"/>
  <c r="U22" i="46"/>
  <c r="W107" i="38"/>
  <c r="W90" i="38"/>
  <c r="W76" i="38"/>
  <c r="W74" i="38"/>
  <c r="W43" i="38"/>
  <c r="W41" i="38"/>
  <c r="W108" i="38"/>
  <c r="W91" i="38"/>
  <c r="W105" i="38"/>
  <c r="W60" i="38"/>
  <c r="W12" i="38"/>
  <c r="W92" i="38"/>
  <c r="W59" i="38"/>
  <c r="W75" i="38"/>
  <c r="W106" i="38"/>
  <c r="W73" i="38"/>
  <c r="W58" i="38"/>
  <c r="W44" i="38"/>
  <c r="W57" i="38"/>
  <c r="W42" i="38"/>
  <c r="W9" i="38"/>
  <c r="W89" i="38"/>
  <c r="W10" i="38"/>
  <c r="W11" i="38"/>
  <c r="G123" i="37"/>
  <c r="N27" i="33"/>
  <c r="V25" i="38"/>
  <c r="U82" i="46"/>
  <c r="I97" i="39"/>
  <c r="P28" i="38"/>
  <c r="E44" i="38"/>
  <c r="N26" i="33"/>
  <c r="N9" i="46"/>
  <c r="N126" i="46"/>
  <c r="C181" i="11"/>
  <c r="E10" i="9"/>
  <c r="K10" i="8"/>
  <c r="K10" i="18"/>
  <c r="K15" i="11"/>
  <c r="P10" i="35"/>
  <c r="Q10" i="35"/>
  <c r="K10" i="35"/>
  <c r="P98" i="33"/>
  <c r="P83" i="33"/>
  <c r="P8" i="33"/>
  <c r="E8" i="33" s="1"/>
  <c r="P68" i="33"/>
  <c r="P38" i="33"/>
  <c r="P53" i="33"/>
  <c r="P1" i="33"/>
  <c r="U68" i="46"/>
  <c r="O113" i="48"/>
  <c r="O112" i="37"/>
  <c r="O118" i="37" s="1"/>
  <c r="C68" i="46"/>
  <c r="U83" i="46"/>
  <c r="P100" i="39"/>
  <c r="V25" i="33"/>
  <c r="E12" i="38"/>
  <c r="F119" i="37"/>
  <c r="N83" i="46"/>
  <c r="C83" i="46" s="1"/>
  <c r="N113" i="46"/>
  <c r="C8" i="46"/>
  <c r="K114" i="2"/>
  <c r="W71" i="11"/>
  <c r="O86" i="33"/>
  <c r="O55" i="33"/>
  <c r="O69" i="33"/>
  <c r="O57" i="33"/>
  <c r="O71" i="33"/>
  <c r="O42" i="33"/>
  <c r="O40" i="33"/>
  <c r="O85" i="33"/>
  <c r="O99" i="33"/>
  <c r="O54" i="33"/>
  <c r="O41" i="33"/>
  <c r="O72" i="33"/>
  <c r="O101" i="33"/>
  <c r="O87" i="33"/>
  <c r="O11" i="33"/>
  <c r="O84" i="33"/>
  <c r="O70" i="33"/>
  <c r="O10" i="33"/>
  <c r="O100" i="33"/>
  <c r="O56" i="33"/>
  <c r="O39" i="33"/>
  <c r="O102" i="33"/>
  <c r="O12" i="33"/>
  <c r="O9" i="33"/>
  <c r="O101" i="39"/>
  <c r="U67" i="46"/>
  <c r="X72" i="38"/>
  <c r="X40" i="38"/>
  <c r="X104" i="38"/>
  <c r="X8" i="38"/>
  <c r="X1" i="38"/>
  <c r="X56" i="38"/>
  <c r="Y5" i="38"/>
  <c r="X88" i="38"/>
  <c r="E108" i="38"/>
  <c r="N53" i="46"/>
  <c r="N114" i="48"/>
  <c r="N113" i="37"/>
  <c r="C126" i="46"/>
  <c r="P96" i="39"/>
  <c r="W24" i="38"/>
  <c r="N87" i="39"/>
  <c r="W56" i="33"/>
  <c r="W54" i="33"/>
  <c r="W41" i="33"/>
  <c r="W39" i="33"/>
  <c r="W101" i="33"/>
  <c r="W84" i="33"/>
  <c r="W87" i="33"/>
  <c r="W102" i="33"/>
  <c r="W99" i="33"/>
  <c r="W57" i="33"/>
  <c r="W10" i="33"/>
  <c r="W70" i="33"/>
  <c r="W55" i="33"/>
  <c r="W12" i="33"/>
  <c r="W9" i="33"/>
  <c r="W100" i="33"/>
  <c r="W40" i="33"/>
  <c r="W85" i="33"/>
  <c r="W71" i="33"/>
  <c r="W69" i="33"/>
  <c r="W42" i="33"/>
  <c r="W72" i="33"/>
  <c r="W11" i="33"/>
  <c r="W86" i="33"/>
  <c r="I101" i="39"/>
  <c r="E60" i="38"/>
  <c r="H120" i="48"/>
  <c r="C9" i="46"/>
  <c r="C97" i="46"/>
  <c r="V1" i="46"/>
  <c r="V125" i="46" s="1"/>
  <c r="V97" i="46"/>
  <c r="W5" i="46"/>
  <c r="W5" i="52" s="1"/>
  <c r="P126" i="37"/>
  <c r="E92" i="38"/>
  <c r="U82" i="11" l="1"/>
  <c r="U84" i="11" s="1"/>
  <c r="U85" i="11" s="1"/>
  <c r="V8" i="46"/>
  <c r="V113" i="46"/>
  <c r="V8" i="59"/>
  <c r="V9" i="46"/>
  <c r="V112" i="46"/>
  <c r="C67" i="46"/>
  <c r="V53" i="46"/>
  <c r="V113" i="59"/>
  <c r="V68" i="46"/>
  <c r="Q128" i="48" s="1"/>
  <c r="V38" i="46"/>
  <c r="V126" i="59"/>
  <c r="V52" i="46"/>
  <c r="Y82" i="11"/>
  <c r="Y84" i="11" s="1"/>
  <c r="Y85" i="11" s="1"/>
  <c r="V22" i="59"/>
  <c r="AM82" i="11"/>
  <c r="AM84" i="11" s="1"/>
  <c r="AM85" i="11" s="1"/>
  <c r="V82" i="59"/>
  <c r="AO82" i="11"/>
  <c r="AO84" i="11" s="1"/>
  <c r="AO85" i="11" s="1"/>
  <c r="V9" i="59"/>
  <c r="C183" i="11"/>
  <c r="C185" i="11" s="1"/>
  <c r="C8" i="56"/>
  <c r="P82" i="11"/>
  <c r="V52" i="59"/>
  <c r="Z82" i="11"/>
  <c r="Z84" i="11" s="1"/>
  <c r="Z85" i="11" s="1"/>
  <c r="V97" i="59"/>
  <c r="V67" i="46"/>
  <c r="AQ82" i="11"/>
  <c r="AQ84" i="11" s="1"/>
  <c r="AQ85" i="11" s="1"/>
  <c r="V53" i="59"/>
  <c r="AC82" i="11"/>
  <c r="AC84" i="11" s="1"/>
  <c r="AC85" i="11" s="1"/>
  <c r="V68" i="59"/>
  <c r="V82" i="46"/>
  <c r="V37" i="46"/>
  <c r="V83" i="46"/>
  <c r="AJ82" i="11"/>
  <c r="AJ84" i="11" s="1"/>
  <c r="AJ85" i="11" s="1"/>
  <c r="V38" i="59"/>
  <c r="AS82" i="11"/>
  <c r="AS84" i="11" s="1"/>
  <c r="AS85" i="11" s="1"/>
  <c r="V112" i="59"/>
  <c r="V83" i="59"/>
  <c r="V22" i="46"/>
  <c r="V98" i="46"/>
  <c r="AD82" i="11"/>
  <c r="AD84" i="11" s="1"/>
  <c r="AD85" i="11" s="1"/>
  <c r="W113" i="59"/>
  <c r="W98" i="59"/>
  <c r="W83" i="59"/>
  <c r="W112" i="59"/>
  <c r="W97" i="59"/>
  <c r="W67" i="59"/>
  <c r="W52" i="59"/>
  <c r="W82" i="59"/>
  <c r="W126" i="59"/>
  <c r="W125" i="59"/>
  <c r="W8" i="59"/>
  <c r="W9" i="59"/>
  <c r="W68" i="59"/>
  <c r="V37" i="59"/>
  <c r="V98" i="59"/>
  <c r="V126" i="46"/>
  <c r="E98" i="33"/>
  <c r="W82" i="11"/>
  <c r="V67" i="59"/>
  <c r="V23" i="59"/>
  <c r="W26" i="33"/>
  <c r="P116" i="48" s="1"/>
  <c r="V23" i="46"/>
  <c r="Q124" i="48" s="1"/>
  <c r="W1" i="59"/>
  <c r="W23" i="59" s="1"/>
  <c r="X5" i="59"/>
  <c r="D14" i="51"/>
  <c r="B14" i="51" a="1"/>
  <c r="B14" i="51" s="1"/>
  <c r="E14" i="51" a="1"/>
  <c r="E14" i="51" s="1"/>
  <c r="F14" i="51" a="1"/>
  <c r="F14" i="51" s="1"/>
  <c r="G14" i="51" s="1"/>
  <c r="J13" i="51"/>
  <c r="I13" i="51"/>
  <c r="H13" i="51"/>
  <c r="D15" i="51"/>
  <c r="W26" i="38"/>
  <c r="P123" i="37"/>
  <c r="W27" i="33"/>
  <c r="P69" i="33"/>
  <c r="E69" i="33" s="1"/>
  <c r="P57" i="33"/>
  <c r="P85" i="33"/>
  <c r="E85" i="33" s="1"/>
  <c r="P99" i="33"/>
  <c r="E99" i="33" s="1"/>
  <c r="P84" i="33"/>
  <c r="E84" i="33" s="1"/>
  <c r="P70" i="33"/>
  <c r="E70" i="33" s="1"/>
  <c r="P72" i="33"/>
  <c r="P100" i="33"/>
  <c r="E100" i="33" s="1"/>
  <c r="P101" i="33"/>
  <c r="E101" i="33" s="1"/>
  <c r="P56" i="33"/>
  <c r="E56" i="33" s="1"/>
  <c r="P102" i="33"/>
  <c r="P42" i="33"/>
  <c r="E42" i="33" s="1"/>
  <c r="P54" i="33"/>
  <c r="E54" i="33" s="1"/>
  <c r="P11" i="33"/>
  <c r="E11" i="33" s="1"/>
  <c r="P86" i="33"/>
  <c r="E86" i="33" s="1"/>
  <c r="P10" i="33"/>
  <c r="E10" i="33" s="1"/>
  <c r="P55" i="33"/>
  <c r="E55" i="33" s="1"/>
  <c r="P87" i="33"/>
  <c r="P40" i="33"/>
  <c r="P39" i="33"/>
  <c r="P71" i="33"/>
  <c r="E71" i="33" s="1"/>
  <c r="P12" i="33"/>
  <c r="P9" i="33"/>
  <c r="E9" i="33" s="1"/>
  <c r="P41" i="33"/>
  <c r="P26" i="33" s="1"/>
  <c r="E16" i="9"/>
  <c r="O87" i="39"/>
  <c r="H113" i="48"/>
  <c r="H112" i="37"/>
  <c r="H118" i="37" s="1"/>
  <c r="C53" i="46"/>
  <c r="I126" i="37"/>
  <c r="P97" i="39"/>
  <c r="W28" i="38"/>
  <c r="P84" i="11"/>
  <c r="P85" i="11" s="1"/>
  <c r="P124" i="48"/>
  <c r="O25" i="33"/>
  <c r="I122" i="37"/>
  <c r="P23" i="33"/>
  <c r="E23" i="33" s="1"/>
  <c r="E38" i="33"/>
  <c r="P113" i="48"/>
  <c r="P112" i="37"/>
  <c r="P118" i="37" s="1"/>
  <c r="H123" i="37"/>
  <c r="O27" i="33"/>
  <c r="C113" i="46"/>
  <c r="P123" i="48"/>
  <c r="AF82" i="11"/>
  <c r="AF84" i="11" s="1"/>
  <c r="AF85" i="11" s="1"/>
  <c r="AK82" i="11"/>
  <c r="AK84" i="11" s="1"/>
  <c r="AK85" i="11" s="1"/>
  <c r="O89" i="39"/>
  <c r="E53" i="33"/>
  <c r="W25" i="33"/>
  <c r="Y104" i="38"/>
  <c r="Y40" i="38"/>
  <c r="Y8" i="38"/>
  <c r="Y72" i="38"/>
  <c r="Z5" i="38"/>
  <c r="Y56" i="38"/>
  <c r="Y88" i="38"/>
  <c r="Y1" i="38"/>
  <c r="O24" i="33"/>
  <c r="AP82" i="11"/>
  <c r="AP84" i="11" s="1"/>
  <c r="AP85" i="11" s="1"/>
  <c r="AT82" i="11"/>
  <c r="AT84" i="11" s="1"/>
  <c r="AT85" i="11" s="1"/>
  <c r="W24" i="33"/>
  <c r="Q100" i="39"/>
  <c r="H127" i="37"/>
  <c r="P119" i="48"/>
  <c r="O119" i="37"/>
  <c r="Q82" i="11"/>
  <c r="Q84" i="11" s="1"/>
  <c r="Q85" i="11" s="1"/>
  <c r="V82" i="11"/>
  <c r="V84" i="11" s="1"/>
  <c r="V85" i="11" s="1"/>
  <c r="G116" i="48"/>
  <c r="G115" i="37"/>
  <c r="AA82" i="11"/>
  <c r="AA84" i="11" s="1"/>
  <c r="AA85" i="11" s="1"/>
  <c r="S82" i="11"/>
  <c r="S84" i="11" s="1"/>
  <c r="S85" i="11" s="1"/>
  <c r="I120" i="48"/>
  <c r="G119" i="37"/>
  <c r="AG82" i="11"/>
  <c r="AG84" i="11" s="1"/>
  <c r="AG85" i="11" s="1"/>
  <c r="AL82" i="11"/>
  <c r="AL84" i="11" s="1"/>
  <c r="AL85" i="11" s="1"/>
  <c r="Q119" i="48"/>
  <c r="O114" i="48"/>
  <c r="O113" i="37"/>
  <c r="W84" i="11"/>
  <c r="W85" i="11" s="1"/>
  <c r="P120" i="48"/>
  <c r="Q123" i="48"/>
  <c r="Q120" i="48"/>
  <c r="P86" i="39"/>
  <c r="P92" i="39" s="1"/>
  <c r="Q96" i="39"/>
  <c r="X24" i="38"/>
  <c r="O115" i="48"/>
  <c r="O114" i="37"/>
  <c r="P101" i="39"/>
  <c r="O88" i="39"/>
  <c r="R82" i="11"/>
  <c r="R84" i="11" s="1"/>
  <c r="R85" i="11" s="1"/>
  <c r="X82" i="11"/>
  <c r="X84" i="11" s="1"/>
  <c r="X85" i="11" s="1"/>
  <c r="Z5" i="33"/>
  <c r="Y83" i="33"/>
  <c r="Y68" i="33"/>
  <c r="Y38" i="33"/>
  <c r="Y53" i="33"/>
  <c r="Y8" i="33"/>
  <c r="Y98" i="33"/>
  <c r="Y1" i="33"/>
  <c r="AB82" i="11"/>
  <c r="X87" i="33"/>
  <c r="X102" i="33"/>
  <c r="X70" i="33"/>
  <c r="X101" i="33"/>
  <c r="X84" i="33"/>
  <c r="X72" i="33"/>
  <c r="X100" i="33"/>
  <c r="X9" i="33"/>
  <c r="X39" i="33"/>
  <c r="X56" i="33"/>
  <c r="X55" i="33"/>
  <c r="X41" i="33"/>
  <c r="X99" i="33"/>
  <c r="X69" i="33"/>
  <c r="X54" i="33"/>
  <c r="X12" i="33"/>
  <c r="X40" i="33"/>
  <c r="X85" i="33"/>
  <c r="X71" i="33"/>
  <c r="X42" i="33"/>
  <c r="X86" i="33"/>
  <c r="X57" i="33"/>
  <c r="X10" i="33"/>
  <c r="X11" i="33"/>
  <c r="X91" i="38"/>
  <c r="X89" i="38"/>
  <c r="X90" i="38"/>
  <c r="X76" i="38"/>
  <c r="X74" i="38"/>
  <c r="X43" i="38"/>
  <c r="X41" i="38"/>
  <c r="X106" i="38"/>
  <c r="X75" i="38"/>
  <c r="X73" i="38"/>
  <c r="X44" i="38"/>
  <c r="X42" i="38"/>
  <c r="X10" i="38"/>
  <c r="X105" i="38"/>
  <c r="X60" i="38"/>
  <c r="X92" i="38"/>
  <c r="X59" i="38"/>
  <c r="X57" i="38"/>
  <c r="X9" i="38"/>
  <c r="X11" i="38"/>
  <c r="X58" i="38"/>
  <c r="X107" i="38"/>
  <c r="X12" i="38"/>
  <c r="X108" i="38"/>
  <c r="P127" i="37"/>
  <c r="P127" i="48"/>
  <c r="I93" i="39"/>
  <c r="E28" i="38"/>
  <c r="AE82" i="11"/>
  <c r="AE84" i="11" s="1"/>
  <c r="AE85" i="11" s="1"/>
  <c r="AH82" i="11"/>
  <c r="AH84" i="11" s="1"/>
  <c r="AH85" i="11" s="1"/>
  <c r="E25" i="38"/>
  <c r="Q127" i="48"/>
  <c r="P128" i="48"/>
  <c r="O116" i="48"/>
  <c r="O115" i="37"/>
  <c r="O93" i="39"/>
  <c r="AN82" i="11"/>
  <c r="AN84" i="11" s="1"/>
  <c r="AN85" i="11" s="1"/>
  <c r="AR82" i="11"/>
  <c r="AR84" i="11" s="1"/>
  <c r="AR85" i="11" s="1"/>
  <c r="I89" i="39"/>
  <c r="E27" i="38"/>
  <c r="I128" i="48"/>
  <c r="Q126" i="37"/>
  <c r="W1" i="46"/>
  <c r="W22" i="46" s="1"/>
  <c r="W82" i="46"/>
  <c r="W52" i="46"/>
  <c r="X5" i="46"/>
  <c r="X5" i="52" s="1"/>
  <c r="E83" i="33"/>
  <c r="W25" i="38"/>
  <c r="AI82" i="11"/>
  <c r="T82" i="11"/>
  <c r="T84" i="11" s="1"/>
  <c r="T85" i="11" s="1"/>
  <c r="E40" i="33"/>
  <c r="Q122" i="37"/>
  <c r="X23" i="33"/>
  <c r="O26" i="33"/>
  <c r="E41" i="33"/>
  <c r="E68" i="33"/>
  <c r="W27" i="38"/>
  <c r="AN5" i="11"/>
  <c r="G115" i="48"/>
  <c r="G114" i="37"/>
  <c r="E87" i="33" l="1"/>
  <c r="W68" i="46"/>
  <c r="W22" i="59"/>
  <c r="W125" i="46"/>
  <c r="W23" i="46"/>
  <c r="R124" i="48" s="1"/>
  <c r="W9" i="46"/>
  <c r="W38" i="46"/>
  <c r="E102" i="33"/>
  <c r="E57" i="33"/>
  <c r="W37" i="46"/>
  <c r="P115" i="37"/>
  <c r="P24" i="33"/>
  <c r="W53" i="59"/>
  <c r="W53" i="46"/>
  <c r="W67" i="46"/>
  <c r="W83" i="46"/>
  <c r="P25" i="33"/>
  <c r="E25" i="33" s="1"/>
  <c r="W38" i="59"/>
  <c r="W112" i="46"/>
  <c r="W8" i="46"/>
  <c r="W113" i="46"/>
  <c r="X97" i="59"/>
  <c r="X22" i="59"/>
  <c r="X37" i="59"/>
  <c r="X23" i="59"/>
  <c r="W98" i="46"/>
  <c r="W126" i="46"/>
  <c r="W37" i="59"/>
  <c r="K101" i="11"/>
  <c r="C7" i="56"/>
  <c r="W97" i="46"/>
  <c r="Y5" i="59"/>
  <c r="X1" i="59"/>
  <c r="X52" i="59" s="1"/>
  <c r="B15" i="51" a="1"/>
  <c r="B15" i="51" s="1"/>
  <c r="F15" i="51" a="1"/>
  <c r="F15" i="51" s="1"/>
  <c r="G15" i="51" s="1"/>
  <c r="E15" i="51" a="1"/>
  <c r="E15" i="51" s="1"/>
  <c r="I14" i="51"/>
  <c r="J14" i="51"/>
  <c r="H14" i="51"/>
  <c r="D16" i="51"/>
  <c r="R123" i="48"/>
  <c r="R119" i="48"/>
  <c r="I113" i="48"/>
  <c r="I112" i="37"/>
  <c r="I118" i="37" s="1"/>
  <c r="AI84" i="11"/>
  <c r="AI85" i="11" s="1"/>
  <c r="X26" i="38"/>
  <c r="H119" i="37"/>
  <c r="P93" i="39"/>
  <c r="E39" i="33"/>
  <c r="H114" i="48"/>
  <c r="H113" i="37"/>
  <c r="E24" i="33"/>
  <c r="P119" i="37"/>
  <c r="Q113" i="48"/>
  <c r="Q112" i="37"/>
  <c r="Q118" i="37" s="1"/>
  <c r="Y92" i="38"/>
  <c r="Y11" i="38"/>
  <c r="Y9" i="38"/>
  <c r="Y108" i="38"/>
  <c r="Y107" i="38"/>
  <c r="Y90" i="38"/>
  <c r="Y41" i="38"/>
  <c r="Y91" i="38"/>
  <c r="Y105" i="38"/>
  <c r="Y60" i="38"/>
  <c r="Y12" i="38"/>
  <c r="Y59" i="38"/>
  <c r="Y76" i="38"/>
  <c r="Y75" i="38"/>
  <c r="Y106" i="38"/>
  <c r="Y74" i="38"/>
  <c r="Y73" i="38"/>
  <c r="Y58" i="38"/>
  <c r="Y89" i="38"/>
  <c r="Y57" i="38"/>
  <c r="Y42" i="38"/>
  <c r="Y44" i="38"/>
  <c r="Y10" i="38"/>
  <c r="Y43" i="38"/>
  <c r="X27" i="33"/>
  <c r="Q123" i="37"/>
  <c r="P87" i="39"/>
  <c r="X25" i="38"/>
  <c r="Q87" i="39" s="1"/>
  <c r="X25" i="33"/>
  <c r="X27" i="38"/>
  <c r="Q89" i="39" s="1"/>
  <c r="AB84" i="11"/>
  <c r="AB85" i="11" s="1"/>
  <c r="H115" i="48"/>
  <c r="H114" i="37"/>
  <c r="R120" i="48"/>
  <c r="Q97" i="39"/>
  <c r="X28" i="38"/>
  <c r="P89" i="39"/>
  <c r="R100" i="39"/>
  <c r="P27" i="33"/>
  <c r="I123" i="37"/>
  <c r="AO5" i="11"/>
  <c r="H116" i="48"/>
  <c r="H115" i="37"/>
  <c r="Y86" i="33"/>
  <c r="Y87" i="33"/>
  <c r="Y102" i="33"/>
  <c r="Y70" i="33"/>
  <c r="Y72" i="33"/>
  <c r="Y100" i="33"/>
  <c r="Y101" i="33"/>
  <c r="Y57" i="33"/>
  <c r="Y42" i="33"/>
  <c r="Y99" i="33"/>
  <c r="Y69" i="33"/>
  <c r="Y54" i="33"/>
  <c r="Y84" i="33"/>
  <c r="Y55" i="33"/>
  <c r="Y12" i="33"/>
  <c r="Y9" i="33"/>
  <c r="Y40" i="33"/>
  <c r="Y39" i="33"/>
  <c r="Y85" i="33"/>
  <c r="Y71" i="33"/>
  <c r="Y10" i="33"/>
  <c r="Y56" i="33"/>
  <c r="Y41" i="33"/>
  <c r="Y11" i="33"/>
  <c r="Z104" i="38"/>
  <c r="Z72" i="38"/>
  <c r="Z40" i="38"/>
  <c r="Z8" i="38"/>
  <c r="Z88" i="38"/>
  <c r="Z56" i="38"/>
  <c r="AA5" i="38"/>
  <c r="Z1" i="38"/>
  <c r="E85" i="17"/>
  <c r="E32" i="9"/>
  <c r="E29" i="9"/>
  <c r="E35" i="9"/>
  <c r="E34" i="9"/>
  <c r="E33" i="9"/>
  <c r="E31" i="9"/>
  <c r="E28" i="9"/>
  <c r="E30" i="9"/>
  <c r="P88" i="39"/>
  <c r="R128" i="48"/>
  <c r="R127" i="48"/>
  <c r="X26" i="33"/>
  <c r="R126" i="37"/>
  <c r="R96" i="39"/>
  <c r="Y24" i="38"/>
  <c r="I116" i="48"/>
  <c r="I115" i="37"/>
  <c r="R122" i="37"/>
  <c r="Y23" i="33"/>
  <c r="P114" i="48"/>
  <c r="P113" i="37"/>
  <c r="E72" i="33"/>
  <c r="X83" i="46"/>
  <c r="X1" i="46"/>
  <c r="X113" i="46" s="1"/>
  <c r="X52" i="46"/>
  <c r="X38" i="46"/>
  <c r="X9" i="46"/>
  <c r="Y5" i="46"/>
  <c r="Y5" i="52" s="1"/>
  <c r="Q101" i="39"/>
  <c r="X24" i="33"/>
  <c r="E12" i="33"/>
  <c r="E26" i="33"/>
  <c r="P115" i="48"/>
  <c r="P114" i="37"/>
  <c r="Z98" i="33"/>
  <c r="Z68" i="33"/>
  <c r="Z38" i="33"/>
  <c r="AA5" i="33"/>
  <c r="Z83" i="33"/>
  <c r="Z53" i="33"/>
  <c r="Z1" i="33"/>
  <c r="Z8" i="33"/>
  <c r="I114" i="48"/>
  <c r="I113" i="37"/>
  <c r="Q127" i="37"/>
  <c r="Q86" i="39"/>
  <c r="Q92" i="39" s="1"/>
  <c r="I115" i="48"/>
  <c r="I114" i="37"/>
  <c r="I127" i="37"/>
  <c r="X53" i="59" l="1"/>
  <c r="X112" i="59"/>
  <c r="X9" i="59"/>
  <c r="X125" i="59"/>
  <c r="X83" i="59"/>
  <c r="X113" i="59"/>
  <c r="Y24" i="33"/>
  <c r="X68" i="59"/>
  <c r="X98" i="59"/>
  <c r="X38" i="59"/>
  <c r="X67" i="59"/>
  <c r="X23" i="46"/>
  <c r="Y112" i="59"/>
  <c r="Y53" i="59"/>
  <c r="Y97" i="59"/>
  <c r="Y52" i="59"/>
  <c r="Y9" i="59"/>
  <c r="Y8" i="59"/>
  <c r="X8" i="59"/>
  <c r="X126" i="59"/>
  <c r="N101" i="11"/>
  <c r="K65" i="8"/>
  <c r="M101" i="11"/>
  <c r="K104" i="11"/>
  <c r="X82" i="59"/>
  <c r="Z5" i="59"/>
  <c r="Y1" i="59"/>
  <c r="Y68" i="59" s="1"/>
  <c r="E16" i="51" a="1"/>
  <c r="E16" i="51" s="1"/>
  <c r="F16" i="51" a="1"/>
  <c r="F16" i="51" s="1"/>
  <c r="G16" i="51" s="1"/>
  <c r="B16" i="51" a="1"/>
  <c r="B16" i="51" s="1"/>
  <c r="D17" i="51"/>
  <c r="J15" i="51"/>
  <c r="I15" i="51"/>
  <c r="H15" i="51"/>
  <c r="S122" i="37"/>
  <c r="Z23" i="33"/>
  <c r="X8" i="46"/>
  <c r="S96" i="39"/>
  <c r="Z24" i="38"/>
  <c r="X68" i="46"/>
  <c r="I119" i="37"/>
  <c r="E27" i="33"/>
  <c r="S120" i="48"/>
  <c r="Q116" i="48"/>
  <c r="Q115" i="37"/>
  <c r="Y27" i="33"/>
  <c r="R123" i="37"/>
  <c r="R127" i="37"/>
  <c r="Y26" i="33"/>
  <c r="S124" i="48"/>
  <c r="Q93" i="39"/>
  <c r="Q119" i="37"/>
  <c r="R101" i="39"/>
  <c r="R114" i="48"/>
  <c r="R113" i="37"/>
  <c r="AP5" i="11"/>
  <c r="R86" i="39"/>
  <c r="R92" i="39" s="1"/>
  <c r="X82" i="46"/>
  <c r="X53" i="46"/>
  <c r="X98" i="46"/>
  <c r="X112" i="46"/>
  <c r="Z92" i="38"/>
  <c r="Z59" i="38"/>
  <c r="Z57" i="38"/>
  <c r="Z91" i="38"/>
  <c r="Z105" i="38"/>
  <c r="Z90" i="38"/>
  <c r="Z76" i="38"/>
  <c r="Z74" i="38"/>
  <c r="Z10" i="38"/>
  <c r="Z60" i="38"/>
  <c r="Z75" i="38"/>
  <c r="Z106" i="38"/>
  <c r="Z73" i="38"/>
  <c r="Z58" i="38"/>
  <c r="Z44" i="38"/>
  <c r="Z107" i="38"/>
  <c r="Z43" i="38"/>
  <c r="Z108" i="38"/>
  <c r="Z9" i="38"/>
  <c r="Z11" i="38"/>
  <c r="Z89" i="38"/>
  <c r="Z41" i="38"/>
  <c r="Z12" i="38"/>
  <c r="Z42" i="38"/>
  <c r="Y27" i="38"/>
  <c r="AA53" i="33"/>
  <c r="AA98" i="33"/>
  <c r="AA83" i="33"/>
  <c r="AA68" i="33"/>
  <c r="AA38" i="33"/>
  <c r="AB5" i="33"/>
  <c r="AA8" i="33"/>
  <c r="AA1" i="33"/>
  <c r="Y25" i="33"/>
  <c r="Z86" i="33"/>
  <c r="Z84" i="33"/>
  <c r="Z57" i="33"/>
  <c r="Z102" i="33"/>
  <c r="Z70" i="33"/>
  <c r="Z101" i="33"/>
  <c r="Z100" i="33"/>
  <c r="Z87" i="33"/>
  <c r="Z99" i="33"/>
  <c r="Z39" i="33"/>
  <c r="Z24" i="33" s="1"/>
  <c r="Z42" i="33"/>
  <c r="Z41" i="33"/>
  <c r="Z69" i="33"/>
  <c r="Z54" i="33"/>
  <c r="Z71" i="33"/>
  <c r="Z55" i="33"/>
  <c r="Z12" i="33"/>
  <c r="Z9" i="33"/>
  <c r="Z40" i="33"/>
  <c r="Z85" i="33"/>
  <c r="Z56" i="33"/>
  <c r="Z10" i="33"/>
  <c r="Z72" i="33"/>
  <c r="Z11" i="33"/>
  <c r="X22" i="46"/>
  <c r="X125" i="46"/>
  <c r="R113" i="48"/>
  <c r="R112" i="37"/>
  <c r="R118" i="37" s="1"/>
  <c r="AA104" i="38"/>
  <c r="AA88" i="38"/>
  <c r="AB5" i="38"/>
  <c r="AA72" i="38"/>
  <c r="AA56" i="38"/>
  <c r="AA8" i="38"/>
  <c r="AA1" i="38"/>
  <c r="AA40" i="38"/>
  <c r="Y25" i="38"/>
  <c r="R87" i="39" s="1"/>
  <c r="Q114" i="48"/>
  <c r="Q113" i="37"/>
  <c r="X97" i="46"/>
  <c r="X37" i="46"/>
  <c r="S126" i="37"/>
  <c r="Y1" i="46"/>
  <c r="Y67" i="46" s="1"/>
  <c r="Y52" i="46"/>
  <c r="Z5" i="46"/>
  <c r="Z5" i="52" s="1"/>
  <c r="X67" i="46"/>
  <c r="S100" i="39"/>
  <c r="R97" i="39"/>
  <c r="Y28" i="38"/>
  <c r="Q88" i="39"/>
  <c r="X126" i="46"/>
  <c r="Y26" i="38"/>
  <c r="Q115" i="48"/>
  <c r="Q114" i="37"/>
  <c r="Y83" i="59" l="1"/>
  <c r="Y37" i="59"/>
  <c r="Y98" i="59"/>
  <c r="Y22" i="59"/>
  <c r="Y125" i="59"/>
  <c r="Y38" i="59"/>
  <c r="Y113" i="59"/>
  <c r="Y23" i="59"/>
  <c r="Y126" i="59"/>
  <c r="Z38" i="59"/>
  <c r="Z53" i="59"/>
  <c r="Z97" i="59"/>
  <c r="Z8" i="59"/>
  <c r="Z23" i="59"/>
  <c r="Z68" i="59"/>
  <c r="Y82" i="59"/>
  <c r="K70" i="8"/>
  <c r="M65" i="8"/>
  <c r="N65" i="8"/>
  <c r="Y67" i="59"/>
  <c r="Z1" i="59"/>
  <c r="Z83" i="59" s="1"/>
  <c r="AA5" i="59"/>
  <c r="D18" i="51"/>
  <c r="F17" i="51" a="1"/>
  <c r="F17" i="51" s="1"/>
  <c r="G17" i="51" s="1"/>
  <c r="B17" i="51" a="1"/>
  <c r="B17" i="51" s="1"/>
  <c r="E17" i="51" a="1"/>
  <c r="E17" i="51" s="1"/>
  <c r="J16" i="51"/>
  <c r="I16" i="51"/>
  <c r="H16" i="51"/>
  <c r="Y37" i="46"/>
  <c r="AA41" i="33"/>
  <c r="AA39" i="33"/>
  <c r="AA101" i="33"/>
  <c r="AA84" i="33"/>
  <c r="AA72" i="33"/>
  <c r="AA87" i="33"/>
  <c r="AA55" i="33"/>
  <c r="AA99" i="33"/>
  <c r="AA69" i="33"/>
  <c r="AA86" i="33"/>
  <c r="AA11" i="33"/>
  <c r="AA57" i="33"/>
  <c r="AA56" i="33"/>
  <c r="AA102" i="33"/>
  <c r="AA71" i="33"/>
  <c r="AA70" i="33"/>
  <c r="AA12" i="33"/>
  <c r="AA9" i="33"/>
  <c r="AA40" i="33"/>
  <c r="AA100" i="33"/>
  <c r="AA85" i="33"/>
  <c r="AA54" i="33"/>
  <c r="AA42" i="33"/>
  <c r="AA10" i="33"/>
  <c r="Y38" i="46"/>
  <c r="Z26" i="33"/>
  <c r="Z27" i="38"/>
  <c r="S89" i="39" s="1"/>
  <c r="S123" i="37"/>
  <c r="Z27" i="33"/>
  <c r="AB98" i="33"/>
  <c r="AB38" i="33"/>
  <c r="AB68" i="33"/>
  <c r="AB53" i="33"/>
  <c r="AC5" i="33"/>
  <c r="AB1" i="33"/>
  <c r="AB83" i="33"/>
  <c r="AB8" i="33"/>
  <c r="S114" i="48"/>
  <c r="S113" i="37"/>
  <c r="T122" i="37"/>
  <c r="AA23" i="33"/>
  <c r="S97" i="39"/>
  <c r="Z28" i="38"/>
  <c r="AQ5" i="11"/>
  <c r="R119" i="37"/>
  <c r="S128" i="48"/>
  <c r="T126" i="37"/>
  <c r="S123" i="48"/>
  <c r="Y113" i="46"/>
  <c r="T96" i="39"/>
  <c r="AA24" i="38"/>
  <c r="Y22" i="46"/>
  <c r="Y83" i="46"/>
  <c r="AA92" i="38"/>
  <c r="AA59" i="38"/>
  <c r="AA57" i="38"/>
  <c r="AA108" i="38"/>
  <c r="AA10" i="38"/>
  <c r="AA91" i="38"/>
  <c r="AA60" i="38"/>
  <c r="AA12" i="38"/>
  <c r="AA105" i="38"/>
  <c r="AA75" i="38"/>
  <c r="AA106" i="38"/>
  <c r="AA76" i="38"/>
  <c r="AA73" i="38"/>
  <c r="AA58" i="38"/>
  <c r="AA74" i="38"/>
  <c r="AA44" i="38"/>
  <c r="AA107" i="38"/>
  <c r="AA43" i="38"/>
  <c r="AA42" i="38"/>
  <c r="AA9" i="38"/>
  <c r="AA90" i="38"/>
  <c r="AA89" i="38"/>
  <c r="AA41" i="38"/>
  <c r="AA11" i="38"/>
  <c r="S101" i="39"/>
  <c r="S86" i="39"/>
  <c r="S92" i="39" s="1"/>
  <c r="Y8" i="46"/>
  <c r="Y98" i="46"/>
  <c r="R88" i="39"/>
  <c r="Y53" i="46"/>
  <c r="S127" i="37"/>
  <c r="Z26" i="38"/>
  <c r="S88" i="39" s="1"/>
  <c r="S119" i="48"/>
  <c r="S127" i="48"/>
  <c r="R116" i="48"/>
  <c r="R115" i="37"/>
  <c r="S113" i="48"/>
  <c r="S112" i="37"/>
  <c r="S118" i="37" s="1"/>
  <c r="Y82" i="46"/>
  <c r="R89" i="39"/>
  <c r="Y126" i="46"/>
  <c r="Y112" i="46"/>
  <c r="T100" i="39"/>
  <c r="Y23" i="46"/>
  <c r="AB56" i="38"/>
  <c r="AB104" i="38"/>
  <c r="AC5" i="38"/>
  <c r="AB1" i="38"/>
  <c r="AB72" i="38"/>
  <c r="AB88" i="38"/>
  <c r="AB8" i="38"/>
  <c r="AB40" i="38"/>
  <c r="Z25" i="38"/>
  <c r="S87" i="39" s="1"/>
  <c r="Z25" i="33"/>
  <c r="AA5" i="46"/>
  <c r="AA5" i="52" s="1"/>
  <c r="Z1" i="46"/>
  <c r="Z82" i="46" s="1"/>
  <c r="Y125" i="46"/>
  <c r="Y68" i="46"/>
  <c r="Y97" i="46"/>
  <c r="R115" i="48"/>
  <c r="R114" i="37"/>
  <c r="R93" i="39"/>
  <c r="Y9" i="46"/>
  <c r="Z82" i="59" l="1"/>
  <c r="Z22" i="59"/>
  <c r="Z126" i="59"/>
  <c r="AA26" i="33"/>
  <c r="Z52" i="59"/>
  <c r="Z67" i="59"/>
  <c r="Z112" i="59"/>
  <c r="Z37" i="46"/>
  <c r="Z67" i="46"/>
  <c r="Z98" i="59"/>
  <c r="Z9" i="59"/>
  <c r="Z125" i="59"/>
  <c r="Z53" i="46"/>
  <c r="Z37" i="59"/>
  <c r="Z113" i="59"/>
  <c r="AA126" i="59"/>
  <c r="AA98" i="59"/>
  <c r="AA68" i="59"/>
  <c r="AA38" i="59"/>
  <c r="AA112" i="59"/>
  <c r="AA82" i="59"/>
  <c r="AA52" i="59"/>
  <c r="AA9" i="59"/>
  <c r="AA97" i="59"/>
  <c r="AA37" i="59"/>
  <c r="AA8" i="59"/>
  <c r="AA22" i="59"/>
  <c r="AA53" i="59"/>
  <c r="AA1" i="59"/>
  <c r="AA125" i="59" s="1"/>
  <c r="AB5" i="59"/>
  <c r="D19" i="51"/>
  <c r="J17" i="51"/>
  <c r="H17" i="51"/>
  <c r="I17" i="51"/>
  <c r="F18" i="51" a="1"/>
  <c r="F18" i="51" s="1"/>
  <c r="G18" i="51" s="1"/>
  <c r="E18" i="51" a="1"/>
  <c r="E18" i="51" s="1"/>
  <c r="B18" i="51" a="1"/>
  <c r="B18" i="51" s="1"/>
  <c r="Z22" i="46"/>
  <c r="U100" i="39"/>
  <c r="Z126" i="46"/>
  <c r="T86" i="39"/>
  <c r="T92" i="39" s="1"/>
  <c r="T113" i="48"/>
  <c r="T112" i="37"/>
  <c r="T118" i="37" s="1"/>
  <c r="S119" i="37"/>
  <c r="AB107" i="38"/>
  <c r="AB105" i="38"/>
  <c r="AB59" i="38"/>
  <c r="AB57" i="38"/>
  <c r="AB106" i="38"/>
  <c r="AB91" i="38"/>
  <c r="AB60" i="38"/>
  <c r="AB58" i="38"/>
  <c r="AB10" i="38"/>
  <c r="AB12" i="38"/>
  <c r="AB75" i="38"/>
  <c r="AB92" i="38"/>
  <c r="AB76" i="38"/>
  <c r="AB73" i="38"/>
  <c r="AB74" i="38"/>
  <c r="AB44" i="38"/>
  <c r="AB9" i="38"/>
  <c r="AB42" i="38"/>
  <c r="AB11" i="38"/>
  <c r="AB89" i="38"/>
  <c r="AB90" i="38"/>
  <c r="AB41" i="38"/>
  <c r="AB43" i="38"/>
  <c r="AB108" i="38"/>
  <c r="AA112" i="46"/>
  <c r="AA83" i="46"/>
  <c r="AA68" i="46"/>
  <c r="AA37" i="46"/>
  <c r="AA125" i="46"/>
  <c r="AB5" i="46"/>
  <c r="AB5" i="52" s="1"/>
  <c r="AA1" i="46"/>
  <c r="AA126" i="46" s="1"/>
  <c r="Z98" i="46"/>
  <c r="AA25" i="33"/>
  <c r="T124" i="48"/>
  <c r="Z83" i="46"/>
  <c r="S115" i="48"/>
  <c r="S114" i="37"/>
  <c r="Z68" i="46"/>
  <c r="AA24" i="33"/>
  <c r="AC88" i="38"/>
  <c r="AC104" i="38"/>
  <c r="AC72" i="38"/>
  <c r="AD5" i="38"/>
  <c r="AC56" i="38"/>
  <c r="AC1" i="38"/>
  <c r="AC40" i="38"/>
  <c r="AC8" i="38"/>
  <c r="T116" i="48"/>
  <c r="T115" i="37"/>
  <c r="T128" i="48"/>
  <c r="Z9" i="46"/>
  <c r="Z38" i="46"/>
  <c r="U127" i="48"/>
  <c r="Z97" i="46"/>
  <c r="T97" i="39"/>
  <c r="AA28" i="38"/>
  <c r="Z112" i="46"/>
  <c r="T123" i="48"/>
  <c r="S93" i="39"/>
  <c r="Z8" i="46"/>
  <c r="Z125" i="46"/>
  <c r="Z52" i="46"/>
  <c r="Z113" i="46"/>
  <c r="AA25" i="38"/>
  <c r="T87" i="39" s="1"/>
  <c r="T101" i="39"/>
  <c r="Z23" i="46"/>
  <c r="S116" i="48"/>
  <c r="S115" i="37"/>
  <c r="T127" i="37"/>
  <c r="T120" i="48"/>
  <c r="U96" i="39"/>
  <c r="AB24" i="38"/>
  <c r="AB101" i="33"/>
  <c r="AB99" i="33"/>
  <c r="AB84" i="33"/>
  <c r="AB72" i="33"/>
  <c r="AB100" i="33"/>
  <c r="AB69" i="33"/>
  <c r="AB86" i="33"/>
  <c r="AB57" i="33"/>
  <c r="AB42" i="33"/>
  <c r="AB87" i="33"/>
  <c r="AB56" i="33"/>
  <c r="AB55" i="33"/>
  <c r="AB54" i="33"/>
  <c r="AB102" i="33"/>
  <c r="AB71" i="33"/>
  <c r="AB40" i="33"/>
  <c r="AB85" i="33"/>
  <c r="AB70" i="33"/>
  <c r="AB9" i="33"/>
  <c r="AB39" i="33"/>
  <c r="AB11" i="33"/>
  <c r="AB41" i="33"/>
  <c r="AB10" i="33"/>
  <c r="AB12" i="33"/>
  <c r="T119" i="48"/>
  <c r="AA26" i="38"/>
  <c r="T88" i="39" s="1"/>
  <c r="AR5" i="11"/>
  <c r="AC98" i="33"/>
  <c r="AC83" i="33"/>
  <c r="AC38" i="33"/>
  <c r="AC53" i="33"/>
  <c r="AC68" i="33"/>
  <c r="AD5" i="33"/>
  <c r="AC1" i="33"/>
  <c r="AC8" i="33"/>
  <c r="AA27" i="38"/>
  <c r="T89" i="39" s="1"/>
  <c r="U126" i="37"/>
  <c r="T127" i="48"/>
  <c r="U122" i="37"/>
  <c r="AB23" i="33"/>
  <c r="T123" i="37"/>
  <c r="AA27" i="33"/>
  <c r="AA97" i="46" l="1"/>
  <c r="AA23" i="59"/>
  <c r="AA113" i="59"/>
  <c r="AA67" i="46"/>
  <c r="V127" i="48" s="1"/>
  <c r="AA98" i="46"/>
  <c r="AA38" i="46"/>
  <c r="AA8" i="46"/>
  <c r="AB27" i="38"/>
  <c r="U89" i="39" s="1"/>
  <c r="AA67" i="59"/>
  <c r="AA23" i="46"/>
  <c r="V124" i="48" s="1"/>
  <c r="AA9" i="46"/>
  <c r="AA83" i="59"/>
  <c r="AA82" i="46"/>
  <c r="AB112" i="59"/>
  <c r="AB67" i="59"/>
  <c r="AB125" i="59"/>
  <c r="AB23" i="59"/>
  <c r="AA52" i="46"/>
  <c r="AB1" i="59"/>
  <c r="AB68" i="59" s="1"/>
  <c r="J18" i="51"/>
  <c r="I18" i="51"/>
  <c r="H18" i="51"/>
  <c r="E19" i="51" a="1"/>
  <c r="E19" i="51" s="1"/>
  <c r="F19" i="51" a="1"/>
  <c r="F19" i="51" s="1"/>
  <c r="G19" i="51" s="1"/>
  <c r="B19" i="51" a="1"/>
  <c r="B19" i="51" s="1"/>
  <c r="D20" i="51"/>
  <c r="U123" i="37"/>
  <c r="AB27" i="33"/>
  <c r="T114" i="48"/>
  <c r="T113" i="37"/>
  <c r="U101" i="39"/>
  <c r="U127" i="37"/>
  <c r="V120" i="48"/>
  <c r="AB25" i="38"/>
  <c r="U87" i="39" s="1"/>
  <c r="U128" i="48"/>
  <c r="T93" i="39"/>
  <c r="AB24" i="33"/>
  <c r="AB26" i="38"/>
  <c r="U88" i="39" s="1"/>
  <c r="V126" i="37"/>
  <c r="V96" i="39"/>
  <c r="AC24" i="38"/>
  <c r="U97" i="39"/>
  <c r="AB28" i="38"/>
  <c r="U123" i="48"/>
  <c r="U113" i="48"/>
  <c r="U112" i="37"/>
  <c r="U118" i="37" s="1"/>
  <c r="AC106" i="38"/>
  <c r="AC89" i="38"/>
  <c r="AC105" i="38"/>
  <c r="AC92" i="38"/>
  <c r="AC12" i="38"/>
  <c r="AC91" i="38"/>
  <c r="AC60" i="38"/>
  <c r="AC75" i="38"/>
  <c r="AC76" i="38"/>
  <c r="AC73" i="38"/>
  <c r="AC59" i="38"/>
  <c r="AC74" i="38"/>
  <c r="AC58" i="38"/>
  <c r="AC9" i="38"/>
  <c r="AC57" i="38"/>
  <c r="AC43" i="38"/>
  <c r="AC107" i="38"/>
  <c r="AC44" i="38"/>
  <c r="AC90" i="38"/>
  <c r="AC41" i="38"/>
  <c r="AC10" i="38"/>
  <c r="AC11" i="38"/>
  <c r="AC108" i="38"/>
  <c r="AC42" i="38"/>
  <c r="V128" i="48"/>
  <c r="AC102" i="33"/>
  <c r="AC100" i="33"/>
  <c r="AC101" i="33"/>
  <c r="AC99" i="33"/>
  <c r="AC84" i="33"/>
  <c r="AC72" i="33"/>
  <c r="AC87" i="33"/>
  <c r="AC55" i="33"/>
  <c r="AC86" i="33"/>
  <c r="AC57" i="33"/>
  <c r="AC40" i="33"/>
  <c r="AC85" i="33"/>
  <c r="AC70" i="33"/>
  <c r="AC39" i="33"/>
  <c r="AC11" i="33"/>
  <c r="AC71" i="33"/>
  <c r="AC56" i="33"/>
  <c r="AC41" i="33"/>
  <c r="AC69" i="33"/>
  <c r="AC54" i="33"/>
  <c r="AC42" i="33"/>
  <c r="AC10" i="33"/>
  <c r="AC9" i="33"/>
  <c r="AC12" i="33"/>
  <c r="AD98" i="33"/>
  <c r="AD1" i="33"/>
  <c r="AD53" i="33"/>
  <c r="AD83" i="33"/>
  <c r="AD68" i="33"/>
  <c r="AD38" i="33"/>
  <c r="AD8" i="33"/>
  <c r="F8" i="33" s="1"/>
  <c r="AB25" i="33"/>
  <c r="V100" i="39"/>
  <c r="T115" i="48"/>
  <c r="T114" i="37"/>
  <c r="AA53" i="46"/>
  <c r="V122" i="37"/>
  <c r="AC23" i="33"/>
  <c r="U119" i="48"/>
  <c r="AS5" i="11"/>
  <c r="AT5" i="11" s="1"/>
  <c r="D82" i="11" s="1"/>
  <c r="U120" i="48"/>
  <c r="U86" i="39"/>
  <c r="U92" i="39" s="1"/>
  <c r="AA113" i="46"/>
  <c r="AB26" i="33"/>
  <c r="T119" i="37"/>
  <c r="AD40" i="38"/>
  <c r="AD72" i="38"/>
  <c r="AD56" i="38"/>
  <c r="AD88" i="38"/>
  <c r="AD1" i="38"/>
  <c r="AD104" i="38"/>
  <c r="AD8" i="38"/>
  <c r="AA22" i="46"/>
  <c r="U124" i="48"/>
  <c r="V119" i="48"/>
  <c r="AB68" i="46"/>
  <c r="AB23" i="46"/>
  <c r="AB38" i="46"/>
  <c r="AB1" i="46"/>
  <c r="AB113" i="46" s="1"/>
  <c r="AC25" i="33" l="1"/>
  <c r="AC25" i="38"/>
  <c r="V87" i="39" s="1"/>
  <c r="AB83" i="59"/>
  <c r="AB53" i="46"/>
  <c r="AB83" i="46"/>
  <c r="AB98" i="59"/>
  <c r="AB37" i="59"/>
  <c r="AB125" i="46"/>
  <c r="D125" i="46" s="1"/>
  <c r="AB113" i="59"/>
  <c r="AC27" i="38"/>
  <c r="V89" i="39" s="1"/>
  <c r="AB38" i="59"/>
  <c r="AB126" i="59"/>
  <c r="AB82" i="46"/>
  <c r="AB97" i="46"/>
  <c r="F97" i="46" s="1"/>
  <c r="AB9" i="59"/>
  <c r="AB82" i="59"/>
  <c r="AB22" i="59"/>
  <c r="AC26" i="33"/>
  <c r="AB8" i="59"/>
  <c r="AB52" i="59"/>
  <c r="AB8" i="46"/>
  <c r="D8" i="46" s="1"/>
  <c r="AB97" i="59"/>
  <c r="AB53" i="59"/>
  <c r="F23" i="59"/>
  <c r="D23" i="59"/>
  <c r="C82" i="11"/>
  <c r="D21" i="51"/>
  <c r="J19" i="51"/>
  <c r="I19" i="51"/>
  <c r="H19" i="51"/>
  <c r="E20" i="51" a="1"/>
  <c r="E20" i="51" s="1"/>
  <c r="F20" i="51" a="1"/>
  <c r="F20" i="51" s="1"/>
  <c r="G20" i="51" s="1"/>
  <c r="B20" i="51" a="1"/>
  <c r="B20" i="51" s="1"/>
  <c r="F113" i="46"/>
  <c r="D113" i="46"/>
  <c r="H72" i="38"/>
  <c r="F72" i="38"/>
  <c r="AB98" i="46"/>
  <c r="AB96" i="46" s="1"/>
  <c r="W96" i="39"/>
  <c r="AD24" i="38"/>
  <c r="H40" i="38"/>
  <c r="F40" i="38"/>
  <c r="V115" i="48"/>
  <c r="V114" i="37"/>
  <c r="W126" i="37"/>
  <c r="F53" i="33"/>
  <c r="AB52" i="46"/>
  <c r="AB112" i="46"/>
  <c r="AD102" i="33"/>
  <c r="AD100" i="33"/>
  <c r="AD71" i="33"/>
  <c r="AD69" i="33"/>
  <c r="AD101" i="33"/>
  <c r="AD11" i="33"/>
  <c r="AD9" i="33"/>
  <c r="AD87" i="33"/>
  <c r="AD55" i="33"/>
  <c r="AD99" i="33"/>
  <c r="AD56" i="33"/>
  <c r="AD41" i="33"/>
  <c r="AD85" i="33"/>
  <c r="AD70" i="33"/>
  <c r="AD84" i="33"/>
  <c r="AD72" i="33"/>
  <c r="AD40" i="33"/>
  <c r="AD39" i="33"/>
  <c r="AD54" i="33"/>
  <c r="AD42" i="33"/>
  <c r="AD86" i="33"/>
  <c r="AD12" i="33"/>
  <c r="AD57" i="33"/>
  <c r="AD10" i="33"/>
  <c r="V127" i="37"/>
  <c r="U114" i="48"/>
  <c r="U113" i="37"/>
  <c r="F38" i="46"/>
  <c r="D38" i="46"/>
  <c r="F98" i="33"/>
  <c r="H98" i="33"/>
  <c r="V86" i="39"/>
  <c r="V92" i="39" s="1"/>
  <c r="AB22" i="46"/>
  <c r="V97" i="39"/>
  <c r="AC28" i="38"/>
  <c r="W119" i="48"/>
  <c r="F8" i="46"/>
  <c r="U116" i="48"/>
  <c r="U115" i="37"/>
  <c r="H53" i="33"/>
  <c r="F125" i="46"/>
  <c r="V123" i="37"/>
  <c r="AC27" i="33"/>
  <c r="W124" i="48"/>
  <c r="F23" i="46"/>
  <c r="D23" i="46"/>
  <c r="AB67" i="46"/>
  <c r="W128" i="48"/>
  <c r="F68" i="46"/>
  <c r="D68" i="46"/>
  <c r="V113" i="48"/>
  <c r="V112" i="37"/>
  <c r="V118" i="37" s="1"/>
  <c r="V116" i="48"/>
  <c r="V115" i="37"/>
  <c r="F53" i="46"/>
  <c r="D53" i="46"/>
  <c r="U119" i="37"/>
  <c r="F83" i="46"/>
  <c r="D83" i="46"/>
  <c r="AB9" i="46"/>
  <c r="AB7" i="46" s="1"/>
  <c r="AB37" i="46"/>
  <c r="H104" i="38"/>
  <c r="F104" i="38"/>
  <c r="U115" i="48"/>
  <c r="U114" i="37"/>
  <c r="V123" i="48"/>
  <c r="H8" i="38"/>
  <c r="F8" i="38"/>
  <c r="AB126" i="46"/>
  <c r="AB124" i="46" s="1"/>
  <c r="AD106" i="38"/>
  <c r="AD89" i="38"/>
  <c r="AD75" i="38"/>
  <c r="AD73" i="38"/>
  <c r="AD44" i="38"/>
  <c r="AD42" i="38"/>
  <c r="AD107" i="38"/>
  <c r="AD90" i="38"/>
  <c r="AD91" i="38"/>
  <c r="AD60" i="38"/>
  <c r="AD105" i="38"/>
  <c r="AD59" i="38"/>
  <c r="AD76" i="38"/>
  <c r="AD92" i="38"/>
  <c r="AD74" i="38"/>
  <c r="AD58" i="38"/>
  <c r="AD57" i="38"/>
  <c r="AD43" i="38"/>
  <c r="AD11" i="38"/>
  <c r="AD108" i="38"/>
  <c r="AD41" i="38"/>
  <c r="F41" i="38" s="1"/>
  <c r="AD9" i="38"/>
  <c r="AD10" i="38"/>
  <c r="AD12" i="38"/>
  <c r="AD7" i="33"/>
  <c r="H8" i="33"/>
  <c r="AD87" i="38"/>
  <c r="H88" i="38"/>
  <c r="F88" i="38"/>
  <c r="W122" i="37"/>
  <c r="AD23" i="33"/>
  <c r="H38" i="33"/>
  <c r="F38" i="33"/>
  <c r="AC24" i="33"/>
  <c r="AC26" i="38"/>
  <c r="V88" i="39" s="1"/>
  <c r="U93" i="39"/>
  <c r="AB81" i="46"/>
  <c r="F82" i="46"/>
  <c r="D82" i="46"/>
  <c r="W100" i="39"/>
  <c r="AD55" i="38"/>
  <c r="H56" i="38"/>
  <c r="F56" i="38"/>
  <c r="I65" i="11"/>
  <c r="C65" i="11"/>
  <c r="I63" i="11"/>
  <c r="I60" i="11"/>
  <c r="G9" i="11"/>
  <c r="J13" i="11"/>
  <c r="C13" i="11"/>
  <c r="D65" i="11"/>
  <c r="J59" i="11"/>
  <c r="C159" i="11" s="1"/>
  <c r="K59" i="11" s="1"/>
  <c r="C32" i="11"/>
  <c r="C44" i="11"/>
  <c r="J63" i="11"/>
  <c r="C162" i="11" s="1"/>
  <c r="K63" i="11" s="1"/>
  <c r="C59" i="11"/>
  <c r="C63" i="11"/>
  <c r="G82" i="11"/>
  <c r="C33" i="11"/>
  <c r="F65" i="11"/>
  <c r="G11" i="11"/>
  <c r="C62" i="11"/>
  <c r="C77" i="11" s="1"/>
  <c r="F63" i="11"/>
  <c r="C37" i="11"/>
  <c r="G17" i="11"/>
  <c r="J61" i="11"/>
  <c r="G37" i="11"/>
  <c r="J55" i="11"/>
  <c r="C60" i="11"/>
  <c r="G42" i="11"/>
  <c r="G51" i="11"/>
  <c r="D43" i="11"/>
  <c r="I33" i="11"/>
  <c r="I52" i="11"/>
  <c r="C45" i="11"/>
  <c r="J44" i="11"/>
  <c r="D35" i="11"/>
  <c r="D13" i="11"/>
  <c r="C38" i="11"/>
  <c r="I59" i="11"/>
  <c r="D19" i="11"/>
  <c r="C52" i="11"/>
  <c r="J34" i="11"/>
  <c r="D33" i="11"/>
  <c r="J11" i="11"/>
  <c r="J8" i="11"/>
  <c r="C36" i="11"/>
  <c r="D17" i="11"/>
  <c r="I39" i="11"/>
  <c r="J54" i="11"/>
  <c r="J48" i="11"/>
  <c r="C8" i="11"/>
  <c r="I50" i="11"/>
  <c r="D49" i="11"/>
  <c r="J9" i="11"/>
  <c r="G14" i="11"/>
  <c r="F43" i="11"/>
  <c r="D54" i="11"/>
  <c r="F59" i="11"/>
  <c r="F14" i="11"/>
  <c r="F42" i="11"/>
  <c r="G8" i="11"/>
  <c r="G19" i="11"/>
  <c r="J18" i="11"/>
  <c r="D56" i="11"/>
  <c r="D75" i="11" s="1"/>
  <c r="I34" i="11"/>
  <c r="F61" i="11"/>
  <c r="F83" i="11" s="1"/>
  <c r="I13" i="11"/>
  <c r="G52" i="11"/>
  <c r="G35" i="11"/>
  <c r="J10" i="11"/>
  <c r="G49" i="11"/>
  <c r="D59" i="11"/>
  <c r="C21" i="11"/>
  <c r="F58" i="11"/>
  <c r="F76" i="11" s="1"/>
  <c r="I49" i="11"/>
  <c r="G62" i="11"/>
  <c r="G77" i="11" s="1"/>
  <c r="C35" i="11"/>
  <c r="I48" i="11"/>
  <c r="C64" i="11"/>
  <c r="F60" i="11"/>
  <c r="J50" i="11"/>
  <c r="I57" i="11"/>
  <c r="D60" i="11"/>
  <c r="I11" i="11"/>
  <c r="F21" i="11"/>
  <c r="G50" i="11"/>
  <c r="G34" i="11"/>
  <c r="G61" i="11"/>
  <c r="G83" i="11" s="1"/>
  <c r="J7" i="11"/>
  <c r="F52" i="11"/>
  <c r="J52" i="11"/>
  <c r="I32" i="11"/>
  <c r="C51" i="11"/>
  <c r="C55" i="11"/>
  <c r="J42" i="11"/>
  <c r="J56" i="11"/>
  <c r="D57" i="11"/>
  <c r="F51" i="11"/>
  <c r="F10" i="11"/>
  <c r="C39" i="11"/>
  <c r="J60" i="11"/>
  <c r="C53" i="11"/>
  <c r="C50" i="11"/>
  <c r="D61" i="11"/>
  <c r="D83" i="11" s="1"/>
  <c r="D57" i="8" s="1"/>
  <c r="D63" i="11"/>
  <c r="J39" i="11"/>
  <c r="C12" i="11"/>
  <c r="D55" i="11"/>
  <c r="C31" i="11"/>
  <c r="I58" i="11"/>
  <c r="I76" i="11" s="1"/>
  <c r="D53" i="11"/>
  <c r="I38" i="11"/>
  <c r="C42" i="11"/>
  <c r="D8" i="11"/>
  <c r="F7" i="11"/>
  <c r="C20" i="11"/>
  <c r="F45" i="11"/>
  <c r="J37" i="11"/>
  <c r="G53" i="11"/>
  <c r="D37" i="11"/>
  <c r="D11" i="11"/>
  <c r="F9" i="11"/>
  <c r="J35" i="11"/>
  <c r="D45" i="11"/>
  <c r="J21" i="11"/>
  <c r="J65" i="11"/>
  <c r="C165" i="11" s="1"/>
  <c r="K65" i="11" s="1"/>
  <c r="F13" i="11"/>
  <c r="F57" i="11"/>
  <c r="J51" i="11"/>
  <c r="C10" i="11"/>
  <c r="I55" i="11"/>
  <c r="J49" i="11"/>
  <c r="F18" i="11"/>
  <c r="I18" i="11"/>
  <c r="C19" i="9" s="1"/>
  <c r="I61" i="11"/>
  <c r="I83" i="11" s="1"/>
  <c r="J57" i="11"/>
  <c r="C157" i="11" s="1"/>
  <c r="K57" i="11" s="1"/>
  <c r="G64" i="11"/>
  <c r="I8" i="11"/>
  <c r="I31" i="11"/>
  <c r="I12" i="11"/>
  <c r="D42" i="11"/>
  <c r="G60" i="11"/>
  <c r="C18" i="11"/>
  <c r="I37" i="11"/>
  <c r="D50" i="11"/>
  <c r="I14" i="11"/>
  <c r="C15" i="9" s="1"/>
  <c r="G43" i="11"/>
  <c r="D21" i="11"/>
  <c r="C34" i="11"/>
  <c r="J14" i="11"/>
  <c r="C57" i="11"/>
  <c r="I7" i="11"/>
  <c r="G10" i="11"/>
  <c r="F32" i="11"/>
  <c r="F19" i="11"/>
  <c r="D44" i="11"/>
  <c r="F38" i="11"/>
  <c r="G55" i="11"/>
  <c r="F49" i="11"/>
  <c r="D62" i="11"/>
  <c r="D77" i="11" s="1"/>
  <c r="F50" i="11"/>
  <c r="D51" i="11"/>
  <c r="F44" i="11"/>
  <c r="G44" i="11"/>
  <c r="F55" i="11"/>
  <c r="I53" i="11"/>
  <c r="G36" i="11"/>
  <c r="J62" i="11"/>
  <c r="J17" i="11"/>
  <c r="F11" i="11"/>
  <c r="I44" i="11"/>
  <c r="C48" i="11"/>
  <c r="D36" i="11"/>
  <c r="J43" i="11"/>
  <c r="J32" i="11"/>
  <c r="J36" i="11"/>
  <c r="J31" i="11"/>
  <c r="D38" i="11"/>
  <c r="C17" i="11"/>
  <c r="F64" i="11"/>
  <c r="D12" i="11"/>
  <c r="J19" i="11"/>
  <c r="G45" i="11"/>
  <c r="C56" i="11"/>
  <c r="C75" i="11" s="1"/>
  <c r="I51" i="11"/>
  <c r="G63" i="11"/>
  <c r="F17" i="11"/>
  <c r="F53" i="11"/>
  <c r="C54" i="11"/>
  <c r="G38" i="11"/>
  <c r="D34" i="11"/>
  <c r="G7" i="11"/>
  <c r="D48" i="11"/>
  <c r="C14" i="11"/>
  <c r="J20" i="11"/>
  <c r="F34" i="11"/>
  <c r="C7" i="11"/>
  <c r="I17" i="11"/>
  <c r="G39" i="11"/>
  <c r="I19" i="11"/>
  <c r="C20" i="9" s="1"/>
  <c r="F62" i="11"/>
  <c r="F77" i="11" s="1"/>
  <c r="I36" i="11"/>
  <c r="I42" i="11"/>
  <c r="I35" i="11"/>
  <c r="J53" i="11"/>
  <c r="J38" i="11"/>
  <c r="F12" i="11"/>
  <c r="G32" i="11"/>
  <c r="F36" i="11"/>
  <c r="G33" i="11"/>
  <c r="J12" i="11"/>
  <c r="G18" i="11"/>
  <c r="I21" i="11"/>
  <c r="C22" i="9" s="1"/>
  <c r="G13" i="11"/>
  <c r="D20" i="11"/>
  <c r="F31" i="11"/>
  <c r="D39" i="11"/>
  <c r="D31" i="11"/>
  <c r="G58" i="11"/>
  <c r="G76" i="11" s="1"/>
  <c r="D14" i="11"/>
  <c r="C9" i="11"/>
  <c r="J64" i="11"/>
  <c r="C164" i="11" s="1"/>
  <c r="K64" i="11" s="1"/>
  <c r="I62" i="11"/>
  <c r="I77" i="11" s="1"/>
  <c r="C61" i="11"/>
  <c r="C83" i="11" s="1"/>
  <c r="C57" i="8" s="1"/>
  <c r="D64" i="11"/>
  <c r="F33" i="11"/>
  <c r="G56" i="11"/>
  <c r="G75" i="11" s="1"/>
  <c r="F37" i="11"/>
  <c r="I9" i="11"/>
  <c r="F20" i="11"/>
  <c r="G54" i="11"/>
  <c r="I43" i="11"/>
  <c r="I56" i="11"/>
  <c r="I75" i="11" s="1"/>
  <c r="D10" i="11"/>
  <c r="I45" i="11"/>
  <c r="D7" i="11"/>
  <c r="G20" i="11"/>
  <c r="C58" i="11"/>
  <c r="C76" i="11" s="1"/>
  <c r="I10" i="11"/>
  <c r="F48" i="11"/>
  <c r="I64" i="11"/>
  <c r="F35" i="11"/>
  <c r="G65" i="11"/>
  <c r="D32" i="11"/>
  <c r="G59" i="11"/>
  <c r="G57" i="11"/>
  <c r="J58" i="11"/>
  <c r="D58" i="11"/>
  <c r="D76" i="11" s="1"/>
  <c r="C49" i="11"/>
  <c r="G48" i="11"/>
  <c r="F39" i="11"/>
  <c r="F54" i="11"/>
  <c r="G12" i="11"/>
  <c r="I20" i="11"/>
  <c r="C21" i="9" s="1"/>
  <c r="I54" i="11"/>
  <c r="F8" i="11"/>
  <c r="C19" i="11"/>
  <c r="D18" i="11"/>
  <c r="D9" i="11"/>
  <c r="G21" i="11"/>
  <c r="C11" i="11"/>
  <c r="D52" i="11"/>
  <c r="C43" i="11"/>
  <c r="G31" i="11"/>
  <c r="J33" i="11"/>
  <c r="F56" i="11"/>
  <c r="F75" i="11" s="1"/>
  <c r="F56" i="8" s="1"/>
  <c r="J45" i="11"/>
  <c r="F82" i="11"/>
  <c r="I82" i="11"/>
  <c r="J82" i="11"/>
  <c r="F68" i="33"/>
  <c r="H68" i="33"/>
  <c r="V101" i="39"/>
  <c r="AD82" i="33"/>
  <c r="AD92" i="33" s="1"/>
  <c r="H83" i="33"/>
  <c r="F83" i="33"/>
  <c r="AD67" i="33" l="1"/>
  <c r="F44" i="38"/>
  <c r="AD97" i="33"/>
  <c r="AB19" i="59" s="1"/>
  <c r="I57" i="8"/>
  <c r="F57" i="8"/>
  <c r="AD103" i="38"/>
  <c r="AD111" i="38" s="1"/>
  <c r="AD93" i="33"/>
  <c r="AD52" i="33"/>
  <c r="AC58" i="33" s="1"/>
  <c r="AC52" i="33" s="1"/>
  <c r="F92" i="38"/>
  <c r="G56" i="8"/>
  <c r="AD71" i="38"/>
  <c r="AD83" i="38"/>
  <c r="AD7" i="38"/>
  <c r="AD37" i="33"/>
  <c r="D97" i="46"/>
  <c r="AD17" i="33"/>
  <c r="AB96" i="59"/>
  <c r="AB104" i="59" s="1"/>
  <c r="F97" i="59"/>
  <c r="D97" i="59"/>
  <c r="AB21" i="59"/>
  <c r="F22" i="59"/>
  <c r="D22" i="59"/>
  <c r="AB124" i="59"/>
  <c r="F125" i="59"/>
  <c r="D125" i="59"/>
  <c r="F113" i="59"/>
  <c r="D113" i="59"/>
  <c r="F53" i="59"/>
  <c r="D53" i="59"/>
  <c r="AB81" i="59"/>
  <c r="D82" i="59"/>
  <c r="F82" i="59"/>
  <c r="AB7" i="59"/>
  <c r="F8" i="59"/>
  <c r="D8" i="59"/>
  <c r="F68" i="59"/>
  <c r="D68" i="59"/>
  <c r="AB51" i="59"/>
  <c r="F52" i="59"/>
  <c r="D52" i="59"/>
  <c r="F126" i="59"/>
  <c r="D126" i="59"/>
  <c r="AB66" i="59"/>
  <c r="F67" i="59"/>
  <c r="D67" i="59"/>
  <c r="D83" i="59"/>
  <c r="F83" i="59"/>
  <c r="F98" i="59"/>
  <c r="D98" i="59"/>
  <c r="F9" i="59"/>
  <c r="D9" i="59"/>
  <c r="AB36" i="59"/>
  <c r="F37" i="59"/>
  <c r="D37" i="59"/>
  <c r="AB111" i="59"/>
  <c r="F112" i="59"/>
  <c r="D112" i="59"/>
  <c r="D38" i="59"/>
  <c r="F38" i="59"/>
  <c r="G57" i="8"/>
  <c r="D56" i="8"/>
  <c r="I56" i="8"/>
  <c r="C56" i="8"/>
  <c r="D22" i="11"/>
  <c r="F22" i="11"/>
  <c r="H20" i="51"/>
  <c r="J20" i="51"/>
  <c r="I20" i="51"/>
  <c r="D22" i="51"/>
  <c r="E21" i="51" a="1"/>
  <c r="E21" i="51" s="1"/>
  <c r="F21" i="51" a="1"/>
  <c r="F21" i="51" s="1"/>
  <c r="G21" i="51" s="1"/>
  <c r="B21" i="51" a="1"/>
  <c r="B21" i="51" s="1"/>
  <c r="AA127" i="46"/>
  <c r="AA124" i="46" s="1"/>
  <c r="AB129" i="46"/>
  <c r="AB131" i="46"/>
  <c r="AD62" i="33"/>
  <c r="AB101" i="46"/>
  <c r="AA99" i="46"/>
  <c r="AA96" i="46" s="1"/>
  <c r="AB104" i="46"/>
  <c r="AA10" i="46"/>
  <c r="AA7" i="46" s="1"/>
  <c r="AB12" i="46"/>
  <c r="AB14" i="46"/>
  <c r="AC77" i="38"/>
  <c r="AC71" i="38" s="1"/>
  <c r="AD79" i="38"/>
  <c r="AD82" i="38"/>
  <c r="AC109" i="38"/>
  <c r="AC103" i="38" s="1"/>
  <c r="AD45" i="33"/>
  <c r="AD48" i="33" s="1"/>
  <c r="AC43" i="33"/>
  <c r="AD47" i="33"/>
  <c r="AD105" i="33"/>
  <c r="AD108" i="33" s="1"/>
  <c r="AC103" i="33"/>
  <c r="AC97" i="33" s="1"/>
  <c r="AD107" i="33"/>
  <c r="AD75" i="33"/>
  <c r="AD78" i="33" s="1"/>
  <c r="AC73" i="33"/>
  <c r="AC67" i="33" s="1"/>
  <c r="AD77" i="33"/>
  <c r="F24" i="18"/>
  <c r="F26" i="8"/>
  <c r="D66" i="11"/>
  <c r="D90" i="11"/>
  <c r="D54" i="8" s="1"/>
  <c r="D36" i="18"/>
  <c r="D38" i="8"/>
  <c r="J28" i="35"/>
  <c r="D8" i="17"/>
  <c r="J40" i="11"/>
  <c r="J21" i="8"/>
  <c r="J19" i="18"/>
  <c r="N31" i="11"/>
  <c r="M31" i="11"/>
  <c r="F38" i="18"/>
  <c r="F40" i="8"/>
  <c r="D38" i="18"/>
  <c r="D40" i="8"/>
  <c r="C151" i="11"/>
  <c r="K51" i="11" s="1"/>
  <c r="J41" i="8"/>
  <c r="D66" i="17" s="1"/>
  <c r="J39" i="18"/>
  <c r="C30" i="18"/>
  <c r="C32" i="8"/>
  <c r="C46" i="11"/>
  <c r="C150" i="11"/>
  <c r="K50" i="11" s="1"/>
  <c r="J38" i="18"/>
  <c r="J40" i="8"/>
  <c r="D65" i="17" s="1"/>
  <c r="I15" i="35"/>
  <c r="I16" i="35" s="1"/>
  <c r="C11" i="17"/>
  <c r="I67" i="8"/>
  <c r="I24" i="8"/>
  <c r="I22" i="18"/>
  <c r="J42" i="18"/>
  <c r="J44" i="8"/>
  <c r="D69" i="17" s="1"/>
  <c r="I40" i="18"/>
  <c r="I42" i="8"/>
  <c r="C67" i="17" s="1"/>
  <c r="H11" i="38"/>
  <c r="F11" i="38"/>
  <c r="H75" i="38"/>
  <c r="F75" i="38"/>
  <c r="F9" i="18"/>
  <c r="F9" i="8"/>
  <c r="F90" i="11"/>
  <c r="F54" i="8" s="1"/>
  <c r="F66" i="11"/>
  <c r="F36" i="18"/>
  <c r="F38" i="8"/>
  <c r="G22" i="8"/>
  <c r="G20" i="18"/>
  <c r="G15" i="11"/>
  <c r="G8" i="8"/>
  <c r="G8" i="18"/>
  <c r="J20" i="35"/>
  <c r="D13" i="17"/>
  <c r="J24" i="18"/>
  <c r="J26" i="8"/>
  <c r="N36" i="11"/>
  <c r="M36" i="11"/>
  <c r="I19" i="35"/>
  <c r="C14" i="17"/>
  <c r="I27" i="8"/>
  <c r="I25" i="18"/>
  <c r="C15" i="17"/>
  <c r="I26" i="18"/>
  <c r="I28" i="8"/>
  <c r="C156" i="11"/>
  <c r="K56" i="11" s="1"/>
  <c r="J75" i="11"/>
  <c r="I35" i="35"/>
  <c r="C16" i="17"/>
  <c r="I27" i="18"/>
  <c r="I29" i="8"/>
  <c r="I8" i="35"/>
  <c r="C10" i="17"/>
  <c r="I21" i="18"/>
  <c r="I23" i="8"/>
  <c r="AC61" i="38"/>
  <c r="AC55" i="38" s="1"/>
  <c r="AD63" i="38"/>
  <c r="AD67" i="38" s="1"/>
  <c r="AD27" i="38"/>
  <c r="F43" i="38"/>
  <c r="H43" i="38"/>
  <c r="H89" i="38"/>
  <c r="F89" i="38"/>
  <c r="AB111" i="46"/>
  <c r="F112" i="46"/>
  <c r="D112" i="46"/>
  <c r="H72" i="33"/>
  <c r="F72" i="33"/>
  <c r="D40" i="18"/>
  <c r="D42" i="8"/>
  <c r="G14" i="8"/>
  <c r="G14" i="18"/>
  <c r="C18" i="9"/>
  <c r="C23" i="9" s="1"/>
  <c r="I22" i="11"/>
  <c r="D20" i="9"/>
  <c r="N19" i="11"/>
  <c r="M19" i="11"/>
  <c r="I41" i="18"/>
  <c r="I43" i="8"/>
  <c r="C68" i="17" s="1"/>
  <c r="D15" i="9"/>
  <c r="N14" i="11"/>
  <c r="M14" i="11"/>
  <c r="J19" i="35"/>
  <c r="D14" i="17"/>
  <c r="J25" i="18"/>
  <c r="J27" i="8"/>
  <c r="N37" i="11"/>
  <c r="M37" i="11"/>
  <c r="C41" i="18"/>
  <c r="C43" i="8"/>
  <c r="G38" i="18"/>
  <c r="G40" i="8"/>
  <c r="D11" i="9"/>
  <c r="J11" i="8"/>
  <c r="J11" i="18"/>
  <c r="N10" i="11"/>
  <c r="M10" i="11"/>
  <c r="D10" i="9"/>
  <c r="J10" i="18"/>
  <c r="J10" i="8"/>
  <c r="M9" i="11"/>
  <c r="N9" i="11"/>
  <c r="C28" i="8"/>
  <c r="C26" i="18"/>
  <c r="V114" i="48"/>
  <c r="V113" i="37"/>
  <c r="H12" i="38"/>
  <c r="F12" i="38"/>
  <c r="H90" i="38"/>
  <c r="F90" i="38"/>
  <c r="AB51" i="46"/>
  <c r="D52" i="46"/>
  <c r="F52" i="46"/>
  <c r="AD25" i="33"/>
  <c r="H40" i="33"/>
  <c r="F40" i="33"/>
  <c r="AC88" i="33"/>
  <c r="AC82" i="33" s="1"/>
  <c r="AD90" i="33"/>
  <c r="C31" i="18"/>
  <c r="C33" i="8"/>
  <c r="J76" i="11"/>
  <c r="C158" i="11"/>
  <c r="K58" i="11" s="1"/>
  <c r="G42" i="18"/>
  <c r="G44" i="8"/>
  <c r="G27" i="18"/>
  <c r="G29" i="8"/>
  <c r="G33" i="18"/>
  <c r="G35" i="8"/>
  <c r="G24" i="18"/>
  <c r="G26" i="8"/>
  <c r="G43" i="8"/>
  <c r="G41" i="18"/>
  <c r="C40" i="8"/>
  <c r="C38" i="18"/>
  <c r="G67" i="8"/>
  <c r="G22" i="18"/>
  <c r="G24" i="8"/>
  <c r="G37" i="18"/>
  <c r="G39" i="8"/>
  <c r="F19" i="35"/>
  <c r="C25" i="18"/>
  <c r="C27" i="8"/>
  <c r="G10" i="18"/>
  <c r="G10" i="8"/>
  <c r="AB19" i="46"/>
  <c r="AB7" i="52" s="1"/>
  <c r="AC13" i="33"/>
  <c r="AC7" i="33" s="1"/>
  <c r="AD15" i="33"/>
  <c r="C52" i="55" s="1"/>
  <c r="H91" i="38"/>
  <c r="F91" i="38"/>
  <c r="H70" i="33"/>
  <c r="F70" i="33"/>
  <c r="H84" i="33"/>
  <c r="F84" i="33"/>
  <c r="C12" i="8"/>
  <c r="C12" i="18"/>
  <c r="C10" i="9"/>
  <c r="I10" i="8"/>
  <c r="I10" i="18"/>
  <c r="C15" i="11"/>
  <c r="C8" i="8"/>
  <c r="C8" i="18"/>
  <c r="D13" i="18"/>
  <c r="D13" i="8"/>
  <c r="F45" i="8"/>
  <c r="F43" i="18"/>
  <c r="F15" i="35"/>
  <c r="F16" i="35" s="1"/>
  <c r="C67" i="8"/>
  <c r="C22" i="18"/>
  <c r="C24" i="8"/>
  <c r="F33" i="18"/>
  <c r="F35" i="8"/>
  <c r="M60" i="11"/>
  <c r="N60" i="11"/>
  <c r="G25" i="8"/>
  <c r="G23" i="18"/>
  <c r="G88" i="11"/>
  <c r="D39" i="8"/>
  <c r="D37" i="18"/>
  <c r="D14" i="8"/>
  <c r="D14" i="18"/>
  <c r="H10" i="38"/>
  <c r="F10" i="38"/>
  <c r="H107" i="38"/>
  <c r="F107" i="38"/>
  <c r="V119" i="37"/>
  <c r="G7" i="35"/>
  <c r="D22" i="8"/>
  <c r="D20" i="18"/>
  <c r="F25" i="18"/>
  <c r="F27" i="8"/>
  <c r="F67" i="8"/>
  <c r="F22" i="18"/>
  <c r="F24" i="8"/>
  <c r="G32" i="18"/>
  <c r="G34" i="8"/>
  <c r="C149" i="11"/>
  <c r="K49" i="11" s="1"/>
  <c r="J37" i="18"/>
  <c r="J39" i="8"/>
  <c r="D64" i="17" s="1"/>
  <c r="F35" i="35"/>
  <c r="C27" i="18"/>
  <c r="C29" i="8"/>
  <c r="C12" i="9"/>
  <c r="I12" i="18"/>
  <c r="I12" i="8"/>
  <c r="G40" i="18"/>
  <c r="G42" i="8"/>
  <c r="I40" i="8"/>
  <c r="C65" i="17" s="1"/>
  <c r="I38" i="18"/>
  <c r="G21" i="35"/>
  <c r="G33" i="35" s="1"/>
  <c r="D25" i="8"/>
  <c r="D23" i="18"/>
  <c r="D88" i="11"/>
  <c r="G12" i="18"/>
  <c r="G12" i="8"/>
  <c r="H9" i="38"/>
  <c r="F9" i="38"/>
  <c r="AD26" i="38"/>
  <c r="H42" i="38"/>
  <c r="F42" i="38"/>
  <c r="H85" i="33"/>
  <c r="F85" i="33"/>
  <c r="W127" i="48"/>
  <c r="AB66" i="46"/>
  <c r="F67" i="46"/>
  <c r="D67" i="46"/>
  <c r="D46" i="17"/>
  <c r="J35" i="8"/>
  <c r="J33" i="18"/>
  <c r="N45" i="11"/>
  <c r="M45" i="11"/>
  <c r="C46" i="17"/>
  <c r="I33" i="18"/>
  <c r="I35" i="8"/>
  <c r="C43" i="17"/>
  <c r="I46" i="11"/>
  <c r="I32" i="8"/>
  <c r="I30" i="18"/>
  <c r="C45" i="17"/>
  <c r="I32" i="18"/>
  <c r="I34" i="8"/>
  <c r="I28" i="35"/>
  <c r="C8" i="17"/>
  <c r="I19" i="18"/>
  <c r="I40" i="11"/>
  <c r="I21" i="8"/>
  <c r="C13" i="18"/>
  <c r="C13" i="8"/>
  <c r="H76" i="38"/>
  <c r="F76" i="38"/>
  <c r="D11" i="8"/>
  <c r="D11" i="18"/>
  <c r="I20" i="35"/>
  <c r="I36" i="35" s="1"/>
  <c r="C13" i="17"/>
  <c r="I24" i="18"/>
  <c r="I26" i="8"/>
  <c r="F12" i="8"/>
  <c r="F12" i="18"/>
  <c r="C9" i="9"/>
  <c r="I9" i="18"/>
  <c r="I9" i="8"/>
  <c r="J35" i="35"/>
  <c r="M35" i="35" s="1"/>
  <c r="D16" i="17"/>
  <c r="J29" i="8"/>
  <c r="J27" i="18"/>
  <c r="M39" i="11"/>
  <c r="N39" i="11"/>
  <c r="H59" i="38"/>
  <c r="F59" i="38"/>
  <c r="J8" i="35"/>
  <c r="M8" i="35" s="1"/>
  <c r="N8" i="35" s="1"/>
  <c r="D10" i="17"/>
  <c r="J21" i="18"/>
  <c r="J23" i="8"/>
  <c r="N33" i="11"/>
  <c r="M33" i="11"/>
  <c r="D18" i="9"/>
  <c r="J22" i="11"/>
  <c r="N17" i="11"/>
  <c r="M17" i="11"/>
  <c r="D42" i="18"/>
  <c r="D44" i="8"/>
  <c r="H105" i="38"/>
  <c r="F105" i="38"/>
  <c r="F40" i="11"/>
  <c r="F19" i="18"/>
  <c r="F21" i="8"/>
  <c r="C163" i="11"/>
  <c r="K62" i="11" s="1"/>
  <c r="J77" i="11"/>
  <c r="N57" i="11"/>
  <c r="M57" i="11"/>
  <c r="G22" i="11"/>
  <c r="D14" i="9"/>
  <c r="J14" i="8"/>
  <c r="J14" i="18"/>
  <c r="M13" i="11"/>
  <c r="N13" i="11"/>
  <c r="D10" i="8"/>
  <c r="D10" i="18"/>
  <c r="C22" i="11"/>
  <c r="F34" i="8"/>
  <c r="F32" i="18"/>
  <c r="G33" i="8"/>
  <c r="G31" i="18"/>
  <c r="I43" i="18"/>
  <c r="I45" i="8"/>
  <c r="C70" i="17" s="1"/>
  <c r="F8" i="8"/>
  <c r="F8" i="18"/>
  <c r="F15" i="11"/>
  <c r="F11" i="18"/>
  <c r="F11" i="8"/>
  <c r="C14" i="9"/>
  <c r="I14" i="8"/>
  <c r="I14" i="18"/>
  <c r="C9" i="8"/>
  <c r="C9" i="18"/>
  <c r="D45" i="17"/>
  <c r="J34" i="8"/>
  <c r="J32" i="18"/>
  <c r="N44" i="11"/>
  <c r="M44" i="11"/>
  <c r="AD25" i="38"/>
  <c r="H41" i="38"/>
  <c r="W97" i="39"/>
  <c r="AD28" i="38"/>
  <c r="H44" i="38"/>
  <c r="V93" i="39"/>
  <c r="AD26" i="33"/>
  <c r="H41" i="33"/>
  <c r="F41" i="33"/>
  <c r="W120" i="48"/>
  <c r="AB15" i="46"/>
  <c r="F9" i="46"/>
  <c r="F7" i="46" s="1"/>
  <c r="F12" i="46" s="1"/>
  <c r="D9" i="46"/>
  <c r="I42" i="18"/>
  <c r="I44" i="8"/>
  <c r="C69" i="17" s="1"/>
  <c r="C11" i="9"/>
  <c r="I11" i="18"/>
  <c r="I11" i="8"/>
  <c r="F13" i="18"/>
  <c r="F13" i="8"/>
  <c r="G15" i="35"/>
  <c r="G16" i="35" s="1"/>
  <c r="D67" i="8"/>
  <c r="D22" i="18"/>
  <c r="D24" i="8"/>
  <c r="J7" i="35"/>
  <c r="D9" i="17"/>
  <c r="J20" i="18"/>
  <c r="M32" i="11"/>
  <c r="J22" i="8"/>
  <c r="N32" i="11"/>
  <c r="F39" i="8"/>
  <c r="F37" i="18"/>
  <c r="F14" i="18"/>
  <c r="F14" i="8"/>
  <c r="D41" i="18"/>
  <c r="D43" i="8"/>
  <c r="D43" i="17"/>
  <c r="J46" i="11"/>
  <c r="N46" i="11" s="1"/>
  <c r="J32" i="8"/>
  <c r="J30" i="18"/>
  <c r="N42" i="11"/>
  <c r="M42" i="11"/>
  <c r="D19" i="9"/>
  <c r="C121" i="11"/>
  <c r="D31" i="18"/>
  <c r="D33" i="8"/>
  <c r="AD66" i="38"/>
  <c r="H57" i="38"/>
  <c r="F57" i="38"/>
  <c r="H106" i="38"/>
  <c r="F106" i="38"/>
  <c r="K82" i="11"/>
  <c r="N64" i="11"/>
  <c r="M64" i="11"/>
  <c r="D15" i="17"/>
  <c r="J26" i="18"/>
  <c r="J28" i="8"/>
  <c r="N38" i="11"/>
  <c r="M38" i="11"/>
  <c r="G28" i="8"/>
  <c r="G26" i="18"/>
  <c r="D44" i="17"/>
  <c r="J33" i="8"/>
  <c r="J31" i="18"/>
  <c r="M43" i="11"/>
  <c r="N43" i="11"/>
  <c r="G43" i="18"/>
  <c r="G45" i="8"/>
  <c r="N65" i="11"/>
  <c r="M65" i="11"/>
  <c r="C43" i="18"/>
  <c r="C45" i="8"/>
  <c r="I90" i="11"/>
  <c r="I54" i="8" s="1"/>
  <c r="I66" i="11"/>
  <c r="I36" i="18"/>
  <c r="I38" i="8"/>
  <c r="C63" i="17" s="1"/>
  <c r="F20" i="35"/>
  <c r="C24" i="18"/>
  <c r="C26" i="8"/>
  <c r="G39" i="18"/>
  <c r="G41" i="8"/>
  <c r="N63" i="11"/>
  <c r="M63" i="11"/>
  <c r="F87" i="38"/>
  <c r="H58" i="38"/>
  <c r="F58" i="38"/>
  <c r="F42" i="18"/>
  <c r="F44" i="8"/>
  <c r="D15" i="11"/>
  <c r="D24" i="11" s="1"/>
  <c r="D28" i="11" s="1"/>
  <c r="D18" i="8" s="1"/>
  <c r="D8" i="8"/>
  <c r="D8" i="18"/>
  <c r="I21" i="35"/>
  <c r="I33" i="35" s="1"/>
  <c r="C12" i="17"/>
  <c r="I23" i="18"/>
  <c r="I25" i="8"/>
  <c r="I88" i="11"/>
  <c r="F43" i="8"/>
  <c r="F41" i="18"/>
  <c r="C66" i="11"/>
  <c r="C90" i="11"/>
  <c r="C54" i="8" s="1"/>
  <c r="C38" i="8"/>
  <c r="C36" i="18"/>
  <c r="D32" i="18"/>
  <c r="D34" i="8"/>
  <c r="C13" i="9"/>
  <c r="I13" i="8"/>
  <c r="I13" i="18"/>
  <c r="D35" i="8"/>
  <c r="D33" i="18"/>
  <c r="D43" i="18"/>
  <c r="D45" i="8"/>
  <c r="I7" i="35"/>
  <c r="C9" i="17"/>
  <c r="I20" i="18"/>
  <c r="I22" i="8"/>
  <c r="F46" i="11"/>
  <c r="F32" i="8"/>
  <c r="F30" i="18"/>
  <c r="D12" i="9"/>
  <c r="J12" i="8"/>
  <c r="J12" i="18"/>
  <c r="N11" i="11"/>
  <c r="M11" i="11"/>
  <c r="F7" i="35"/>
  <c r="C22" i="8"/>
  <c r="C20" i="18"/>
  <c r="F81" i="46"/>
  <c r="F86" i="46" s="1"/>
  <c r="F90" i="46" s="1"/>
  <c r="AD95" i="38"/>
  <c r="AD96" i="38" s="1"/>
  <c r="AC93" i="38"/>
  <c r="AC87" i="38" s="1"/>
  <c r="H92" i="38"/>
  <c r="H18" i="38"/>
  <c r="H7" i="38"/>
  <c r="H15" i="38" s="1"/>
  <c r="F27" i="18"/>
  <c r="F29" i="8"/>
  <c r="F24" i="11"/>
  <c r="F28" i="11" s="1"/>
  <c r="F18" i="8" s="1"/>
  <c r="J21" i="35"/>
  <c r="D12" i="17"/>
  <c r="C131" i="11"/>
  <c r="J25" i="8"/>
  <c r="J23" i="18"/>
  <c r="J88" i="11"/>
  <c r="C152" i="11"/>
  <c r="K52" i="11" s="1"/>
  <c r="J42" i="8"/>
  <c r="D67" i="17" s="1"/>
  <c r="J40" i="18"/>
  <c r="I37" i="18"/>
  <c r="I39" i="8"/>
  <c r="C64" i="17" s="1"/>
  <c r="G8" i="35"/>
  <c r="D21" i="18"/>
  <c r="D23" i="8"/>
  <c r="C155" i="11"/>
  <c r="K55" i="11" s="1"/>
  <c r="J43" i="18"/>
  <c r="J45" i="8"/>
  <c r="D70" i="17" s="1"/>
  <c r="N59" i="11"/>
  <c r="M59" i="11"/>
  <c r="AB86" i="46"/>
  <c r="AB90" i="46" s="1"/>
  <c r="AA84" i="46"/>
  <c r="AA81" i="46" s="1"/>
  <c r="AD98" i="38"/>
  <c r="AC13" i="38"/>
  <c r="AC7" i="38" s="1"/>
  <c r="AD15" i="38"/>
  <c r="AD19" i="38" s="1"/>
  <c r="G90" i="11"/>
  <c r="G54" i="8" s="1"/>
  <c r="G66" i="11"/>
  <c r="G36" i="18"/>
  <c r="G38" i="8"/>
  <c r="G28" i="35"/>
  <c r="D40" i="11"/>
  <c r="D19" i="18"/>
  <c r="D21" i="8"/>
  <c r="F22" i="8"/>
  <c r="F20" i="18"/>
  <c r="F10" i="18"/>
  <c r="F10" i="8"/>
  <c r="F40" i="18"/>
  <c r="F42" i="8"/>
  <c r="J15" i="35"/>
  <c r="D11" i="17"/>
  <c r="J67" i="8"/>
  <c r="J22" i="18"/>
  <c r="J24" i="8"/>
  <c r="N34" i="11"/>
  <c r="M34" i="11"/>
  <c r="G25" i="18"/>
  <c r="G27" i="8"/>
  <c r="AB89" i="46"/>
  <c r="AD18" i="38"/>
  <c r="C37" i="18"/>
  <c r="C39" i="8"/>
  <c r="G35" i="35"/>
  <c r="D27" i="18"/>
  <c r="D29" i="8"/>
  <c r="I41" i="8"/>
  <c r="C66" i="17" s="1"/>
  <c r="I39" i="18"/>
  <c r="G11" i="18"/>
  <c r="G11" i="8"/>
  <c r="D12" i="8"/>
  <c r="D12" i="18"/>
  <c r="D8" i="9"/>
  <c r="J8" i="8"/>
  <c r="J15" i="11"/>
  <c r="N15" i="11" s="1"/>
  <c r="J8" i="18"/>
  <c r="M7" i="11"/>
  <c r="N7" i="11"/>
  <c r="C40" i="18"/>
  <c r="C42" i="8"/>
  <c r="C161" i="11"/>
  <c r="K61" i="11" s="1"/>
  <c r="J83" i="11"/>
  <c r="K83" i="11" s="1"/>
  <c r="C14" i="18"/>
  <c r="C14" i="8"/>
  <c r="G40" i="11"/>
  <c r="G19" i="18"/>
  <c r="G21" i="8"/>
  <c r="C44" i="17"/>
  <c r="I31" i="18"/>
  <c r="I33" i="8"/>
  <c r="C8" i="9"/>
  <c r="I8" i="18"/>
  <c r="I15" i="11"/>
  <c r="I8" i="8"/>
  <c r="G19" i="35"/>
  <c r="D27" i="8"/>
  <c r="D25" i="18"/>
  <c r="F33" i="8"/>
  <c r="F31" i="18"/>
  <c r="W101" i="39"/>
  <c r="H60" i="38"/>
  <c r="F60" i="38"/>
  <c r="F55" i="38" s="1"/>
  <c r="F66" i="38" s="1"/>
  <c r="D13" i="9"/>
  <c r="J13" i="18"/>
  <c r="J13" i="8"/>
  <c r="N12" i="11"/>
  <c r="M12" i="11"/>
  <c r="D21" i="9"/>
  <c r="N20" i="11"/>
  <c r="M20" i="11"/>
  <c r="H67" i="33"/>
  <c r="H75" i="33" s="1"/>
  <c r="F88" i="11"/>
  <c r="F23" i="18"/>
  <c r="F25" i="8"/>
  <c r="F21" i="18"/>
  <c r="F23" i="8"/>
  <c r="G21" i="18"/>
  <c r="G23" i="8"/>
  <c r="D26" i="18"/>
  <c r="D28" i="8"/>
  <c r="D39" i="18"/>
  <c r="D41" i="8"/>
  <c r="C11" i="8"/>
  <c r="C11" i="18"/>
  <c r="D9" i="8"/>
  <c r="D9" i="18"/>
  <c r="F39" i="18"/>
  <c r="F41" i="8"/>
  <c r="C148" i="11"/>
  <c r="J90" i="11"/>
  <c r="J54" i="8" s="1"/>
  <c r="J66" i="11"/>
  <c r="J36" i="18"/>
  <c r="J38" i="8"/>
  <c r="D63" i="17" s="1"/>
  <c r="C35" i="8"/>
  <c r="C33" i="18"/>
  <c r="F8" i="35"/>
  <c r="C21" i="18"/>
  <c r="C23" i="8"/>
  <c r="W113" i="48"/>
  <c r="W112" i="37"/>
  <c r="W118" i="37" s="1"/>
  <c r="H23" i="33"/>
  <c r="F23" i="33"/>
  <c r="H108" i="38"/>
  <c r="F108" i="38"/>
  <c r="H73" i="38"/>
  <c r="F73" i="38"/>
  <c r="D124" i="46"/>
  <c r="H56" i="33"/>
  <c r="F56" i="33"/>
  <c r="AB36" i="46"/>
  <c r="AB44" i="46" s="1"/>
  <c r="F37" i="46"/>
  <c r="D37" i="46"/>
  <c r="H99" i="33"/>
  <c r="F99" i="33"/>
  <c r="W123" i="48"/>
  <c r="AB21" i="46"/>
  <c r="AB29" i="46" s="1"/>
  <c r="F22" i="46"/>
  <c r="D22" i="46"/>
  <c r="H55" i="33"/>
  <c r="F55" i="33"/>
  <c r="H10" i="33"/>
  <c r="F10" i="33"/>
  <c r="H87" i="33"/>
  <c r="F87" i="33"/>
  <c r="W127" i="37"/>
  <c r="H57" i="33"/>
  <c r="F57" i="33"/>
  <c r="H9" i="33"/>
  <c r="F9" i="33"/>
  <c r="F39" i="38"/>
  <c r="F50" i="38" s="1"/>
  <c r="AB132" i="46"/>
  <c r="F126" i="46"/>
  <c r="F124" i="46" s="1"/>
  <c r="F129" i="46" s="1"/>
  <c r="D126" i="46"/>
  <c r="G13" i="8"/>
  <c r="G13" i="18"/>
  <c r="C10" i="18"/>
  <c r="C10" i="8"/>
  <c r="C153" i="11"/>
  <c r="K53" i="11" s="1"/>
  <c r="J41" i="18"/>
  <c r="J43" i="8"/>
  <c r="D68" i="17" s="1"/>
  <c r="C42" i="18"/>
  <c r="C44" i="8"/>
  <c r="G20" i="35"/>
  <c r="D24" i="18"/>
  <c r="D26" i="8"/>
  <c r="F28" i="8"/>
  <c r="F26" i="18"/>
  <c r="D46" i="11"/>
  <c r="D30" i="18"/>
  <c r="D32" i="8"/>
  <c r="D22" i="9"/>
  <c r="M21" i="11"/>
  <c r="N21" i="11"/>
  <c r="F28" i="35"/>
  <c r="C40" i="11"/>
  <c r="C19" i="18"/>
  <c r="C21" i="8"/>
  <c r="C39" i="18"/>
  <c r="C41" i="8"/>
  <c r="F21" i="35"/>
  <c r="F33" i="35" s="1"/>
  <c r="F37" i="35" s="1"/>
  <c r="C23" i="18"/>
  <c r="C25" i="8"/>
  <c r="C88" i="11"/>
  <c r="G9" i="8"/>
  <c r="G9" i="18"/>
  <c r="D9" i="9"/>
  <c r="J9" i="18"/>
  <c r="J9" i="8"/>
  <c r="N8" i="11"/>
  <c r="M8" i="11"/>
  <c r="G46" i="11"/>
  <c r="G30" i="18"/>
  <c r="G32" i="8"/>
  <c r="C32" i="18"/>
  <c r="C34" i="8"/>
  <c r="D89" i="46"/>
  <c r="D81" i="46"/>
  <c r="H87" i="38"/>
  <c r="H95" i="38" s="1"/>
  <c r="H74" i="38"/>
  <c r="F74" i="38"/>
  <c r="F7" i="38"/>
  <c r="F18" i="38" s="1"/>
  <c r="H12" i="33"/>
  <c r="F12" i="33"/>
  <c r="H11" i="33"/>
  <c r="F11" i="33"/>
  <c r="H39" i="38"/>
  <c r="H47" i="38" s="1"/>
  <c r="H86" i="33"/>
  <c r="F86" i="33"/>
  <c r="H101" i="33"/>
  <c r="F101" i="33"/>
  <c r="AD39" i="38"/>
  <c r="W123" i="37"/>
  <c r="AD27" i="33"/>
  <c r="H42" i="33"/>
  <c r="F42" i="33"/>
  <c r="H69" i="33"/>
  <c r="F69" i="33"/>
  <c r="W86" i="39"/>
  <c r="W92" i="39" s="1"/>
  <c r="AD23" i="38"/>
  <c r="AD31" i="38" s="1"/>
  <c r="H24" i="38"/>
  <c r="F24" i="38"/>
  <c r="H54" i="33"/>
  <c r="F54" i="33"/>
  <c r="H71" i="33"/>
  <c r="F71" i="33"/>
  <c r="AD24" i="33"/>
  <c r="H39" i="33"/>
  <c r="F39" i="33"/>
  <c r="H100" i="33"/>
  <c r="F100" i="33"/>
  <c r="H102" i="33"/>
  <c r="F102" i="33"/>
  <c r="AB105" i="46"/>
  <c r="F98" i="46"/>
  <c r="D98" i="46"/>
  <c r="AD112" i="38" l="1"/>
  <c r="AD115" i="38"/>
  <c r="AB64" i="59"/>
  <c r="AB79" i="59"/>
  <c r="AB94" i="59"/>
  <c r="AB49" i="59"/>
  <c r="AB109" i="59"/>
  <c r="AB34" i="59"/>
  <c r="F37" i="33"/>
  <c r="H97" i="33"/>
  <c r="H108" i="33"/>
  <c r="AD22" i="33"/>
  <c r="H77" i="33"/>
  <c r="H19" i="38"/>
  <c r="F71" i="38"/>
  <c r="AD60" i="33"/>
  <c r="AD63" i="33" s="1"/>
  <c r="H51" i="38"/>
  <c r="AD35" i="38"/>
  <c r="AD114" i="38"/>
  <c r="H82" i="33"/>
  <c r="H99" i="38"/>
  <c r="AA19" i="59"/>
  <c r="H78" i="33"/>
  <c r="AB8" i="52"/>
  <c r="H71" i="38"/>
  <c r="H79" i="38" s="1"/>
  <c r="H80" i="38" s="1"/>
  <c r="AD80" i="38"/>
  <c r="AD18" i="33"/>
  <c r="H7" i="33"/>
  <c r="F19" i="59" s="1"/>
  <c r="AD99" i="38"/>
  <c r="AD16" i="38"/>
  <c r="D46" i="55" s="1"/>
  <c r="C54" i="55"/>
  <c r="F103" i="38"/>
  <c r="F67" i="33"/>
  <c r="F51" i="59"/>
  <c r="F56" i="59" s="1"/>
  <c r="AA54" i="59"/>
  <c r="AA51" i="59" s="1"/>
  <c r="AB56" i="59"/>
  <c r="AB59" i="59"/>
  <c r="D124" i="59"/>
  <c r="D131" i="59" s="1"/>
  <c r="D111" i="59"/>
  <c r="F124" i="59"/>
  <c r="F129" i="59" s="1"/>
  <c r="F132" i="59" s="1"/>
  <c r="F111" i="59"/>
  <c r="F116" i="59" s="1"/>
  <c r="D7" i="59"/>
  <c r="AA127" i="59"/>
  <c r="AA124" i="59" s="1"/>
  <c r="AB129" i="59"/>
  <c r="AB132" i="59" s="1"/>
  <c r="AB116" i="59"/>
  <c r="AA114" i="59"/>
  <c r="AA111" i="59" s="1"/>
  <c r="F7" i="59"/>
  <c r="F12" i="59" s="1"/>
  <c r="F15" i="59" s="1"/>
  <c r="AB131" i="59"/>
  <c r="AB119" i="59"/>
  <c r="D66" i="59"/>
  <c r="AA10" i="59"/>
  <c r="AA7" i="59" s="1"/>
  <c r="AB12" i="59"/>
  <c r="AB15" i="59" s="1"/>
  <c r="D21" i="59"/>
  <c r="D29" i="59" s="1"/>
  <c r="F66" i="59"/>
  <c r="F71" i="59" s="1"/>
  <c r="AB14" i="59"/>
  <c r="F21" i="59"/>
  <c r="F26" i="59" s="1"/>
  <c r="D36" i="59"/>
  <c r="AB71" i="59"/>
  <c r="AA69" i="59"/>
  <c r="AA66" i="59" s="1"/>
  <c r="F81" i="59"/>
  <c r="F86" i="59" s="1"/>
  <c r="AA24" i="59"/>
  <c r="AA21" i="59" s="1"/>
  <c r="AB26" i="59"/>
  <c r="F36" i="59"/>
  <c r="F41" i="59" s="1"/>
  <c r="AB74" i="59"/>
  <c r="D81" i="59"/>
  <c r="AB29" i="59"/>
  <c r="AB41" i="59"/>
  <c r="AA39" i="59"/>
  <c r="AA36" i="59" s="1"/>
  <c r="AB86" i="59"/>
  <c r="AA84" i="59"/>
  <c r="AA81" i="59" s="1"/>
  <c r="D96" i="59"/>
  <c r="D104" i="59" s="1"/>
  <c r="AB44" i="59"/>
  <c r="AB89" i="59"/>
  <c r="F96" i="59"/>
  <c r="F101" i="59" s="1"/>
  <c r="D51" i="59"/>
  <c r="AA99" i="59"/>
  <c r="AA96" i="59" s="1"/>
  <c r="AB101" i="59"/>
  <c r="J69" i="8"/>
  <c r="J104" i="11"/>
  <c r="C69" i="8"/>
  <c r="C104" i="11"/>
  <c r="D69" i="8"/>
  <c r="D104" i="11"/>
  <c r="G69" i="8"/>
  <c r="G70" i="8" s="1"/>
  <c r="G104" i="11"/>
  <c r="D70" i="8"/>
  <c r="I69" i="8"/>
  <c r="I70" i="8" s="1"/>
  <c r="I104" i="11"/>
  <c r="C70" i="8"/>
  <c r="J70" i="8"/>
  <c r="N70" i="8" s="1"/>
  <c r="F69" i="8"/>
  <c r="F70" i="8" s="1"/>
  <c r="F104" i="11"/>
  <c r="D59" i="8"/>
  <c r="I59" i="8"/>
  <c r="J59" i="8"/>
  <c r="G59" i="8"/>
  <c r="C59" i="8"/>
  <c r="F59" i="8"/>
  <c r="J56" i="8"/>
  <c r="M46" i="11"/>
  <c r="N69" i="8"/>
  <c r="M69" i="8"/>
  <c r="C28" i="18"/>
  <c r="N67" i="8"/>
  <c r="M67" i="8"/>
  <c r="K57" i="8"/>
  <c r="J57" i="8"/>
  <c r="C24" i="11"/>
  <c r="C28" i="11" s="1"/>
  <c r="C18" i="8" s="1"/>
  <c r="G36" i="8"/>
  <c r="G24" i="11"/>
  <c r="G28" i="11" s="1"/>
  <c r="G18" i="8" s="1"/>
  <c r="D34" i="18"/>
  <c r="G34" i="18"/>
  <c r="F34" i="18"/>
  <c r="I9" i="35"/>
  <c r="I10" i="35" s="1"/>
  <c r="F9" i="35"/>
  <c r="F10" i="35" s="1"/>
  <c r="I37" i="35"/>
  <c r="I21" i="51"/>
  <c r="H21" i="51"/>
  <c r="J21" i="51"/>
  <c r="F22" i="51" a="1"/>
  <c r="F22" i="51" s="1"/>
  <c r="G22" i="51" s="1"/>
  <c r="E22" i="51" a="1"/>
  <c r="E22" i="51" s="1"/>
  <c r="B22" i="51" a="1"/>
  <c r="B22" i="51" s="1"/>
  <c r="D23" i="51"/>
  <c r="F79" i="38"/>
  <c r="F83" i="38" s="1"/>
  <c r="E77" i="38"/>
  <c r="E71" i="38" s="1"/>
  <c r="F82" i="38"/>
  <c r="H90" i="33"/>
  <c r="H93" i="33" s="1"/>
  <c r="H92" i="33"/>
  <c r="F19" i="46"/>
  <c r="F7" i="52" s="1"/>
  <c r="E43" i="33"/>
  <c r="E37" i="33" s="1"/>
  <c r="F45" i="33"/>
  <c r="F48" i="33" s="1"/>
  <c r="F47" i="33"/>
  <c r="AD30" i="33"/>
  <c r="AD33" i="33" s="1"/>
  <c r="AD32" i="33"/>
  <c r="H105" i="33"/>
  <c r="H107" i="33"/>
  <c r="E109" i="38"/>
  <c r="E103" i="38" s="1"/>
  <c r="F111" i="38"/>
  <c r="F115" i="38" s="1"/>
  <c r="F114" i="38"/>
  <c r="E61" i="38"/>
  <c r="E55" i="38" s="1"/>
  <c r="F63" i="38"/>
  <c r="F67" i="38" s="1"/>
  <c r="D28" i="18"/>
  <c r="D35" i="17"/>
  <c r="D57" i="17"/>
  <c r="E57" i="17"/>
  <c r="W116" i="48"/>
  <c r="W115" i="37"/>
  <c r="H26" i="33"/>
  <c r="F26" i="33"/>
  <c r="M21" i="18"/>
  <c r="N21" i="18"/>
  <c r="C17" i="17"/>
  <c r="D59" i="17"/>
  <c r="E59" i="17"/>
  <c r="AA19" i="46"/>
  <c r="AA7" i="52" s="1"/>
  <c r="AC15" i="33"/>
  <c r="AC18" i="33" s="1"/>
  <c r="AB13" i="33"/>
  <c r="AB7" i="33" s="1"/>
  <c r="AC17" i="33"/>
  <c r="J33" i="35"/>
  <c r="K21" i="35"/>
  <c r="D33" i="17"/>
  <c r="E33" i="17"/>
  <c r="D66" i="46"/>
  <c r="AB109" i="46"/>
  <c r="AB94" i="46"/>
  <c r="AB102" i="46" s="1"/>
  <c r="AB49" i="46"/>
  <c r="AB79" i="46"/>
  <c r="AB87" i="46" s="1"/>
  <c r="AB34" i="46"/>
  <c r="AB64" i="46"/>
  <c r="W115" i="48"/>
  <c r="W114" i="37"/>
  <c r="F25" i="33"/>
  <c r="H25" i="33"/>
  <c r="W89" i="39"/>
  <c r="F27" i="38"/>
  <c r="H27" i="38"/>
  <c r="E73" i="33"/>
  <c r="E67" i="33" s="1"/>
  <c r="F75" i="33"/>
  <c r="F78" i="33" s="1"/>
  <c r="N55" i="11"/>
  <c r="M55" i="11"/>
  <c r="K45" i="8"/>
  <c r="K43" i="18"/>
  <c r="F68" i="11"/>
  <c r="F16" i="18"/>
  <c r="F16" i="8"/>
  <c r="F66" i="46"/>
  <c r="F71" i="46" s="1"/>
  <c r="F75" i="46" s="1"/>
  <c r="N27" i="8"/>
  <c r="M27" i="8"/>
  <c r="F77" i="33"/>
  <c r="H50" i="38"/>
  <c r="C30" i="8"/>
  <c r="F21" i="46"/>
  <c r="F26" i="46" s="1"/>
  <c r="D129" i="46"/>
  <c r="C127" i="46"/>
  <c r="C124" i="46" s="1"/>
  <c r="G22" i="35"/>
  <c r="F14" i="46"/>
  <c r="AB71" i="46"/>
  <c r="AB75" i="46" s="1"/>
  <c r="AA69" i="46"/>
  <c r="AA66" i="46" s="1"/>
  <c r="H82" i="38"/>
  <c r="M10" i="8"/>
  <c r="N10" i="8"/>
  <c r="N25" i="18"/>
  <c r="M25" i="18"/>
  <c r="AB61" i="38"/>
  <c r="AB55" i="38" s="1"/>
  <c r="AC63" i="38"/>
  <c r="AC67" i="38" s="1"/>
  <c r="AC66" i="38"/>
  <c r="AB77" i="38"/>
  <c r="AB71" i="38" s="1"/>
  <c r="AC79" i="38"/>
  <c r="AC82" i="38"/>
  <c r="E45" i="38"/>
  <c r="E39" i="38" s="1"/>
  <c r="F47" i="38"/>
  <c r="F48" i="38" s="1"/>
  <c r="AB26" i="46"/>
  <c r="AB27" i="46" s="1"/>
  <c r="AB21" i="52" s="1"/>
  <c r="AA24" i="46"/>
  <c r="AA21" i="46" s="1"/>
  <c r="D131" i="46"/>
  <c r="M83" i="11"/>
  <c r="N83" i="11"/>
  <c r="M24" i="8"/>
  <c r="N24" i="8"/>
  <c r="M12" i="18"/>
  <c r="N12" i="18"/>
  <c r="I47" i="8"/>
  <c r="I46" i="8" s="1"/>
  <c r="C71" i="17" s="1"/>
  <c r="I45" i="18"/>
  <c r="I44" i="18" s="1"/>
  <c r="W93" i="39"/>
  <c r="H28" i="38"/>
  <c r="H23" i="38" s="1"/>
  <c r="H31" i="38" s="1"/>
  <c r="F28" i="38"/>
  <c r="AB74" i="46"/>
  <c r="N49" i="11"/>
  <c r="M49" i="11"/>
  <c r="K39" i="8"/>
  <c r="K37" i="18"/>
  <c r="F51" i="46"/>
  <c r="F56" i="46" s="1"/>
  <c r="N10" i="18"/>
  <c r="M10" i="18"/>
  <c r="D37" i="17"/>
  <c r="E37" i="17"/>
  <c r="F47" i="8"/>
  <c r="F46" i="8" s="1"/>
  <c r="F45" i="18"/>
  <c r="F44" i="18" s="1"/>
  <c r="AB73" i="33"/>
  <c r="AB67" i="33" s="1"/>
  <c r="AC75" i="33"/>
  <c r="AC78" i="33" s="1"/>
  <c r="AC77" i="33"/>
  <c r="N61" i="11"/>
  <c r="M61" i="11"/>
  <c r="N22" i="18"/>
  <c r="M22" i="18"/>
  <c r="G47" i="8"/>
  <c r="G46" i="8" s="1"/>
  <c r="G45" i="18"/>
  <c r="G44" i="18" s="1"/>
  <c r="M12" i="8"/>
  <c r="N12" i="8"/>
  <c r="N28" i="8"/>
  <c r="M28" i="8"/>
  <c r="D68" i="11"/>
  <c r="D16" i="18"/>
  <c r="D16" i="8"/>
  <c r="N14" i="18"/>
  <c r="M14" i="18"/>
  <c r="I34" i="18"/>
  <c r="D51" i="46"/>
  <c r="D59" i="46" s="1"/>
  <c r="D40" i="9"/>
  <c r="E40" i="9"/>
  <c r="J22" i="35"/>
  <c r="M19" i="35"/>
  <c r="N19" i="35" s="1"/>
  <c r="I22" i="35"/>
  <c r="I30" i="35" s="1"/>
  <c r="AD32" i="38"/>
  <c r="F7" i="33"/>
  <c r="D19" i="59" s="1"/>
  <c r="N53" i="11"/>
  <c r="M53" i="11"/>
  <c r="K41" i="18"/>
  <c r="K43" i="8"/>
  <c r="N13" i="8"/>
  <c r="M13" i="8"/>
  <c r="N100" i="11"/>
  <c r="M100" i="11"/>
  <c r="D42" i="9"/>
  <c r="E42" i="9"/>
  <c r="N26" i="18"/>
  <c r="M26" i="18"/>
  <c r="C154" i="11"/>
  <c r="K54" i="11" s="1"/>
  <c r="C126" i="11"/>
  <c r="K18" i="11"/>
  <c r="M22" i="8"/>
  <c r="N22" i="8"/>
  <c r="N14" i="8"/>
  <c r="M14" i="8"/>
  <c r="I36" i="8"/>
  <c r="G37" i="35"/>
  <c r="F22" i="35"/>
  <c r="F30" i="35" s="1"/>
  <c r="F39" i="35" s="1"/>
  <c r="AA54" i="46"/>
  <c r="AA51" i="46" s="1"/>
  <c r="AB56" i="46"/>
  <c r="J28" i="18"/>
  <c r="N19" i="18"/>
  <c r="M19" i="18"/>
  <c r="AA12" i="46"/>
  <c r="AA15" i="46" s="1"/>
  <c r="Z10" i="46"/>
  <c r="Z7" i="46" s="1"/>
  <c r="AA14" i="46"/>
  <c r="M13" i="18"/>
  <c r="N13" i="18"/>
  <c r="C16" i="9"/>
  <c r="C33" i="9" s="1"/>
  <c r="D34" i="17"/>
  <c r="E34" i="17"/>
  <c r="F97" i="33"/>
  <c r="D38" i="17"/>
  <c r="E38" i="17"/>
  <c r="D44" i="9"/>
  <c r="E44" i="9"/>
  <c r="N27" i="18"/>
  <c r="M27" i="18"/>
  <c r="F52" i="33"/>
  <c r="AB59" i="46"/>
  <c r="J30" i="8"/>
  <c r="N21" i="8"/>
  <c r="M21" i="8"/>
  <c r="AC105" i="33"/>
  <c r="AC108" i="33" s="1"/>
  <c r="AB103" i="33"/>
  <c r="AB97" i="33" s="1"/>
  <c r="AC107" i="33"/>
  <c r="J16" i="35"/>
  <c r="M15" i="35"/>
  <c r="N15" i="35" s="1"/>
  <c r="F36" i="8"/>
  <c r="M20" i="18"/>
  <c r="N20" i="18"/>
  <c r="D7" i="46"/>
  <c r="W87" i="39"/>
  <c r="H25" i="38"/>
  <c r="F25" i="38"/>
  <c r="G16" i="8"/>
  <c r="G16" i="18"/>
  <c r="M29" i="8"/>
  <c r="N29" i="8"/>
  <c r="C47" i="17"/>
  <c r="H103" i="38"/>
  <c r="M11" i="18"/>
  <c r="N11" i="18"/>
  <c r="D45" i="9"/>
  <c r="E45" i="9"/>
  <c r="M26" i="8"/>
  <c r="N26" i="8"/>
  <c r="AA101" i="46"/>
  <c r="AA105" i="46" s="1"/>
  <c r="Z99" i="46"/>
  <c r="Z96" i="46" s="1"/>
  <c r="AA104" i="46"/>
  <c r="J47" i="8"/>
  <c r="J46" i="8" s="1"/>
  <c r="D71" i="17" s="1"/>
  <c r="J45" i="18"/>
  <c r="J44" i="18" s="1"/>
  <c r="M15" i="11"/>
  <c r="E93" i="38"/>
  <c r="E87" i="38" s="1"/>
  <c r="F95" i="38"/>
  <c r="F99" i="38" s="1"/>
  <c r="D32" i="17"/>
  <c r="E32" i="17"/>
  <c r="F15" i="46"/>
  <c r="D39" i="17"/>
  <c r="E39" i="17"/>
  <c r="K76" i="11"/>
  <c r="N58" i="11"/>
  <c r="M58" i="11"/>
  <c r="M11" i="8"/>
  <c r="N11" i="8"/>
  <c r="D111" i="46"/>
  <c r="M24" i="18"/>
  <c r="N24" i="18"/>
  <c r="N50" i="11"/>
  <c r="M50" i="11"/>
  <c r="K40" i="8"/>
  <c r="K38" i="18"/>
  <c r="D31" i="17"/>
  <c r="D17" i="17"/>
  <c r="E31" i="17"/>
  <c r="D36" i="8"/>
  <c r="M8" i="18"/>
  <c r="N8" i="18"/>
  <c r="AC15" i="38"/>
  <c r="AB13" i="38"/>
  <c r="AB7" i="38" s="1"/>
  <c r="AC18" i="38"/>
  <c r="C47" i="8"/>
  <c r="C46" i="8" s="1"/>
  <c r="C45" i="18"/>
  <c r="C44" i="18" s="1"/>
  <c r="F98" i="38"/>
  <c r="J34" i="18"/>
  <c r="N34" i="18" s="1"/>
  <c r="N30" i="18"/>
  <c r="M30" i="18"/>
  <c r="J9" i="35"/>
  <c r="M7" i="35"/>
  <c r="N7" i="35" s="1"/>
  <c r="J24" i="11"/>
  <c r="J28" i="11" s="1"/>
  <c r="J18" i="8" s="1"/>
  <c r="N99" i="11"/>
  <c r="M99" i="11"/>
  <c r="F111" i="46"/>
  <c r="F116" i="46" s="1"/>
  <c r="F120" i="46" s="1"/>
  <c r="D36" i="17"/>
  <c r="E36" i="17"/>
  <c r="M28" i="35"/>
  <c r="H52" i="33"/>
  <c r="D44" i="46"/>
  <c r="D36" i="46"/>
  <c r="C169" i="11"/>
  <c r="K48" i="11"/>
  <c r="F82" i="33"/>
  <c r="K40" i="18"/>
  <c r="K42" i="8"/>
  <c r="N52" i="11"/>
  <c r="M52" i="11"/>
  <c r="AC95" i="38"/>
  <c r="AB93" i="38"/>
  <c r="AB87" i="38" s="1"/>
  <c r="AC98" i="38"/>
  <c r="M82" i="11"/>
  <c r="N82" i="11"/>
  <c r="J36" i="8"/>
  <c r="N36" i="8" s="1"/>
  <c r="N32" i="8"/>
  <c r="M32" i="8"/>
  <c r="M32" i="18"/>
  <c r="N32" i="18"/>
  <c r="D23" i="9"/>
  <c r="D41" i="9"/>
  <c r="E41" i="9"/>
  <c r="AB116" i="46"/>
  <c r="AB120" i="46" s="1"/>
  <c r="AA114" i="46"/>
  <c r="AA111" i="46" s="1"/>
  <c r="P20" i="35"/>
  <c r="M20" i="35"/>
  <c r="C36" i="8"/>
  <c r="AD34" i="38"/>
  <c r="D43" i="9"/>
  <c r="E43" i="9"/>
  <c r="M9" i="18"/>
  <c r="N9" i="18"/>
  <c r="D39" i="9"/>
  <c r="E39" i="9"/>
  <c r="F36" i="46"/>
  <c r="F41" i="46" s="1"/>
  <c r="G30" i="8"/>
  <c r="N8" i="8"/>
  <c r="M8" i="8"/>
  <c r="AA86" i="46"/>
  <c r="AA90" i="46" s="1"/>
  <c r="Z84" i="46"/>
  <c r="Z81" i="46" s="1"/>
  <c r="AA89" i="46"/>
  <c r="D96" i="46"/>
  <c r="N34" i="8"/>
  <c r="M34" i="8"/>
  <c r="N62" i="11"/>
  <c r="M62" i="11"/>
  <c r="K77" i="11"/>
  <c r="W88" i="39"/>
  <c r="H26" i="38"/>
  <c r="F26" i="38"/>
  <c r="AB119" i="46"/>
  <c r="J36" i="35"/>
  <c r="M36" i="35" s="1"/>
  <c r="H55" i="38"/>
  <c r="C34" i="18"/>
  <c r="AC37" i="33"/>
  <c r="AC28" i="33"/>
  <c r="AC22" i="33" s="1"/>
  <c r="AC60" i="33"/>
  <c r="AC63" i="33" s="1"/>
  <c r="AB58" i="33"/>
  <c r="AB52" i="33" s="1"/>
  <c r="AC62" i="33"/>
  <c r="M9" i="8"/>
  <c r="N9" i="8"/>
  <c r="G28" i="18"/>
  <c r="D16" i="9"/>
  <c r="D30" i="9" s="1"/>
  <c r="D38" i="9"/>
  <c r="E38" i="9"/>
  <c r="D47" i="17"/>
  <c r="D56" i="17"/>
  <c r="E56" i="17"/>
  <c r="D58" i="17"/>
  <c r="E58" i="17"/>
  <c r="F30" i="8"/>
  <c r="I30" i="8"/>
  <c r="D21" i="46"/>
  <c r="W114" i="48"/>
  <c r="W113" i="37"/>
  <c r="H24" i="33"/>
  <c r="F24" i="33"/>
  <c r="H98" i="38"/>
  <c r="F89" i="46"/>
  <c r="N31" i="18"/>
  <c r="M31" i="18"/>
  <c r="F28" i="18"/>
  <c r="N33" i="18"/>
  <c r="M33" i="18"/>
  <c r="G9" i="35"/>
  <c r="G10" i="35" s="1"/>
  <c r="AB88" i="33"/>
  <c r="AB82" i="33" s="1"/>
  <c r="AC90" i="33"/>
  <c r="AC93" i="33" s="1"/>
  <c r="AC92" i="33"/>
  <c r="I24" i="11"/>
  <c r="I28" i="11" s="1"/>
  <c r="I18" i="8" s="1"/>
  <c r="K75" i="11"/>
  <c r="N56" i="11"/>
  <c r="M56" i="11"/>
  <c r="D45" i="18"/>
  <c r="D44" i="18" s="1"/>
  <c r="D47" i="8"/>
  <c r="D46" i="8" s="1"/>
  <c r="F23" i="38"/>
  <c r="E13" i="38"/>
  <c r="E7" i="38" s="1"/>
  <c r="F15" i="38"/>
  <c r="F19" i="38" s="1"/>
  <c r="W119" i="37"/>
  <c r="H27" i="33"/>
  <c r="F27" i="33"/>
  <c r="F131" i="46"/>
  <c r="AD47" i="38"/>
  <c r="AC45" i="38"/>
  <c r="AD50" i="38"/>
  <c r="AA39" i="46"/>
  <c r="AA36" i="46" s="1"/>
  <c r="AB41" i="46"/>
  <c r="D132" i="46"/>
  <c r="C84" i="46"/>
  <c r="C81" i="46" s="1"/>
  <c r="D86" i="46"/>
  <c r="D90" i="46" s="1"/>
  <c r="F132" i="46"/>
  <c r="F96" i="46"/>
  <c r="D30" i="8"/>
  <c r="K35" i="11"/>
  <c r="C138" i="11"/>
  <c r="N33" i="8"/>
  <c r="M33" i="8"/>
  <c r="C68" i="11"/>
  <c r="C16" i="8"/>
  <c r="C16" i="18"/>
  <c r="M23" i="8"/>
  <c r="N23" i="8"/>
  <c r="I28" i="18"/>
  <c r="M35" i="8"/>
  <c r="N35" i="8"/>
  <c r="H37" i="33"/>
  <c r="N51" i="11"/>
  <c r="M51" i="11"/>
  <c r="K41" i="8"/>
  <c r="K39" i="18"/>
  <c r="AB109" i="38"/>
  <c r="AB103" i="38" s="1"/>
  <c r="AC111" i="38"/>
  <c r="AC114" i="38"/>
  <c r="AA129" i="46"/>
  <c r="AA132" i="46" s="1"/>
  <c r="Z127" i="46"/>
  <c r="Z124" i="46" s="1"/>
  <c r="AA131" i="46"/>
  <c r="C36" i="56" l="1"/>
  <c r="AB26" i="52"/>
  <c r="F102" i="59"/>
  <c r="Z19" i="59"/>
  <c r="F117" i="59"/>
  <c r="D79" i="59"/>
  <c r="D64" i="59"/>
  <c r="D94" i="59"/>
  <c r="D49" i="59"/>
  <c r="D34" i="59"/>
  <c r="D109" i="59"/>
  <c r="AA8" i="52"/>
  <c r="F79" i="59"/>
  <c r="F94" i="59"/>
  <c r="F49" i="59"/>
  <c r="F34" i="59"/>
  <c r="F109" i="59"/>
  <c r="F64" i="59"/>
  <c r="F60" i="46"/>
  <c r="F13" i="52"/>
  <c r="F72" i="59"/>
  <c r="F45" i="46"/>
  <c r="F12" i="52"/>
  <c r="F59" i="46"/>
  <c r="AC112" i="38"/>
  <c r="AC115" i="38"/>
  <c r="AB30" i="46"/>
  <c r="AB11" i="52"/>
  <c r="F57" i="59"/>
  <c r="H83" i="38"/>
  <c r="F51" i="38"/>
  <c r="AD64" i="38"/>
  <c r="H96" i="38"/>
  <c r="AC16" i="38"/>
  <c r="AC19" i="38"/>
  <c r="AB60" i="46"/>
  <c r="AB13" i="52"/>
  <c r="F42" i="59"/>
  <c r="AA109" i="59"/>
  <c r="AA34" i="59"/>
  <c r="AA49" i="59"/>
  <c r="AA94" i="59"/>
  <c r="AA79" i="59"/>
  <c r="AA64" i="59"/>
  <c r="F40" i="35"/>
  <c r="H35" i="38"/>
  <c r="AC80" i="38"/>
  <c r="AC83" i="38"/>
  <c r="F30" i="46"/>
  <c r="F11" i="52"/>
  <c r="AD48" i="38"/>
  <c r="AD51" i="38"/>
  <c r="H17" i="33"/>
  <c r="F60" i="59"/>
  <c r="AB45" i="46"/>
  <c r="AB12" i="52"/>
  <c r="AC96" i="38"/>
  <c r="AC99" i="38"/>
  <c r="H15" i="33"/>
  <c r="F87" i="59"/>
  <c r="C46" i="55"/>
  <c r="C47" i="55" s="1"/>
  <c r="D47" i="55"/>
  <c r="D48" i="55" s="1"/>
  <c r="F120" i="59"/>
  <c r="F105" i="59"/>
  <c r="F75" i="59"/>
  <c r="F14" i="59"/>
  <c r="AA86" i="59"/>
  <c r="Z84" i="59"/>
  <c r="Z81" i="59" s="1"/>
  <c r="AA89" i="59"/>
  <c r="AB72" i="59"/>
  <c r="AB75" i="59"/>
  <c r="D129" i="59"/>
  <c r="D132" i="59" s="1"/>
  <c r="C127" i="59"/>
  <c r="C124" i="59" s="1"/>
  <c r="AB87" i="59"/>
  <c r="AB90" i="59"/>
  <c r="C39" i="59"/>
  <c r="C36" i="59" s="1"/>
  <c r="D41" i="59"/>
  <c r="AB102" i="59"/>
  <c r="AB105" i="59"/>
  <c r="D44" i="59"/>
  <c r="Z114" i="59"/>
  <c r="Z111" i="59" s="1"/>
  <c r="AA116" i="59"/>
  <c r="AA119" i="59"/>
  <c r="AA41" i="59"/>
  <c r="Z39" i="59"/>
  <c r="Z36" i="59" s="1"/>
  <c r="AA44" i="59"/>
  <c r="F27" i="59"/>
  <c r="F30" i="59"/>
  <c r="AB117" i="59"/>
  <c r="AB120" i="59"/>
  <c r="D56" i="59"/>
  <c r="C54" i="59"/>
  <c r="C51" i="59" s="1"/>
  <c r="AA129" i="59"/>
  <c r="AA132" i="59" s="1"/>
  <c r="Z127" i="59"/>
  <c r="Z124" i="59" s="1"/>
  <c r="AA131" i="59"/>
  <c r="AB42" i="59"/>
  <c r="AB45" i="59"/>
  <c r="D59" i="59"/>
  <c r="C84" i="59"/>
  <c r="C81" i="59" s="1"/>
  <c r="D86" i="59"/>
  <c r="D12" i="59"/>
  <c r="D15" i="59" s="1"/>
  <c r="C10" i="59"/>
  <c r="C7" i="59" s="1"/>
  <c r="D89" i="59"/>
  <c r="F74" i="59"/>
  <c r="D14" i="59"/>
  <c r="C24" i="59"/>
  <c r="C21" i="59" s="1"/>
  <c r="D26" i="59"/>
  <c r="F45" i="59"/>
  <c r="F104" i="59"/>
  <c r="F44" i="59"/>
  <c r="F119" i="59"/>
  <c r="AB27" i="59"/>
  <c r="AB30" i="59"/>
  <c r="AA12" i="59"/>
  <c r="AA15" i="59" s="1"/>
  <c r="Z10" i="59"/>
  <c r="Z7" i="59" s="1"/>
  <c r="AA14" i="59"/>
  <c r="AB57" i="59"/>
  <c r="AB60" i="59"/>
  <c r="AA26" i="59"/>
  <c r="Z24" i="59"/>
  <c r="Z21" i="59" s="1"/>
  <c r="AA29" i="59"/>
  <c r="D71" i="59"/>
  <c r="C69" i="59"/>
  <c r="C66" i="59" s="1"/>
  <c r="F131" i="59"/>
  <c r="Z54" i="59"/>
  <c r="Z51" i="59" s="1"/>
  <c r="AA56" i="59"/>
  <c r="AA59" i="59"/>
  <c r="F29" i="59"/>
  <c r="D74" i="59"/>
  <c r="F90" i="59"/>
  <c r="F89" i="59"/>
  <c r="C114" i="59"/>
  <c r="C111" i="59" s="1"/>
  <c r="D116" i="59"/>
  <c r="F59" i="59"/>
  <c r="AA101" i="59"/>
  <c r="Z99" i="59"/>
  <c r="Z96" i="59" s="1"/>
  <c r="AA104" i="59"/>
  <c r="C99" i="59"/>
  <c r="C96" i="59" s="1"/>
  <c r="D101" i="59"/>
  <c r="AA71" i="59"/>
  <c r="Z69" i="59"/>
  <c r="Z66" i="59" s="1"/>
  <c r="AA74" i="59"/>
  <c r="D119" i="59"/>
  <c r="M70" i="8"/>
  <c r="G68" i="11"/>
  <c r="G74" i="11" s="1"/>
  <c r="G78" i="11" s="1"/>
  <c r="M57" i="8"/>
  <c r="I39" i="35"/>
  <c r="I40" i="35" s="1"/>
  <c r="K56" i="8"/>
  <c r="N57" i="8"/>
  <c r="D28" i="9"/>
  <c r="D31" i="9"/>
  <c r="D29" i="9"/>
  <c r="D25" i="9"/>
  <c r="D86" i="17" s="1"/>
  <c r="D50" i="17" s="1"/>
  <c r="D40" i="17"/>
  <c r="D32" i="9"/>
  <c r="D35" i="9"/>
  <c r="C29" i="9"/>
  <c r="C25" i="9"/>
  <c r="C86" i="17" s="1"/>
  <c r="C51" i="17" s="1"/>
  <c r="D33" i="9"/>
  <c r="D24" i="51"/>
  <c r="F23" i="51" a="1"/>
  <c r="F23" i="51" s="1"/>
  <c r="G23" i="51" s="1"/>
  <c r="B23" i="51" a="1"/>
  <c r="B23" i="51" s="1"/>
  <c r="E23" i="51" a="1"/>
  <c r="E23" i="51" s="1"/>
  <c r="I22" i="51"/>
  <c r="H22" i="51"/>
  <c r="J22" i="51"/>
  <c r="S20" i="35"/>
  <c r="P36" i="35"/>
  <c r="S36" i="35" s="1"/>
  <c r="D41" i="46"/>
  <c r="C39" i="46"/>
  <c r="C36" i="46" s="1"/>
  <c r="AB15" i="38"/>
  <c r="AB19" i="38" s="1"/>
  <c r="AA13" i="38"/>
  <c r="AA7" i="38" s="1"/>
  <c r="AB18" i="38"/>
  <c r="G69" i="11"/>
  <c r="N54" i="11"/>
  <c r="M54" i="11"/>
  <c r="K42" i="18"/>
  <c r="K44" i="8"/>
  <c r="G30" i="35"/>
  <c r="G39" i="35" s="1"/>
  <c r="G40" i="35" s="1"/>
  <c r="D21" i="35"/>
  <c r="K33" i="35"/>
  <c r="K22" i="35"/>
  <c r="M21" i="35"/>
  <c r="E111" i="38"/>
  <c r="E115" i="38" s="1"/>
  <c r="E114" i="38"/>
  <c r="E103" i="33"/>
  <c r="E97" i="33" s="1"/>
  <c r="E107" i="33" s="1"/>
  <c r="F105" i="33"/>
  <c r="F108" i="33" s="1"/>
  <c r="F107" i="33"/>
  <c r="D26" i="17"/>
  <c r="C31" i="9"/>
  <c r="E47" i="38"/>
  <c r="E51" i="38" s="1"/>
  <c r="E50" i="38"/>
  <c r="AA71" i="46"/>
  <c r="AA75" i="46" s="1"/>
  <c r="Z69" i="46"/>
  <c r="Z66" i="46" s="1"/>
  <c r="AA74" i="46"/>
  <c r="AB72" i="46"/>
  <c r="J37" i="35"/>
  <c r="C30" i="9"/>
  <c r="AB42" i="46"/>
  <c r="AB22" i="52" s="1"/>
  <c r="AB27" i="52" s="1"/>
  <c r="AB33" i="52" s="1"/>
  <c r="D81" i="17"/>
  <c r="AA116" i="46"/>
  <c r="AA120" i="46" s="1"/>
  <c r="Z114" i="46"/>
  <c r="Z111" i="46" s="1"/>
  <c r="AA119" i="46"/>
  <c r="H60" i="33"/>
  <c r="H63" i="33" s="1"/>
  <c r="H62" i="33"/>
  <c r="J68" i="11"/>
  <c r="J16" i="8"/>
  <c r="J16" i="18"/>
  <c r="D116" i="46"/>
  <c r="D120" i="46" s="1"/>
  <c r="C114" i="46"/>
  <c r="C111" i="46" s="1"/>
  <c r="D19" i="46"/>
  <c r="D7" i="52" s="1"/>
  <c r="D8" i="52" s="1"/>
  <c r="F15" i="33"/>
  <c r="E13" i="33"/>
  <c r="E7" i="33" s="1"/>
  <c r="F17" i="33"/>
  <c r="D119" i="46"/>
  <c r="D12" i="46"/>
  <c r="D15" i="46" s="1"/>
  <c r="C10" i="46"/>
  <c r="C7" i="46" s="1"/>
  <c r="D14" i="46"/>
  <c r="F74" i="46"/>
  <c r="AB95" i="38"/>
  <c r="AA93" i="38"/>
  <c r="AA87" i="38" s="1"/>
  <c r="AB98" i="38"/>
  <c r="J10" i="35"/>
  <c r="M9" i="35"/>
  <c r="N9" i="35" s="1"/>
  <c r="E95" i="38"/>
  <c r="E99" i="38" s="1"/>
  <c r="E98" i="38"/>
  <c r="E58" i="33"/>
  <c r="E52" i="33" s="1"/>
  <c r="F60" i="33"/>
  <c r="F63" i="33" s="1"/>
  <c r="F62" i="33"/>
  <c r="C85" i="17"/>
  <c r="C35" i="9"/>
  <c r="AB79" i="38"/>
  <c r="AB83" i="38" s="1"/>
  <c r="AA77" i="38"/>
  <c r="AA71" i="38" s="1"/>
  <c r="AB82" i="38"/>
  <c r="AB57" i="46"/>
  <c r="AB23" i="52" s="1"/>
  <c r="AB28" i="52" s="1"/>
  <c r="AB34" i="52" s="1"/>
  <c r="Z19" i="46"/>
  <c r="Z7" i="52" s="1"/>
  <c r="AA13" i="33"/>
  <c r="AA7" i="33" s="1"/>
  <c r="AB15" i="33"/>
  <c r="AB18" i="33" s="1"/>
  <c r="AB17" i="33"/>
  <c r="C47" i="18"/>
  <c r="C48" i="18" s="1"/>
  <c r="C15" i="18"/>
  <c r="P21" i="35"/>
  <c r="Q21" i="35" s="1"/>
  <c r="E12" i="17"/>
  <c r="N35" i="11"/>
  <c r="M35" i="11"/>
  <c r="M40" i="11" s="1"/>
  <c r="K25" i="8"/>
  <c r="K23" i="18"/>
  <c r="K88" i="11"/>
  <c r="K40" i="11"/>
  <c r="N40" i="11" s="1"/>
  <c r="N28" i="35"/>
  <c r="M34" i="18"/>
  <c r="C28" i="9"/>
  <c r="AA56" i="46"/>
  <c r="Z54" i="46"/>
  <c r="Z51" i="46" s="1"/>
  <c r="AA59" i="46"/>
  <c r="N37" i="18"/>
  <c r="M37" i="18"/>
  <c r="C34" i="9"/>
  <c r="H34" i="38"/>
  <c r="C15" i="8"/>
  <c r="C49" i="8"/>
  <c r="AB60" i="33"/>
  <c r="AB63" i="33" s="1"/>
  <c r="AA58" i="33"/>
  <c r="AA52" i="33" s="1"/>
  <c r="AB62" i="33"/>
  <c r="C99" i="46"/>
  <c r="C96" i="46" s="1"/>
  <c r="D101" i="46"/>
  <c r="D105" i="46" s="1"/>
  <c r="D104" i="46"/>
  <c r="E67" i="17"/>
  <c r="N42" i="8"/>
  <c r="M42" i="8"/>
  <c r="J30" i="35"/>
  <c r="H111" i="38"/>
  <c r="H114" i="38"/>
  <c r="D49" i="8"/>
  <c r="D15" i="8"/>
  <c r="E64" i="17"/>
  <c r="N39" i="8"/>
  <c r="M39" i="8"/>
  <c r="AB117" i="46"/>
  <c r="AA94" i="46"/>
  <c r="AA102" i="46" s="1"/>
  <c r="AA79" i="46"/>
  <c r="AA87" i="46" s="1"/>
  <c r="AA34" i="46"/>
  <c r="AA109" i="46"/>
  <c r="AA49" i="46"/>
  <c r="AA64" i="46"/>
  <c r="E45" i="33"/>
  <c r="E48" i="33" s="1"/>
  <c r="E47" i="33"/>
  <c r="N77" i="11"/>
  <c r="M77" i="11"/>
  <c r="M40" i="18"/>
  <c r="N40" i="18"/>
  <c r="D47" i="18"/>
  <c r="D48" i="18" s="1"/>
  <c r="D15" i="18"/>
  <c r="AC64" i="38"/>
  <c r="C129" i="46"/>
  <c r="C132" i="46" s="1"/>
  <c r="C131" i="46"/>
  <c r="C72" i="17"/>
  <c r="E75" i="33"/>
  <c r="E78" i="33" s="1"/>
  <c r="E77" i="33"/>
  <c r="C69" i="11"/>
  <c r="C74" i="11"/>
  <c r="C78" i="11" s="1"/>
  <c r="C71" i="11"/>
  <c r="AB111" i="38"/>
  <c r="AA109" i="38"/>
  <c r="AA103" i="38" s="1"/>
  <c r="AB114" i="38"/>
  <c r="F22" i="33"/>
  <c r="D60" i="17"/>
  <c r="E60" i="17"/>
  <c r="AC30" i="33"/>
  <c r="AC33" i="33" s="1"/>
  <c r="AC32" i="33"/>
  <c r="F90" i="33"/>
  <c r="E88" i="33"/>
  <c r="E82" i="33" s="1"/>
  <c r="F92" i="33"/>
  <c r="D69" i="11"/>
  <c r="D74" i="11"/>
  <c r="D78" i="11" s="1"/>
  <c r="D71" i="11"/>
  <c r="AB75" i="33"/>
  <c r="AB78" i="33" s="1"/>
  <c r="AA73" i="33"/>
  <c r="AA67" i="33" s="1"/>
  <c r="AB77" i="33"/>
  <c r="AA61" i="38"/>
  <c r="AA55" i="38" s="1"/>
  <c r="AB63" i="38"/>
  <c r="AB67" i="38" s="1"/>
  <c r="AB66" i="38"/>
  <c r="F15" i="8"/>
  <c r="F49" i="8"/>
  <c r="C69" i="46"/>
  <c r="C66" i="46" s="1"/>
  <c r="D71" i="46"/>
  <c r="D75" i="46" s="1"/>
  <c r="D82" i="17"/>
  <c r="E15" i="38"/>
  <c r="E19" i="38" s="1"/>
  <c r="D13" i="38"/>
  <c r="D7" i="38" s="1"/>
  <c r="E18" i="38"/>
  <c r="AC45" i="33"/>
  <c r="AC48" i="33" s="1"/>
  <c r="AB43" i="33"/>
  <c r="AC47" i="33"/>
  <c r="N76" i="11"/>
  <c r="M76" i="11"/>
  <c r="D72" i="17"/>
  <c r="M104" i="11"/>
  <c r="N104" i="11"/>
  <c r="F15" i="18"/>
  <c r="F47" i="18"/>
  <c r="F48" i="18" s="1"/>
  <c r="D74" i="46"/>
  <c r="F94" i="46"/>
  <c r="F109" i="46"/>
  <c r="F117" i="46" s="1"/>
  <c r="F34" i="46"/>
  <c r="F42" i="46" s="1"/>
  <c r="F22" i="52" s="1"/>
  <c r="F27" i="52" s="1"/>
  <c r="F64" i="46"/>
  <c r="F72" i="46" s="1"/>
  <c r="F27" i="46"/>
  <c r="F21" i="52" s="1"/>
  <c r="F79" i="46"/>
  <c r="F87" i="46" s="1"/>
  <c r="F49" i="46"/>
  <c r="F57" i="46" s="1"/>
  <c r="F23" i="52" s="1"/>
  <c r="F28" i="52" s="1"/>
  <c r="F44" i="46"/>
  <c r="I68" i="11"/>
  <c r="I16" i="8"/>
  <c r="I16" i="18"/>
  <c r="C24" i="46"/>
  <c r="C21" i="46" s="1"/>
  <c r="D26" i="46"/>
  <c r="M36" i="8"/>
  <c r="F29" i="46"/>
  <c r="F74" i="11"/>
  <c r="F78" i="11" s="1"/>
  <c r="F71" i="11"/>
  <c r="F69" i="11"/>
  <c r="F64" i="38"/>
  <c r="H45" i="33"/>
  <c r="H47" i="33"/>
  <c r="D29" i="46"/>
  <c r="H63" i="38"/>
  <c r="H66" i="38"/>
  <c r="Y84" i="46"/>
  <c r="Y81" i="46" s="1"/>
  <c r="Z86" i="46"/>
  <c r="Z90" i="46" s="1"/>
  <c r="Z89" i="46"/>
  <c r="K66" i="11"/>
  <c r="K36" i="18"/>
  <c r="K38" i="8"/>
  <c r="N48" i="11"/>
  <c r="M48" i="11"/>
  <c r="D34" i="9"/>
  <c r="N43" i="18"/>
  <c r="M43" i="18"/>
  <c r="E63" i="38"/>
  <c r="E67" i="38" s="1"/>
  <c r="E66" i="38"/>
  <c r="N75" i="11"/>
  <c r="M75" i="11"/>
  <c r="E66" i="17"/>
  <c r="N41" i="8"/>
  <c r="M41" i="8"/>
  <c r="E29" i="38"/>
  <c r="E23" i="38" s="1"/>
  <c r="F31" i="38"/>
  <c r="F35" i="38" s="1"/>
  <c r="K90" i="11"/>
  <c r="K54" i="8" s="1"/>
  <c r="AM90" i="11"/>
  <c r="AM93" i="11" s="1"/>
  <c r="AM95" i="11" s="1"/>
  <c r="AN90" i="11"/>
  <c r="AN93" i="11" s="1"/>
  <c r="AN95" i="11" s="1"/>
  <c r="AT90" i="11"/>
  <c r="AT93" i="11" s="1"/>
  <c r="AT95" i="11" s="1"/>
  <c r="Y90" i="11"/>
  <c r="Y93" i="11" s="1"/>
  <c r="Y95" i="11" s="1"/>
  <c r="AE90" i="11"/>
  <c r="AE93" i="11" s="1"/>
  <c r="AE95" i="11" s="1"/>
  <c r="AO90" i="11"/>
  <c r="AO93" i="11" s="1"/>
  <c r="AO95" i="11" s="1"/>
  <c r="T90" i="11"/>
  <c r="T93" i="11" s="1"/>
  <c r="T95" i="11" s="1"/>
  <c r="Z90" i="11"/>
  <c r="Z93" i="11" s="1"/>
  <c r="Z95" i="11" s="1"/>
  <c r="AL90" i="11"/>
  <c r="AL93" i="11" s="1"/>
  <c r="AL95" i="11" s="1"/>
  <c r="P90" i="11"/>
  <c r="P93" i="11" s="1"/>
  <c r="P95" i="11" s="1"/>
  <c r="R90" i="11"/>
  <c r="R93" i="11" s="1"/>
  <c r="R95" i="11" s="1"/>
  <c r="AA90" i="11"/>
  <c r="AA93" i="11" s="1"/>
  <c r="AA95" i="11" s="1"/>
  <c r="AF90" i="11"/>
  <c r="AF93" i="11" s="1"/>
  <c r="AF95" i="11" s="1"/>
  <c r="AJ90" i="11"/>
  <c r="AJ93" i="11" s="1"/>
  <c r="AJ95" i="11" s="1"/>
  <c r="U90" i="11"/>
  <c r="U93" i="11" s="1"/>
  <c r="U95" i="11" s="1"/>
  <c r="V90" i="11"/>
  <c r="V93" i="11" s="1"/>
  <c r="V95" i="11" s="1"/>
  <c r="Q90" i="11"/>
  <c r="Q93" i="11" s="1"/>
  <c r="Q95" i="11" s="1"/>
  <c r="AH90" i="11"/>
  <c r="AH93" i="11" s="1"/>
  <c r="AH95" i="11" s="1"/>
  <c r="AQ90" i="11"/>
  <c r="AQ93" i="11" s="1"/>
  <c r="AQ95" i="11" s="1"/>
  <c r="AG90" i="11"/>
  <c r="AG93" i="11" s="1"/>
  <c r="AG95" i="11" s="1"/>
  <c r="AP90" i="11"/>
  <c r="AP93" i="11" s="1"/>
  <c r="AP95" i="11" s="1"/>
  <c r="S90" i="11"/>
  <c r="S93" i="11" s="1"/>
  <c r="S95" i="11" s="1"/>
  <c r="AK90" i="11"/>
  <c r="AK93" i="11" s="1"/>
  <c r="AK95" i="11" s="1"/>
  <c r="AB90" i="11"/>
  <c r="AB93" i="11" s="1"/>
  <c r="AB95" i="11" s="1"/>
  <c r="AC90" i="11"/>
  <c r="AC93" i="11" s="1"/>
  <c r="AC95" i="11" s="1"/>
  <c r="W90" i="11"/>
  <c r="W93" i="11" s="1"/>
  <c r="W95" i="11" s="1"/>
  <c r="X90" i="11"/>
  <c r="X93" i="11" s="1"/>
  <c r="X95" i="11" s="1"/>
  <c r="AD90" i="11"/>
  <c r="AD93" i="11" s="1"/>
  <c r="AD95" i="11" s="1"/>
  <c r="AI90" i="11"/>
  <c r="AI93" i="11" s="1"/>
  <c r="AI95" i="11" s="1"/>
  <c r="AR90" i="11"/>
  <c r="AR93" i="11" s="1"/>
  <c r="AR95" i="11" s="1"/>
  <c r="AS90" i="11"/>
  <c r="AS93" i="11" s="1"/>
  <c r="AS95" i="11" s="1"/>
  <c r="F119" i="46"/>
  <c r="N38" i="18"/>
  <c r="M38" i="18"/>
  <c r="D28" i="17"/>
  <c r="Z101" i="46"/>
  <c r="Z105" i="46" s="1"/>
  <c r="Y99" i="46"/>
  <c r="Y96" i="46" s="1"/>
  <c r="Z104" i="46"/>
  <c r="AA26" i="46"/>
  <c r="Z24" i="46"/>
  <c r="Z21" i="46" s="1"/>
  <c r="AA29" i="46"/>
  <c r="E70" i="17"/>
  <c r="N45" i="8"/>
  <c r="M45" i="8"/>
  <c r="N39" i="18"/>
  <c r="M39" i="18"/>
  <c r="F101" i="46"/>
  <c r="F105" i="46" s="1"/>
  <c r="F104" i="46"/>
  <c r="F34" i="38"/>
  <c r="Z39" i="46"/>
  <c r="Z36" i="46" s="1"/>
  <c r="AA41" i="46"/>
  <c r="AA44" i="46"/>
  <c r="H22" i="33"/>
  <c r="E65" i="17"/>
  <c r="M40" i="8"/>
  <c r="N40" i="8"/>
  <c r="G15" i="18"/>
  <c r="G47" i="18"/>
  <c r="G48" i="18" s="1"/>
  <c r="AB105" i="33"/>
  <c r="AB108" i="33" s="1"/>
  <c r="AA103" i="33"/>
  <c r="AA97" i="33" s="1"/>
  <c r="AB107" i="33"/>
  <c r="E19" i="9"/>
  <c r="E23" i="9" s="1"/>
  <c r="E25" i="9" s="1"/>
  <c r="E86" i="17" s="1"/>
  <c r="N18" i="11"/>
  <c r="M18" i="11"/>
  <c r="M22" i="11" s="1"/>
  <c r="M24" i="11" s="1"/>
  <c r="K22" i="11"/>
  <c r="E68" i="17"/>
  <c r="M43" i="8"/>
  <c r="N43" i="8"/>
  <c r="E79" i="38"/>
  <c r="E82" i="38"/>
  <c r="AC39" i="38"/>
  <c r="AC29" i="38"/>
  <c r="AC23" i="38" s="1"/>
  <c r="AA88" i="33"/>
  <c r="AA82" i="33" s="1"/>
  <c r="AB90" i="33"/>
  <c r="AB93" i="33" s="1"/>
  <c r="AB92" i="33"/>
  <c r="C86" i="46"/>
  <c r="C90" i="46" s="1"/>
  <c r="C89" i="46"/>
  <c r="Y127" i="46"/>
  <c r="Y124" i="46" s="1"/>
  <c r="Z129" i="46"/>
  <c r="Z132" i="46" s="1"/>
  <c r="Z131" i="46"/>
  <c r="D78" i="17"/>
  <c r="C32" i="9"/>
  <c r="D85" i="17"/>
  <c r="D46" i="9"/>
  <c r="E46" i="9"/>
  <c r="G49" i="8"/>
  <c r="G15" i="8"/>
  <c r="D27" i="17"/>
  <c r="Z12" i="46"/>
  <c r="Z15" i="46" s="1"/>
  <c r="Y10" i="46"/>
  <c r="Y7" i="46" s="1"/>
  <c r="Z14" i="46"/>
  <c r="M41" i="18"/>
  <c r="N41" i="18"/>
  <c r="C54" i="46"/>
  <c r="C51" i="46" s="1"/>
  <c r="D56" i="46"/>
  <c r="F112" i="38"/>
  <c r="F80" i="38"/>
  <c r="F16" i="38" l="1"/>
  <c r="F18" i="33"/>
  <c r="H112" i="38"/>
  <c r="H115" i="38"/>
  <c r="D30" i="46"/>
  <c r="D11" i="52"/>
  <c r="AB112" i="38"/>
  <c r="AB115" i="38"/>
  <c r="D60" i="46"/>
  <c r="D13" i="52"/>
  <c r="AA72" i="46"/>
  <c r="AA60" i="46"/>
  <c r="AA13" i="52"/>
  <c r="Y19" i="59"/>
  <c r="G71" i="11"/>
  <c r="N54" i="8"/>
  <c r="M54" i="8"/>
  <c r="H64" i="38"/>
  <c r="H67" i="38"/>
  <c r="Z8" i="52"/>
  <c r="AB96" i="38"/>
  <c r="AB99" i="38"/>
  <c r="F26" i="52"/>
  <c r="C34" i="56"/>
  <c r="Z34" i="59"/>
  <c r="Z64" i="59"/>
  <c r="Z79" i="59"/>
  <c r="Z94" i="59"/>
  <c r="Z49" i="59"/>
  <c r="Z109" i="59"/>
  <c r="AA30" i="46"/>
  <c r="AA11" i="52"/>
  <c r="H48" i="38"/>
  <c r="H48" i="33"/>
  <c r="H16" i="38"/>
  <c r="H18" i="33"/>
  <c r="F96" i="38"/>
  <c r="F93" i="33"/>
  <c r="D45" i="46"/>
  <c r="D12" i="52"/>
  <c r="F8" i="52"/>
  <c r="F34" i="52" s="1"/>
  <c r="F102" i="46"/>
  <c r="AB32" i="52"/>
  <c r="AB29" i="52"/>
  <c r="AB35" i="52" s="1"/>
  <c r="C176" i="11" s="1"/>
  <c r="E80" i="38"/>
  <c r="E83" i="38"/>
  <c r="AA45" i="46"/>
  <c r="AA12" i="52"/>
  <c r="C19" i="59"/>
  <c r="AA117" i="59"/>
  <c r="AA120" i="59"/>
  <c r="Z116" i="59"/>
  <c r="Y114" i="59"/>
  <c r="Y111" i="59" s="1"/>
  <c r="Z119" i="59"/>
  <c r="Z129" i="59"/>
  <c r="Z132" i="59" s="1"/>
  <c r="Y127" i="59"/>
  <c r="Y124" i="59" s="1"/>
  <c r="Z131" i="59"/>
  <c r="Z56" i="59"/>
  <c r="Y54" i="59"/>
  <c r="Y51" i="59" s="1"/>
  <c r="Z59" i="59"/>
  <c r="D42" i="59"/>
  <c r="D45" i="59"/>
  <c r="AA72" i="59"/>
  <c r="AA75" i="59"/>
  <c r="C56" i="59"/>
  <c r="C59" i="59"/>
  <c r="C41" i="59"/>
  <c r="C44" i="59"/>
  <c r="D102" i="59"/>
  <c r="D105" i="59"/>
  <c r="C71" i="59"/>
  <c r="C74" i="59"/>
  <c r="D27" i="59"/>
  <c r="D30" i="59"/>
  <c r="D57" i="59"/>
  <c r="D60" i="59"/>
  <c r="C101" i="59"/>
  <c r="C104" i="59"/>
  <c r="D72" i="59"/>
  <c r="D75" i="59"/>
  <c r="C26" i="59"/>
  <c r="C29" i="59"/>
  <c r="C129" i="59"/>
  <c r="C132" i="59" s="1"/>
  <c r="C131" i="59"/>
  <c r="Y99" i="59"/>
  <c r="Y96" i="59" s="1"/>
  <c r="Z101" i="59"/>
  <c r="Z104" i="59"/>
  <c r="Z26" i="59"/>
  <c r="Y24" i="59"/>
  <c r="Y21" i="59" s="1"/>
  <c r="Z29" i="59"/>
  <c r="AA102" i="59"/>
  <c r="AA105" i="59"/>
  <c r="AA27" i="59"/>
  <c r="AA30" i="59"/>
  <c r="C12" i="59"/>
  <c r="C15" i="59" s="1"/>
  <c r="C14" i="59"/>
  <c r="Z71" i="59"/>
  <c r="Y69" i="59"/>
  <c r="Y66" i="59" s="1"/>
  <c r="Z74" i="59"/>
  <c r="D117" i="59"/>
  <c r="D120" i="59"/>
  <c r="Z41" i="59"/>
  <c r="Y39" i="59"/>
  <c r="Y36" i="59" s="1"/>
  <c r="Z44" i="59"/>
  <c r="C116" i="59"/>
  <c r="C119" i="59"/>
  <c r="D87" i="59"/>
  <c r="D90" i="59"/>
  <c r="AA42" i="59"/>
  <c r="AA45" i="59"/>
  <c r="Z86" i="59"/>
  <c r="Y84" i="59"/>
  <c r="Y81" i="59" s="1"/>
  <c r="Z89" i="59"/>
  <c r="AA57" i="59"/>
  <c r="AA60" i="59"/>
  <c r="Y10" i="59"/>
  <c r="Y7" i="59" s="1"/>
  <c r="Z12" i="59"/>
  <c r="Z15" i="59" s="1"/>
  <c r="Z14" i="59"/>
  <c r="C86" i="59"/>
  <c r="C89" i="59"/>
  <c r="AA87" i="59"/>
  <c r="AA90" i="59"/>
  <c r="K59" i="8"/>
  <c r="M59" i="8" s="1"/>
  <c r="C22" i="17"/>
  <c r="D79" i="17"/>
  <c r="D22" i="17"/>
  <c r="C28" i="17"/>
  <c r="D83" i="17"/>
  <c r="M56" i="8"/>
  <c r="N56" i="8"/>
  <c r="E80" i="17"/>
  <c r="C26" i="17"/>
  <c r="D23" i="17"/>
  <c r="D25" i="17"/>
  <c r="D20" i="17"/>
  <c r="C24" i="17"/>
  <c r="C83" i="17"/>
  <c r="C21" i="17"/>
  <c r="D76" i="17"/>
  <c r="D77" i="17"/>
  <c r="D75" i="17"/>
  <c r="D24" i="17"/>
  <c r="C50" i="17"/>
  <c r="D53" i="17"/>
  <c r="C81" i="17"/>
  <c r="C27" i="17"/>
  <c r="C53" i="17"/>
  <c r="C23" i="17"/>
  <c r="C76" i="17"/>
  <c r="C52" i="17"/>
  <c r="C20" i="17"/>
  <c r="C75" i="17"/>
  <c r="D51" i="17"/>
  <c r="C82" i="17"/>
  <c r="C79" i="17"/>
  <c r="C80" i="17"/>
  <c r="J39" i="35"/>
  <c r="J40" i="35" s="1"/>
  <c r="M66" i="11"/>
  <c r="M68" i="11" s="1"/>
  <c r="M74" i="11" s="1"/>
  <c r="M78" i="11" s="1"/>
  <c r="M84" i="11" s="1"/>
  <c r="C78" i="17"/>
  <c r="D80" i="17"/>
  <c r="D52" i="17"/>
  <c r="D21" i="17"/>
  <c r="C77" i="17"/>
  <c r="E77" i="17"/>
  <c r="E82" i="17"/>
  <c r="C25" i="17"/>
  <c r="H23" i="51"/>
  <c r="I23" i="51"/>
  <c r="J23" i="51"/>
  <c r="D25" i="51"/>
  <c r="E24" i="51" a="1"/>
  <c r="E24" i="51" s="1"/>
  <c r="F24" i="51" a="1"/>
  <c r="F24" i="51" s="1"/>
  <c r="G24" i="51" s="1"/>
  <c r="B24" i="51" a="1"/>
  <c r="B24" i="51" s="1"/>
  <c r="AG106" i="11"/>
  <c r="AG107" i="11" s="1"/>
  <c r="AG96" i="11"/>
  <c r="I15" i="8"/>
  <c r="I49" i="8"/>
  <c r="C13" i="38"/>
  <c r="C7" i="38" s="1"/>
  <c r="D15" i="38"/>
  <c r="D19" i="38" s="1"/>
  <c r="D18" i="38"/>
  <c r="F30" i="33"/>
  <c r="F33" i="33" s="1"/>
  <c r="E28" i="33"/>
  <c r="E22" i="33" s="1"/>
  <c r="F32" i="33"/>
  <c r="AA75" i="33"/>
  <c r="AA78" i="33" s="1"/>
  <c r="Z73" i="33"/>
  <c r="Z67" i="33" s="1"/>
  <c r="AA77" i="33"/>
  <c r="E35" i="17"/>
  <c r="E24" i="17"/>
  <c r="E17" i="17"/>
  <c r="E40" i="17" s="1"/>
  <c r="AA79" i="38"/>
  <c r="AA83" i="38" s="1"/>
  <c r="Z77" i="38"/>
  <c r="Z71" i="38" s="1"/>
  <c r="AA82" i="38"/>
  <c r="Z93" i="38"/>
  <c r="Z87" i="38" s="1"/>
  <c r="AA95" i="38"/>
  <c r="AA99" i="38" s="1"/>
  <c r="AA98" i="38"/>
  <c r="C19" i="46"/>
  <c r="C7" i="52" s="1"/>
  <c r="C8" i="52" s="1"/>
  <c r="E15" i="33"/>
  <c r="D13" i="33"/>
  <c r="D7" i="33" s="1"/>
  <c r="E17" i="33"/>
  <c r="C101" i="46"/>
  <c r="C105" i="46" s="1"/>
  <c r="C104" i="46"/>
  <c r="S21" i="35"/>
  <c r="Q22" i="35"/>
  <c r="AB80" i="38"/>
  <c r="E105" i="33"/>
  <c r="E108" i="33" s="1"/>
  <c r="Z56" i="46"/>
  <c r="Y54" i="46"/>
  <c r="Y51" i="46" s="1"/>
  <c r="Z59" i="46"/>
  <c r="D94" i="46"/>
  <c r="D102" i="46" s="1"/>
  <c r="D27" i="46"/>
  <c r="D21" i="52" s="1"/>
  <c r="D34" i="46"/>
  <c r="D42" i="46" s="1"/>
  <c r="D22" i="52" s="1"/>
  <c r="D27" i="52" s="1"/>
  <c r="D33" i="52" s="1"/>
  <c r="D79" i="46"/>
  <c r="D87" i="46" s="1"/>
  <c r="D64" i="46"/>
  <c r="D72" i="46" s="1"/>
  <c r="D109" i="46"/>
  <c r="D117" i="46" s="1"/>
  <c r="D49" i="46"/>
  <c r="D57" i="46" s="1"/>
  <c r="D23" i="52" s="1"/>
  <c r="D28" i="52" s="1"/>
  <c r="D34" i="52" s="1"/>
  <c r="G84" i="11"/>
  <c r="G79" i="11"/>
  <c r="AH106" i="11"/>
  <c r="AH107" i="11" s="1"/>
  <c r="AH96" i="11"/>
  <c r="D84" i="11"/>
  <c r="D79" i="11"/>
  <c r="F32" i="38"/>
  <c r="Z58" i="33"/>
  <c r="Z52" i="33" s="1"/>
  <c r="AA60" i="33"/>
  <c r="AA63" i="33" s="1"/>
  <c r="AA62" i="33"/>
  <c r="M90" i="11"/>
  <c r="E31" i="38"/>
  <c r="E35" i="38" s="1"/>
  <c r="E34" i="38"/>
  <c r="C71" i="46"/>
  <c r="C75" i="46" s="1"/>
  <c r="C74" i="46"/>
  <c r="C79" i="11"/>
  <c r="C84" i="11"/>
  <c r="E76" i="17"/>
  <c r="C116" i="46"/>
  <c r="C120" i="46" s="1"/>
  <c r="C119" i="46"/>
  <c r="AA15" i="38"/>
  <c r="AA19" i="38" s="1"/>
  <c r="Z13" i="38"/>
  <c r="Z7" i="38" s="1"/>
  <c r="AA18" i="38"/>
  <c r="I74" i="11"/>
  <c r="I78" i="11" s="1"/>
  <c r="I69" i="11"/>
  <c r="I71" i="11"/>
  <c r="AI106" i="11"/>
  <c r="AI107" i="11" s="1"/>
  <c r="AI96" i="11"/>
  <c r="AF106" i="11"/>
  <c r="AF107" i="11" s="1"/>
  <c r="AF96" i="11"/>
  <c r="F84" i="11"/>
  <c r="F79" i="11"/>
  <c r="M22" i="35"/>
  <c r="M30" i="35" s="1"/>
  <c r="D22" i="35"/>
  <c r="K30" i="35"/>
  <c r="D30" i="35" s="1"/>
  <c r="AB16" i="38"/>
  <c r="Z26" i="46"/>
  <c r="Y24" i="46"/>
  <c r="Y21" i="46" s="1"/>
  <c r="Z29" i="46"/>
  <c r="F50" i="8"/>
  <c r="D50" i="8"/>
  <c r="C50" i="8"/>
  <c r="E60" i="33"/>
  <c r="E63" i="33" s="1"/>
  <c r="E62" i="33"/>
  <c r="Z71" i="46"/>
  <c r="Z75" i="46" s="1"/>
  <c r="Y69" i="46"/>
  <c r="Y66" i="46" s="1"/>
  <c r="Z74" i="46"/>
  <c r="Q33" i="35"/>
  <c r="K37" i="35"/>
  <c r="M33" i="35"/>
  <c r="M37" i="35" s="1"/>
  <c r="X106" i="11"/>
  <c r="X107" i="11" s="1"/>
  <c r="X96" i="11"/>
  <c r="R106" i="11"/>
  <c r="R107" i="11" s="1"/>
  <c r="R96" i="11"/>
  <c r="E78" i="17"/>
  <c r="N36" i="18"/>
  <c r="M36" i="18"/>
  <c r="E90" i="33"/>
  <c r="E93" i="33" s="1"/>
  <c r="E92" i="33"/>
  <c r="Y19" i="46"/>
  <c r="Y7" i="52" s="1"/>
  <c r="Z13" i="33"/>
  <c r="Z7" i="33" s="1"/>
  <c r="AA15" i="33"/>
  <c r="AA18" i="33" s="1"/>
  <c r="AA17" i="33"/>
  <c r="J47" i="18"/>
  <c r="J48" i="18" s="1"/>
  <c r="J15" i="18"/>
  <c r="AT96" i="11"/>
  <c r="AT106" i="11"/>
  <c r="AT107" i="11" s="1"/>
  <c r="AS106" i="11"/>
  <c r="AS107" i="11" s="1"/>
  <c r="AS96" i="11"/>
  <c r="W106" i="11"/>
  <c r="W107" i="11" s="1"/>
  <c r="W96" i="11"/>
  <c r="P106" i="11"/>
  <c r="P107" i="11" s="1"/>
  <c r="P96" i="11"/>
  <c r="N66" i="11"/>
  <c r="K45" i="18"/>
  <c r="K47" i="8"/>
  <c r="Z109" i="46"/>
  <c r="Z117" i="46" s="1"/>
  <c r="Z34" i="46"/>
  <c r="Z42" i="46" s="1"/>
  <c r="Z22" i="52" s="1"/>
  <c r="Z27" i="52" s="1"/>
  <c r="Z33" i="52" s="1"/>
  <c r="Z94" i="46"/>
  <c r="Z102" i="46" s="1"/>
  <c r="Z79" i="46"/>
  <c r="Z87" i="46" s="1"/>
  <c r="Z49" i="46"/>
  <c r="Z64" i="46"/>
  <c r="C12" i="46"/>
  <c r="C15" i="46" s="1"/>
  <c r="C14" i="46"/>
  <c r="J49" i="8"/>
  <c r="J15" i="8"/>
  <c r="Z109" i="38"/>
  <c r="Z103" i="38" s="1"/>
  <c r="AA111" i="38"/>
  <c r="AA114" i="38"/>
  <c r="H30" i="33"/>
  <c r="H32" i="33"/>
  <c r="K24" i="11"/>
  <c r="N22" i="11"/>
  <c r="AD96" i="11"/>
  <c r="AD106" i="11"/>
  <c r="AD107" i="11" s="1"/>
  <c r="AL106" i="11"/>
  <c r="AL107" i="11" s="1"/>
  <c r="AL96" i="11"/>
  <c r="AA27" i="46"/>
  <c r="AA21" i="52" s="1"/>
  <c r="AA26" i="52" s="1"/>
  <c r="E96" i="38"/>
  <c r="J74" i="11"/>
  <c r="J78" i="11" s="1"/>
  <c r="J71" i="11"/>
  <c r="J69" i="11"/>
  <c r="C41" i="46"/>
  <c r="C44" i="46"/>
  <c r="AN106" i="11"/>
  <c r="AN107" i="11" s="1"/>
  <c r="AN96" i="11"/>
  <c r="AM106" i="11"/>
  <c r="AM107" i="11" s="1"/>
  <c r="AM96" i="11"/>
  <c r="X127" i="46"/>
  <c r="X124" i="46" s="1"/>
  <c r="Y129" i="46"/>
  <c r="Y132" i="46" s="1"/>
  <c r="Y131" i="46"/>
  <c r="AJ106" i="11"/>
  <c r="AJ107" i="11" s="1"/>
  <c r="AJ96" i="11"/>
  <c r="AA96" i="11"/>
  <c r="AA106" i="11"/>
  <c r="AA107" i="11" s="1"/>
  <c r="AB106" i="11"/>
  <c r="AB107" i="11" s="1"/>
  <c r="AB96" i="11"/>
  <c r="Z96" i="11"/>
  <c r="Z106" i="11"/>
  <c r="Z107" i="11" s="1"/>
  <c r="AB37" i="33"/>
  <c r="AB28" i="33"/>
  <c r="AB22" i="33" s="1"/>
  <c r="AB64" i="38"/>
  <c r="N88" i="11"/>
  <c r="M88" i="11"/>
  <c r="E48" i="38"/>
  <c r="E69" i="17"/>
  <c r="E81" i="17" s="1"/>
  <c r="M44" i="8"/>
  <c r="N44" i="8"/>
  <c r="AQ96" i="11"/>
  <c r="AQ106" i="11"/>
  <c r="AQ107" i="11" s="1"/>
  <c r="U106" i="11"/>
  <c r="U107" i="11" s="1"/>
  <c r="U96" i="11"/>
  <c r="E63" i="17"/>
  <c r="M38" i="8"/>
  <c r="N38" i="8"/>
  <c r="E21" i="17"/>
  <c r="E28" i="17"/>
  <c r="E25" i="17"/>
  <c r="E51" i="17"/>
  <c r="E23" i="17"/>
  <c r="E22" i="17"/>
  <c r="E52" i="17"/>
  <c r="E27" i="17"/>
  <c r="E53" i="17"/>
  <c r="E26" i="17"/>
  <c r="E50" i="17"/>
  <c r="E20" i="17"/>
  <c r="Y39" i="46"/>
  <c r="Y36" i="46" s="1"/>
  <c r="Z41" i="46"/>
  <c r="Z44" i="46"/>
  <c r="Z88" i="33"/>
  <c r="Z82" i="33" s="1"/>
  <c r="AA90" i="33"/>
  <c r="AA93" i="33" s="1"/>
  <c r="AA92" i="33"/>
  <c r="AK106" i="11"/>
  <c r="AK107" i="11" s="1"/>
  <c r="AK96" i="11"/>
  <c r="T106" i="11"/>
  <c r="T107" i="11" s="1"/>
  <c r="T96" i="11"/>
  <c r="Y86" i="46"/>
  <c r="Y90" i="46" s="1"/>
  <c r="X84" i="46"/>
  <c r="X81" i="46" s="1"/>
  <c r="Y89" i="46"/>
  <c r="Z61" i="38"/>
  <c r="Z55" i="38" s="1"/>
  <c r="AA63" i="38"/>
  <c r="AA67" i="38" s="1"/>
  <c r="AA66" i="38"/>
  <c r="AA57" i="46"/>
  <c r="AA23" i="52" s="1"/>
  <c r="AA28" i="52" s="1"/>
  <c r="AA34" i="52" s="1"/>
  <c r="M23" i="18"/>
  <c r="M28" i="18" s="1"/>
  <c r="N23" i="18"/>
  <c r="K28" i="18"/>
  <c r="N28" i="18" s="1"/>
  <c r="N30" i="35"/>
  <c r="N39" i="35" s="1"/>
  <c r="M42" i="18"/>
  <c r="N42" i="18"/>
  <c r="Y106" i="11"/>
  <c r="Y107" i="11" s="1"/>
  <c r="Y96" i="11"/>
  <c r="Q106" i="11"/>
  <c r="Q107" i="11" s="1"/>
  <c r="Q96" i="11"/>
  <c r="C56" i="46"/>
  <c r="C59" i="46"/>
  <c r="AR106" i="11"/>
  <c r="AR107" i="11" s="1"/>
  <c r="AR96" i="11"/>
  <c r="Y12" i="46"/>
  <c r="Y15" i="46" s="1"/>
  <c r="X10" i="46"/>
  <c r="X7" i="46" s="1"/>
  <c r="Y14" i="46"/>
  <c r="AC31" i="38"/>
  <c r="AC34" i="38"/>
  <c r="Y101" i="46"/>
  <c r="Y105" i="46" s="1"/>
  <c r="X99" i="46"/>
  <c r="X96" i="46" s="1"/>
  <c r="Y104" i="46"/>
  <c r="S106" i="11"/>
  <c r="S107" i="11" s="1"/>
  <c r="S96" i="11"/>
  <c r="AO106" i="11"/>
  <c r="AO107" i="11" s="1"/>
  <c r="AO96" i="11"/>
  <c r="C26" i="46"/>
  <c r="C29" i="46"/>
  <c r="AA117" i="46"/>
  <c r="E79" i="17"/>
  <c r="M25" i="8"/>
  <c r="M30" i="8" s="1"/>
  <c r="N25" i="8"/>
  <c r="K30" i="8"/>
  <c r="P25" i="8" s="1"/>
  <c r="P22" i="35"/>
  <c r="P30" i="35" s="1"/>
  <c r="V106" i="11"/>
  <c r="V107" i="11" s="1"/>
  <c r="V96" i="11"/>
  <c r="AC106" i="11"/>
  <c r="AC107" i="11" s="1"/>
  <c r="AC96" i="11"/>
  <c r="G50" i="8"/>
  <c r="AA105" i="33"/>
  <c r="AA108" i="33" s="1"/>
  <c r="Z103" i="33"/>
  <c r="Z97" i="33" s="1"/>
  <c r="AA107" i="33"/>
  <c r="AC47" i="38"/>
  <c r="AB45" i="38"/>
  <c r="AC50" i="38"/>
  <c r="AP96" i="11"/>
  <c r="AP106" i="11"/>
  <c r="AP107" i="11" s="1"/>
  <c r="AE106" i="11"/>
  <c r="AE107" i="11" s="1"/>
  <c r="AE96" i="11"/>
  <c r="E64" i="38"/>
  <c r="I15" i="18"/>
  <c r="I47" i="18"/>
  <c r="I48" i="18" s="1"/>
  <c r="AA42" i="46"/>
  <c r="AA22" i="52" s="1"/>
  <c r="AA27" i="52" s="1"/>
  <c r="AA33" i="52" s="1"/>
  <c r="Z116" i="46"/>
  <c r="Z120" i="46" s="1"/>
  <c r="Y114" i="46"/>
  <c r="Y111" i="46" s="1"/>
  <c r="Z119" i="46"/>
  <c r="Z60" i="46" l="1"/>
  <c r="Z13" i="52"/>
  <c r="J92" i="11"/>
  <c r="J55" i="8" s="1"/>
  <c r="I92" i="11"/>
  <c r="G92" i="11"/>
  <c r="F92" i="11"/>
  <c r="D92" i="11"/>
  <c r="J89" i="11"/>
  <c r="J91" i="11"/>
  <c r="C92" i="11"/>
  <c r="Y94" i="59"/>
  <c r="Y109" i="59"/>
  <c r="Y49" i="59"/>
  <c r="Y34" i="59"/>
  <c r="Y64" i="59"/>
  <c r="Y79" i="59"/>
  <c r="AC48" i="38"/>
  <c r="AC51" i="38"/>
  <c r="Z30" i="46"/>
  <c r="Z11" i="52"/>
  <c r="C60" i="46"/>
  <c r="C13" i="52"/>
  <c r="C30" i="46"/>
  <c r="C11" i="52"/>
  <c r="Y8" i="52"/>
  <c r="F29" i="52"/>
  <c r="F35" i="52" s="1"/>
  <c r="F32" i="52"/>
  <c r="H32" i="38"/>
  <c r="H33" i="33"/>
  <c r="E16" i="38"/>
  <c r="E18" i="33"/>
  <c r="X19" i="59"/>
  <c r="AA112" i="38"/>
  <c r="AA115" i="38"/>
  <c r="C45" i="46"/>
  <c r="C12" i="52"/>
  <c r="E112" i="38"/>
  <c r="C33" i="56"/>
  <c r="D26" i="52"/>
  <c r="F33" i="52"/>
  <c r="C49" i="59"/>
  <c r="C109" i="59"/>
  <c r="C117" i="59" s="1"/>
  <c r="C34" i="59"/>
  <c r="C42" i="59" s="1"/>
  <c r="C79" i="59"/>
  <c r="C64" i="59"/>
  <c r="C72" i="59" s="1"/>
  <c r="C94" i="59"/>
  <c r="AA29" i="52"/>
  <c r="AA35" i="52" s="1"/>
  <c r="AA32" i="52"/>
  <c r="AC32" i="38"/>
  <c r="AC35" i="38"/>
  <c r="Z45" i="46"/>
  <c r="Z12" i="52"/>
  <c r="Z72" i="59"/>
  <c r="Z75" i="59"/>
  <c r="C27" i="59"/>
  <c r="C30" i="59"/>
  <c r="C57" i="59"/>
  <c r="C60" i="59"/>
  <c r="Y56" i="59"/>
  <c r="X54" i="59"/>
  <c r="X51" i="59" s="1"/>
  <c r="Y59" i="59"/>
  <c r="Z57" i="59"/>
  <c r="Z60" i="59"/>
  <c r="X84" i="59"/>
  <c r="X81" i="59" s="1"/>
  <c r="Y86" i="59"/>
  <c r="Y89" i="59"/>
  <c r="C120" i="59"/>
  <c r="X24" i="59"/>
  <c r="X21" i="59" s="1"/>
  <c r="Y26" i="59"/>
  <c r="Y29" i="59"/>
  <c r="Z27" i="59"/>
  <c r="Z30" i="59"/>
  <c r="Y129" i="59"/>
  <c r="Y132" i="59" s="1"/>
  <c r="X127" i="59"/>
  <c r="X124" i="59" s="1"/>
  <c r="Y131" i="59"/>
  <c r="C87" i="59"/>
  <c r="C90" i="59"/>
  <c r="X39" i="59"/>
  <c r="X36" i="59" s="1"/>
  <c r="Y41" i="59"/>
  <c r="Y44" i="59"/>
  <c r="C75" i="59"/>
  <c r="Z42" i="59"/>
  <c r="Z45" i="59"/>
  <c r="Z102" i="59"/>
  <c r="Z105" i="59"/>
  <c r="X99" i="59"/>
  <c r="X96" i="59" s="1"/>
  <c r="Y101" i="59"/>
  <c r="Y104" i="59"/>
  <c r="Y116" i="59"/>
  <c r="X114" i="59"/>
  <c r="X111" i="59" s="1"/>
  <c r="Y119" i="59"/>
  <c r="C102" i="59"/>
  <c r="C105" i="59"/>
  <c r="X10" i="59"/>
  <c r="X7" i="59" s="1"/>
  <c r="Y12" i="59"/>
  <c r="Y15" i="59" s="1"/>
  <c r="Y14" i="59"/>
  <c r="Z117" i="59"/>
  <c r="Z120" i="59"/>
  <c r="Z87" i="59"/>
  <c r="Z90" i="59"/>
  <c r="C45" i="59"/>
  <c r="Y71" i="59"/>
  <c r="X69" i="59"/>
  <c r="X66" i="59" s="1"/>
  <c r="Y74" i="59"/>
  <c r="N59" i="8"/>
  <c r="K26" i="11"/>
  <c r="M39" i="35"/>
  <c r="K39" i="35"/>
  <c r="D39" i="35" s="1"/>
  <c r="D26" i="51"/>
  <c r="D27" i="51" s="1"/>
  <c r="D28" i="51" s="1"/>
  <c r="C27" i="51"/>
  <c r="B26" i="51" a="1"/>
  <c r="B26" i="51" s="1"/>
  <c r="F26" i="51" a="1"/>
  <c r="F26" i="51" s="1"/>
  <c r="G26" i="51" s="1"/>
  <c r="E26" i="51" a="1"/>
  <c r="E26" i="51" s="1"/>
  <c r="E25" i="51" a="1"/>
  <c r="E25" i="51" s="1"/>
  <c r="F25" i="51" a="1"/>
  <c r="F25" i="51" s="1"/>
  <c r="G25" i="51" s="1"/>
  <c r="B25" i="51" a="1"/>
  <c r="B25" i="51" s="1"/>
  <c r="J24" i="51"/>
  <c r="I24" i="51"/>
  <c r="H24" i="51"/>
  <c r="I84" i="11"/>
  <c r="I79" i="11"/>
  <c r="Y26" i="46"/>
  <c r="Y27" i="46" s="1"/>
  <c r="Y21" i="52" s="1"/>
  <c r="Y26" i="52" s="1"/>
  <c r="X24" i="46"/>
  <c r="X21" i="46" s="1"/>
  <c r="Y29" i="46"/>
  <c r="D15" i="33"/>
  <c r="D18" i="33" s="1"/>
  <c r="C13" i="33"/>
  <c r="C7" i="33" s="1"/>
  <c r="D17" i="33"/>
  <c r="Z75" i="33"/>
  <c r="Z78" i="33" s="1"/>
  <c r="Y73" i="33"/>
  <c r="Y67" i="33" s="1"/>
  <c r="Z77" i="33"/>
  <c r="Z15" i="38"/>
  <c r="Y13" i="38"/>
  <c r="Y7" i="38" s="1"/>
  <c r="Z18" i="38"/>
  <c r="N45" i="18"/>
  <c r="K44" i="18"/>
  <c r="Q37" i="35"/>
  <c r="P33" i="35"/>
  <c r="P37" i="35" s="1"/>
  <c r="P39" i="35" s="1"/>
  <c r="P40" i="35" s="1"/>
  <c r="AA16" i="38"/>
  <c r="C94" i="46"/>
  <c r="C102" i="46" s="1"/>
  <c r="C64" i="46"/>
  <c r="C72" i="46" s="1"/>
  <c r="C109" i="46"/>
  <c r="C117" i="46" s="1"/>
  <c r="C27" i="46"/>
  <c r="C21" i="52" s="1"/>
  <c r="C79" i="46"/>
  <c r="C87" i="46" s="1"/>
  <c r="C49" i="46"/>
  <c r="C57" i="46" s="1"/>
  <c r="C23" i="52" s="1"/>
  <c r="C28" i="52" s="1"/>
  <c r="C34" i="52" s="1"/>
  <c r="C34" i="46"/>
  <c r="C42" i="46" s="1"/>
  <c r="C22" i="52" s="1"/>
  <c r="C27" i="52" s="1"/>
  <c r="C33" i="52" s="1"/>
  <c r="E75" i="17"/>
  <c r="X19" i="46"/>
  <c r="X7" i="52" s="1"/>
  <c r="Z15" i="33"/>
  <c r="Z18" i="33" s="1"/>
  <c r="Y13" i="33"/>
  <c r="Y7" i="33" s="1"/>
  <c r="Z17" i="33"/>
  <c r="Z60" i="33"/>
  <c r="Z63" i="33" s="1"/>
  <c r="Y58" i="33"/>
  <c r="Y52" i="33" s="1"/>
  <c r="Z62" i="33"/>
  <c r="X39" i="46"/>
  <c r="X36" i="46" s="1"/>
  <c r="Y41" i="46"/>
  <c r="Y44" i="46"/>
  <c r="Y109" i="46"/>
  <c r="Y94" i="46"/>
  <c r="Y102" i="46" s="1"/>
  <c r="Y79" i="46"/>
  <c r="Y87" i="46" s="1"/>
  <c r="Y49" i="46"/>
  <c r="Y34" i="46"/>
  <c r="Y64" i="46"/>
  <c r="X69" i="46"/>
  <c r="X66" i="46" s="1"/>
  <c r="Y71" i="46"/>
  <c r="Y75" i="46" s="1"/>
  <c r="Y74" i="46"/>
  <c r="X54" i="46"/>
  <c r="X51" i="46" s="1"/>
  <c r="Y56" i="46"/>
  <c r="Y59" i="46"/>
  <c r="E30" i="33"/>
  <c r="E32" i="33"/>
  <c r="X12" i="46"/>
  <c r="X15" i="46" s="1"/>
  <c r="W10" i="46"/>
  <c r="W7" i="46" s="1"/>
  <c r="X14" i="46"/>
  <c r="AA96" i="38"/>
  <c r="AA43" i="33"/>
  <c r="AA37" i="33" s="1"/>
  <c r="AB45" i="33"/>
  <c r="AB48" i="33" s="1"/>
  <c r="AB47" i="33"/>
  <c r="C85" i="11"/>
  <c r="D85" i="11"/>
  <c r="Y93" i="38"/>
  <c r="Y87" i="38" s="1"/>
  <c r="Z95" i="38"/>
  <c r="Z98" i="38"/>
  <c r="K68" i="11"/>
  <c r="K16" i="18"/>
  <c r="N24" i="11"/>
  <c r="K16" i="8"/>
  <c r="Y88" i="33"/>
  <c r="Y82" i="33" s="1"/>
  <c r="Z90" i="33"/>
  <c r="Z93" i="33" s="1"/>
  <c r="Z92" i="33"/>
  <c r="J50" i="8"/>
  <c r="F85" i="11"/>
  <c r="D16" i="38"/>
  <c r="K46" i="8"/>
  <c r="N47" i="8"/>
  <c r="Z105" i="33"/>
  <c r="Z108" i="33" s="1"/>
  <c r="Y103" i="33"/>
  <c r="Y97" i="33" s="1"/>
  <c r="Z107" i="33"/>
  <c r="J84" i="11"/>
  <c r="J79" i="11"/>
  <c r="Z79" i="38"/>
  <c r="Y77" i="38"/>
  <c r="Y71" i="38" s="1"/>
  <c r="Z82" i="38"/>
  <c r="C15" i="38"/>
  <c r="C19" i="38" s="1"/>
  <c r="C18" i="38"/>
  <c r="Y109" i="38"/>
  <c r="Y103" i="38" s="1"/>
  <c r="Z111" i="38"/>
  <c r="Z115" i="38" s="1"/>
  <c r="Z114" i="38"/>
  <c r="Y61" i="38"/>
  <c r="Y55" i="38" s="1"/>
  <c r="Z63" i="38"/>
  <c r="Z67" i="38" s="1"/>
  <c r="Z66" i="38"/>
  <c r="Z72" i="46"/>
  <c r="G85" i="11"/>
  <c r="S22" i="35"/>
  <c r="S30" i="35" s="1"/>
  <c r="Q30" i="35"/>
  <c r="AA80" i="38"/>
  <c r="I50" i="8"/>
  <c r="AB29" i="38"/>
  <c r="AB23" i="38" s="1"/>
  <c r="AB39" i="38"/>
  <c r="AB30" i="33"/>
  <c r="AB33" i="33" s="1"/>
  <c r="AA28" i="33"/>
  <c r="AA22" i="33" s="1"/>
  <c r="AB32" i="33"/>
  <c r="AA64" i="38"/>
  <c r="X86" i="46"/>
  <c r="X90" i="46" s="1"/>
  <c r="W84" i="46"/>
  <c r="W81" i="46" s="1"/>
  <c r="X89" i="46"/>
  <c r="Z57" i="46"/>
  <c r="Z23" i="52" s="1"/>
  <c r="Z28" i="52" s="1"/>
  <c r="Z34" i="52" s="1"/>
  <c r="Y116" i="46"/>
  <c r="Y120" i="46" s="1"/>
  <c r="X114" i="46"/>
  <c r="X111" i="46" s="1"/>
  <c r="Y119" i="46"/>
  <c r="W99" i="46"/>
  <c r="W96" i="46" s="1"/>
  <c r="X101" i="46"/>
  <c r="X105" i="46" s="1"/>
  <c r="X104" i="46"/>
  <c r="N30" i="8"/>
  <c r="P22" i="8"/>
  <c r="P27" i="8"/>
  <c r="P26" i="8"/>
  <c r="P23" i="8"/>
  <c r="P28" i="8"/>
  <c r="P29" i="8"/>
  <c r="P24" i="8"/>
  <c r="P21" i="8"/>
  <c r="X129" i="46"/>
  <c r="X132" i="46" s="1"/>
  <c r="W127" i="46"/>
  <c r="W124" i="46" s="1"/>
  <c r="X131" i="46"/>
  <c r="Z27" i="46"/>
  <c r="Z21" i="52" s="1"/>
  <c r="Z26" i="52" s="1"/>
  <c r="Y32" i="52" l="1"/>
  <c r="X79" i="59"/>
  <c r="X64" i="59"/>
  <c r="X109" i="59"/>
  <c r="X49" i="59"/>
  <c r="X34" i="59"/>
  <c r="X94" i="59"/>
  <c r="Y45" i="46"/>
  <c r="Y12" i="52"/>
  <c r="K92" i="11"/>
  <c r="K55" i="8" s="1"/>
  <c r="C55" i="8"/>
  <c r="C60" i="8" s="1"/>
  <c r="C62" i="8" s="1"/>
  <c r="C93" i="11"/>
  <c r="C95" i="11" s="1"/>
  <c r="C96" i="11" s="1"/>
  <c r="Z96" i="38"/>
  <c r="Z99" i="38"/>
  <c r="W19" i="59"/>
  <c r="J53" i="8"/>
  <c r="M91" i="11"/>
  <c r="N91" i="11"/>
  <c r="J58" i="8"/>
  <c r="N89" i="11"/>
  <c r="M89" i="11"/>
  <c r="M93" i="11" s="1"/>
  <c r="M95" i="11" s="1"/>
  <c r="M106" i="11" s="1"/>
  <c r="J93" i="11"/>
  <c r="X8" i="52"/>
  <c r="Z16" i="38"/>
  <c r="Z19" i="38"/>
  <c r="D29" i="52"/>
  <c r="D35" i="52" s="1"/>
  <c r="D32" i="52"/>
  <c r="D55" i="8"/>
  <c r="D60" i="8" s="1"/>
  <c r="D62" i="8" s="1"/>
  <c r="D93" i="11"/>
  <c r="D95" i="11" s="1"/>
  <c r="D96" i="11" s="1"/>
  <c r="F55" i="8"/>
  <c r="F60" i="8" s="1"/>
  <c r="F62" i="8" s="1"/>
  <c r="F93" i="11"/>
  <c r="F95" i="11" s="1"/>
  <c r="F96" i="11" s="1"/>
  <c r="Y30" i="46"/>
  <c r="Y11" i="52"/>
  <c r="Z29" i="52"/>
  <c r="Z35" i="52" s="1"/>
  <c r="Z32" i="52"/>
  <c r="G55" i="8"/>
  <c r="G60" i="8" s="1"/>
  <c r="G62" i="8" s="1"/>
  <c r="G93" i="11"/>
  <c r="G95" i="11" s="1"/>
  <c r="G96" i="11" s="1"/>
  <c r="G27" i="51"/>
  <c r="I55" i="8"/>
  <c r="I60" i="8" s="1"/>
  <c r="I62" i="8" s="1"/>
  <c r="I63" i="8" s="1"/>
  <c r="I93" i="11"/>
  <c r="Y60" i="46"/>
  <c r="Y13" i="52"/>
  <c r="K40" i="35"/>
  <c r="Z80" i="38"/>
  <c r="Z83" i="38"/>
  <c r="C32" i="56"/>
  <c r="C26" i="52"/>
  <c r="E32" i="38"/>
  <c r="E33" i="33"/>
  <c r="X116" i="59"/>
  <c r="W114" i="59"/>
  <c r="W111" i="59" s="1"/>
  <c r="X119" i="59"/>
  <c r="X56" i="59"/>
  <c r="W54" i="59"/>
  <c r="W51" i="59" s="1"/>
  <c r="X59" i="59"/>
  <c r="W84" i="59"/>
  <c r="W81" i="59" s="1"/>
  <c r="X86" i="59"/>
  <c r="X89" i="59"/>
  <c r="Y42" i="59"/>
  <c r="Y45" i="59"/>
  <c r="X12" i="59"/>
  <c r="X15" i="59" s="1"/>
  <c r="W10" i="59"/>
  <c r="W7" i="59" s="1"/>
  <c r="X14" i="59"/>
  <c r="Y87" i="59"/>
  <c r="Y90" i="59"/>
  <c r="W39" i="59"/>
  <c r="W36" i="59" s="1"/>
  <c r="X41" i="59"/>
  <c r="X44" i="59"/>
  <c r="Y57" i="59"/>
  <c r="Y60" i="59"/>
  <c r="Y102" i="59"/>
  <c r="Y105" i="59"/>
  <c r="X129" i="59"/>
  <c r="X132" i="59" s="1"/>
  <c r="W127" i="59"/>
  <c r="W124" i="59" s="1"/>
  <c r="X131" i="59"/>
  <c r="Y27" i="59"/>
  <c r="Y30" i="59"/>
  <c r="Y117" i="59"/>
  <c r="Y120" i="59"/>
  <c r="W69" i="59"/>
  <c r="W66" i="59" s="1"/>
  <c r="X71" i="59"/>
  <c r="X74" i="59"/>
  <c r="Y72" i="59"/>
  <c r="Y75" i="59"/>
  <c r="X101" i="59"/>
  <c r="W99" i="59"/>
  <c r="W96" i="59" s="1"/>
  <c r="X104" i="59"/>
  <c r="X26" i="59"/>
  <c r="W24" i="59"/>
  <c r="W21" i="59" s="1"/>
  <c r="X29" i="59"/>
  <c r="K17" i="8"/>
  <c r="N26" i="11"/>
  <c r="M26" i="11"/>
  <c r="M28" i="11" s="1"/>
  <c r="K28" i="11"/>
  <c r="C28" i="51"/>
  <c r="C35" i="51" s="1"/>
  <c r="E27" i="51"/>
  <c r="E28" i="51" s="1"/>
  <c r="H26" i="51"/>
  <c r="I26" i="51"/>
  <c r="J26" i="51"/>
  <c r="H25" i="51"/>
  <c r="J25" i="51"/>
  <c r="I25" i="51"/>
  <c r="G106" i="11"/>
  <c r="G107" i="11" s="1"/>
  <c r="X73" i="33"/>
  <c r="X67" i="33" s="1"/>
  <c r="Y75" i="33"/>
  <c r="Y78" i="33" s="1"/>
  <c r="Y77" i="33"/>
  <c r="X109" i="38"/>
  <c r="X103" i="38" s="1"/>
  <c r="Y111" i="38"/>
  <c r="Y114" i="38"/>
  <c r="W86" i="46"/>
  <c r="W90" i="46" s="1"/>
  <c r="V84" i="46"/>
  <c r="V81" i="46" s="1"/>
  <c r="W89" i="46"/>
  <c r="W12" i="46"/>
  <c r="W15" i="46" s="1"/>
  <c r="V10" i="46"/>
  <c r="V7" i="46" s="1"/>
  <c r="W14" i="46"/>
  <c r="X58" i="33"/>
  <c r="X52" i="33" s="1"/>
  <c r="Y60" i="33"/>
  <c r="Y63" i="33" s="1"/>
  <c r="Y62" i="33"/>
  <c r="N68" i="11"/>
  <c r="K69" i="11"/>
  <c r="K74" i="11"/>
  <c r="X13" i="38"/>
  <c r="X7" i="38" s="1"/>
  <c r="Y15" i="38"/>
  <c r="Y18" i="38"/>
  <c r="W39" i="46"/>
  <c r="W36" i="46" s="1"/>
  <c r="X41" i="46"/>
  <c r="X44" i="46"/>
  <c r="S33" i="35"/>
  <c r="S37" i="35" s="1"/>
  <c r="S39" i="35" s="1"/>
  <c r="C15" i="33"/>
  <c r="C17" i="33"/>
  <c r="X93" i="38"/>
  <c r="X87" i="38" s="1"/>
  <c r="Y95" i="38"/>
  <c r="Y99" i="38" s="1"/>
  <c r="Y98" i="38"/>
  <c r="X71" i="46"/>
  <c r="X75" i="46" s="1"/>
  <c r="W69" i="46"/>
  <c r="W66" i="46" s="1"/>
  <c r="X74" i="46"/>
  <c r="Q39" i="35"/>
  <c r="Q40" i="35" s="1"/>
  <c r="X77" i="38"/>
  <c r="X71" i="38" s="1"/>
  <c r="Y79" i="38"/>
  <c r="Y82" i="38"/>
  <c r="X56" i="46"/>
  <c r="W54" i="46"/>
  <c r="W51" i="46" s="1"/>
  <c r="X59" i="46"/>
  <c r="Y72" i="46"/>
  <c r="W19" i="46"/>
  <c r="W7" i="52" s="1"/>
  <c r="Y15" i="33"/>
  <c r="Y18" i="33" s="1"/>
  <c r="X13" i="33"/>
  <c r="X7" i="33" s="1"/>
  <c r="Y17" i="33"/>
  <c r="N44" i="18"/>
  <c r="M44" i="18"/>
  <c r="M45" i="18" s="1"/>
  <c r="E71" i="17"/>
  <c r="M46" i="8"/>
  <c r="M47" i="8" s="1"/>
  <c r="N46" i="8"/>
  <c r="V127" i="46"/>
  <c r="V124" i="46" s="1"/>
  <c r="W129" i="46"/>
  <c r="W132" i="46" s="1"/>
  <c r="W131" i="46"/>
  <c r="X103" i="33"/>
  <c r="X97" i="33" s="1"/>
  <c r="Y105" i="33"/>
  <c r="Y108" i="33" s="1"/>
  <c r="Y107" i="33"/>
  <c r="X26" i="46"/>
  <c r="W24" i="46"/>
  <c r="W21" i="46" s="1"/>
  <c r="X29" i="46"/>
  <c r="X116" i="46"/>
  <c r="X120" i="46" s="1"/>
  <c r="W114" i="46"/>
  <c r="W111" i="46" s="1"/>
  <c r="X119" i="46"/>
  <c r="Z64" i="38"/>
  <c r="AB47" i="38"/>
  <c r="AA45" i="38"/>
  <c r="AA39" i="38" s="1"/>
  <c r="AB50" i="38"/>
  <c r="Z43" i="33"/>
  <c r="Z37" i="33" s="1"/>
  <c r="AA45" i="33"/>
  <c r="AA48" i="33" s="1"/>
  <c r="AA47" i="33"/>
  <c r="Y42" i="46"/>
  <c r="Y22" i="52" s="1"/>
  <c r="Y27" i="52" s="1"/>
  <c r="Y33" i="52" s="1"/>
  <c r="X64" i="46"/>
  <c r="X94" i="46"/>
  <c r="X102" i="46" s="1"/>
  <c r="X109" i="46"/>
  <c r="X34" i="46"/>
  <c r="X79" i="46"/>
  <c r="X87" i="46" s="1"/>
  <c r="X49" i="46"/>
  <c r="X27" i="46"/>
  <c r="X21" i="52" s="1"/>
  <c r="X26" i="52" s="1"/>
  <c r="Y117" i="46"/>
  <c r="Y63" i="38"/>
  <c r="X61" i="38"/>
  <c r="X55" i="38" s="1"/>
  <c r="Y66" i="38"/>
  <c r="Y57" i="46"/>
  <c r="Y23" i="52" s="1"/>
  <c r="Y28" i="52" s="1"/>
  <c r="Y34" i="52" s="1"/>
  <c r="K47" i="18"/>
  <c r="N16" i="18"/>
  <c r="K15" i="18"/>
  <c r="F106" i="11"/>
  <c r="F107" i="11" s="1"/>
  <c r="J85" i="11"/>
  <c r="J95" i="11"/>
  <c r="J96" i="11" s="1"/>
  <c r="AA30" i="33"/>
  <c r="AA33" i="33" s="1"/>
  <c r="Z28" i="33"/>
  <c r="Z22" i="33" s="1"/>
  <c r="AA32" i="33"/>
  <c r="Y90" i="33"/>
  <c r="Y93" i="33" s="1"/>
  <c r="X88" i="33"/>
  <c r="X82" i="33" s="1"/>
  <c r="Y92" i="33"/>
  <c r="V99" i="46"/>
  <c r="V96" i="46" s="1"/>
  <c r="W101" i="46"/>
  <c r="W105" i="46" s="1"/>
  <c r="W104" i="46"/>
  <c r="AB31" i="38"/>
  <c r="AA29" i="38"/>
  <c r="AA23" i="38" s="1"/>
  <c r="AB34" i="38"/>
  <c r="K49" i="8"/>
  <c r="N16" i="8"/>
  <c r="K15" i="8"/>
  <c r="I72" i="8"/>
  <c r="I73" i="8" s="1"/>
  <c r="Z112" i="38"/>
  <c r="I85" i="11"/>
  <c r="I95" i="11"/>
  <c r="I96" i="11" s="1"/>
  <c r="X60" i="46" l="1"/>
  <c r="X13" i="52"/>
  <c r="X45" i="46"/>
  <c r="X12" i="52"/>
  <c r="F63" i="8"/>
  <c r="F72" i="8"/>
  <c r="F73" i="8" s="1"/>
  <c r="D63" i="8"/>
  <c r="D72" i="8"/>
  <c r="D73" i="8" s="1"/>
  <c r="C63" i="8"/>
  <c r="C72" i="8"/>
  <c r="C73" i="8" s="1"/>
  <c r="N55" i="8"/>
  <c r="M55" i="8"/>
  <c r="M60" i="8" s="1"/>
  <c r="Y80" i="38"/>
  <c r="Y83" i="38"/>
  <c r="K93" i="11"/>
  <c r="N93" i="11" s="1"/>
  <c r="AB32" i="38"/>
  <c r="AB35" i="38"/>
  <c r="Y16" i="38"/>
  <c r="Y19" i="38"/>
  <c r="Y112" i="38"/>
  <c r="Y115" i="38"/>
  <c r="X57" i="46"/>
  <c r="X23" i="52" s="1"/>
  <c r="X28" i="52" s="1"/>
  <c r="X34" i="52" s="1"/>
  <c r="Y64" i="38"/>
  <c r="Y67" i="38"/>
  <c r="G63" i="8"/>
  <c r="G72" i="8"/>
  <c r="G73" i="8" s="1"/>
  <c r="X32" i="52"/>
  <c r="V19" i="59"/>
  <c r="M58" i="8"/>
  <c r="N58" i="8"/>
  <c r="W8" i="52"/>
  <c r="AB48" i="38"/>
  <c r="AB51" i="38"/>
  <c r="N53" i="8"/>
  <c r="M53" i="8"/>
  <c r="J60" i="8"/>
  <c r="J62" i="8" s="1"/>
  <c r="D106" i="11"/>
  <c r="D107" i="11" s="1"/>
  <c r="X117" i="46"/>
  <c r="X30" i="46"/>
  <c r="X11" i="52"/>
  <c r="C16" i="38"/>
  <c r="C18" i="33"/>
  <c r="C106" i="11"/>
  <c r="C107" i="11" s="1"/>
  <c r="C29" i="52"/>
  <c r="C35" i="52" s="1"/>
  <c r="C32" i="52"/>
  <c r="W109" i="59"/>
  <c r="W64" i="59"/>
  <c r="W79" i="59"/>
  <c r="W94" i="59"/>
  <c r="W49" i="59"/>
  <c r="W34" i="59"/>
  <c r="Y29" i="52"/>
  <c r="Y35" i="52" s="1"/>
  <c r="X72" i="59"/>
  <c r="X75" i="59"/>
  <c r="V69" i="59"/>
  <c r="V66" i="59" s="1"/>
  <c r="W71" i="59"/>
  <c r="W74" i="59"/>
  <c r="V10" i="59"/>
  <c r="V7" i="59" s="1"/>
  <c r="W12" i="59"/>
  <c r="W15" i="59" s="1"/>
  <c r="W14" i="59"/>
  <c r="W56" i="59"/>
  <c r="V54" i="59"/>
  <c r="V51" i="59" s="1"/>
  <c r="W59" i="59"/>
  <c r="X57" i="59"/>
  <c r="X60" i="59"/>
  <c r="W129" i="59"/>
  <c r="W132" i="59" s="1"/>
  <c r="V127" i="59"/>
  <c r="V124" i="59" s="1"/>
  <c r="W131" i="59"/>
  <c r="V84" i="59"/>
  <c r="V81" i="59" s="1"/>
  <c r="W86" i="59"/>
  <c r="W89" i="59"/>
  <c r="X87" i="59"/>
  <c r="X90" i="59"/>
  <c r="W101" i="59"/>
  <c r="V99" i="59"/>
  <c r="V96" i="59" s="1"/>
  <c r="W104" i="59"/>
  <c r="X42" i="59"/>
  <c r="X45" i="59"/>
  <c r="W116" i="59"/>
  <c r="V114" i="59"/>
  <c r="V111" i="59" s="1"/>
  <c r="W119" i="59"/>
  <c r="W26" i="59"/>
  <c r="V24" i="59"/>
  <c r="V21" i="59" s="1"/>
  <c r="W29" i="59"/>
  <c r="X27" i="59"/>
  <c r="X30" i="59"/>
  <c r="X102" i="59"/>
  <c r="X105" i="59"/>
  <c r="W41" i="59"/>
  <c r="V39" i="59"/>
  <c r="V36" i="59" s="1"/>
  <c r="W44" i="59"/>
  <c r="X117" i="59"/>
  <c r="X120" i="59"/>
  <c r="N28" i="11"/>
  <c r="K18" i="8"/>
  <c r="N18" i="8" s="1"/>
  <c r="N17" i="8"/>
  <c r="M17" i="8"/>
  <c r="K60" i="8"/>
  <c r="N60" i="8" s="1"/>
  <c r="V39" i="46"/>
  <c r="V36" i="46" s="1"/>
  <c r="W41" i="46"/>
  <c r="W44" i="46"/>
  <c r="Z30" i="33"/>
  <c r="Z33" i="33" s="1"/>
  <c r="Y28" i="33"/>
  <c r="Y22" i="33" s="1"/>
  <c r="Z32" i="33"/>
  <c r="U99" i="46"/>
  <c r="U96" i="46" s="1"/>
  <c r="V101" i="46"/>
  <c r="V105" i="46" s="1"/>
  <c r="V104" i="46"/>
  <c r="N74" i="11"/>
  <c r="K78" i="11"/>
  <c r="W109" i="38"/>
  <c r="W103" i="38" s="1"/>
  <c r="X111" i="38"/>
  <c r="X114" i="38"/>
  <c r="J106" i="11"/>
  <c r="J107" i="11" s="1"/>
  <c r="V86" i="46"/>
  <c r="V90" i="46" s="1"/>
  <c r="U84" i="46"/>
  <c r="U81" i="46" s="1"/>
  <c r="V89" i="46"/>
  <c r="N47" i="18"/>
  <c r="K48" i="18"/>
  <c r="N15" i="8"/>
  <c r="M15" i="8"/>
  <c r="M16" i="8" s="1"/>
  <c r="M49" i="8" s="1"/>
  <c r="X42" i="46"/>
  <c r="X22" i="52" s="1"/>
  <c r="X27" i="52" s="1"/>
  <c r="X33" i="52" s="1"/>
  <c r="Z29" i="38"/>
  <c r="Z23" i="38" s="1"/>
  <c r="AA31" i="38"/>
  <c r="AA34" i="38"/>
  <c r="W34" i="46"/>
  <c r="W42" i="46" s="1"/>
  <c r="W22" i="52" s="1"/>
  <c r="W27" i="52" s="1"/>
  <c r="W33" i="52" s="1"/>
  <c r="W109" i="46"/>
  <c r="W117" i="46" s="1"/>
  <c r="W94" i="46"/>
  <c r="W102" i="46" s="1"/>
  <c r="W49" i="46"/>
  <c r="W79" i="46"/>
  <c r="W87" i="46" s="1"/>
  <c r="W64" i="46"/>
  <c r="V12" i="46"/>
  <c r="V15" i="46" s="1"/>
  <c r="U10" i="46"/>
  <c r="U7" i="46" s="1"/>
  <c r="V14" i="46"/>
  <c r="X15" i="38"/>
  <c r="X19" i="38" s="1"/>
  <c r="W13" i="38"/>
  <c r="W7" i="38" s="1"/>
  <c r="X18" i="38"/>
  <c r="V19" i="46"/>
  <c r="V7" i="52" s="1"/>
  <c r="V8" i="52" s="1"/>
  <c r="X15" i="33"/>
  <c r="X18" i="33" s="1"/>
  <c r="W13" i="33"/>
  <c r="W7" i="33" s="1"/>
  <c r="U19" i="59" s="1"/>
  <c r="X17" i="33"/>
  <c r="Y43" i="33"/>
  <c r="Y37" i="33" s="1"/>
  <c r="Z45" i="33"/>
  <c r="Z48" i="33" s="1"/>
  <c r="Z47" i="33"/>
  <c r="Y96" i="38"/>
  <c r="M15" i="18"/>
  <c r="M16" i="18" s="1"/>
  <c r="M47" i="18" s="1"/>
  <c r="M48" i="18" s="1"/>
  <c r="N15" i="18"/>
  <c r="V24" i="46"/>
  <c r="V21" i="46" s="1"/>
  <c r="W26" i="46"/>
  <c r="W29" i="46"/>
  <c r="W103" i="33"/>
  <c r="W97" i="33" s="1"/>
  <c r="X105" i="33"/>
  <c r="X108" i="33" s="1"/>
  <c r="X107" i="33"/>
  <c r="X95" i="38"/>
  <c r="W93" i="38"/>
  <c r="W87" i="38" s="1"/>
  <c r="X98" i="38"/>
  <c r="W73" i="33"/>
  <c r="W67" i="33" s="1"/>
  <c r="X75" i="33"/>
  <c r="X78" i="33" s="1"/>
  <c r="X77" i="33"/>
  <c r="E83" i="17"/>
  <c r="E72" i="17"/>
  <c r="V114" i="46"/>
  <c r="V111" i="46" s="1"/>
  <c r="W116" i="46"/>
  <c r="W120" i="46" s="1"/>
  <c r="W119" i="46"/>
  <c r="W71" i="46"/>
  <c r="W75" i="46" s="1"/>
  <c r="V69" i="46"/>
  <c r="V66" i="46" s="1"/>
  <c r="W74" i="46"/>
  <c r="X72" i="46"/>
  <c r="I106" i="11"/>
  <c r="I107" i="11" s="1"/>
  <c r="X90" i="33"/>
  <c r="X93" i="33" s="1"/>
  <c r="W88" i="33"/>
  <c r="W82" i="33" s="1"/>
  <c r="X92" i="33"/>
  <c r="W56" i="46"/>
  <c r="V54" i="46"/>
  <c r="V51" i="46" s="1"/>
  <c r="W59" i="46"/>
  <c r="U127" i="46"/>
  <c r="U124" i="46" s="1"/>
  <c r="V129" i="46"/>
  <c r="V132" i="46" s="1"/>
  <c r="V131" i="46"/>
  <c r="K50" i="8"/>
  <c r="N49" i="8"/>
  <c r="X79" i="38"/>
  <c r="W77" i="38"/>
  <c r="W71" i="38" s="1"/>
  <c r="X82" i="38"/>
  <c r="X63" i="38"/>
  <c r="X67" i="38" s="1"/>
  <c r="W61" i="38"/>
  <c r="W55" i="38" s="1"/>
  <c r="X66" i="38"/>
  <c r="AA47" i="38"/>
  <c r="Z45" i="38"/>
  <c r="Z39" i="38" s="1"/>
  <c r="AA50" i="38"/>
  <c r="X60" i="33"/>
  <c r="X63" i="33" s="1"/>
  <c r="W58" i="33"/>
  <c r="W52" i="33" s="1"/>
  <c r="X62" i="33"/>
  <c r="V34" i="59" l="1"/>
  <c r="V79" i="59"/>
  <c r="V109" i="59"/>
  <c r="V94" i="59"/>
  <c r="V49" i="59"/>
  <c r="V64" i="59"/>
  <c r="X29" i="52"/>
  <c r="X35" i="52" s="1"/>
  <c r="U79" i="59"/>
  <c r="U49" i="59"/>
  <c r="U94" i="59"/>
  <c r="U64" i="59"/>
  <c r="U109" i="59"/>
  <c r="U34" i="59"/>
  <c r="AA32" i="38"/>
  <c r="AA35" i="38"/>
  <c r="W30" i="46"/>
  <c r="W11" i="52"/>
  <c r="X80" i="38"/>
  <c r="X83" i="38"/>
  <c r="J63" i="8"/>
  <c r="J72" i="8"/>
  <c r="J73" i="8" s="1"/>
  <c r="W60" i="46"/>
  <c r="W13" i="52"/>
  <c r="AA48" i="38"/>
  <c r="AA51" i="38"/>
  <c r="X96" i="38"/>
  <c r="X99" i="38"/>
  <c r="W45" i="46"/>
  <c r="W12" i="52"/>
  <c r="X112" i="38"/>
  <c r="X115" i="38"/>
  <c r="U24" i="59"/>
  <c r="U21" i="59" s="1"/>
  <c r="V26" i="59"/>
  <c r="V29" i="59"/>
  <c r="W27" i="59"/>
  <c r="W30" i="59"/>
  <c r="W72" i="59"/>
  <c r="W75" i="59"/>
  <c r="V56" i="59"/>
  <c r="U54" i="59"/>
  <c r="U51" i="59" s="1"/>
  <c r="V59" i="59"/>
  <c r="V101" i="59"/>
  <c r="U99" i="59"/>
  <c r="U96" i="59" s="1"/>
  <c r="V104" i="59"/>
  <c r="V12" i="59"/>
  <c r="V15" i="59" s="1"/>
  <c r="U10" i="59"/>
  <c r="U7" i="59" s="1"/>
  <c r="V14" i="59"/>
  <c r="U69" i="59"/>
  <c r="U66" i="59" s="1"/>
  <c r="V71" i="59"/>
  <c r="V74" i="59"/>
  <c r="V129" i="59"/>
  <c r="V132" i="59" s="1"/>
  <c r="U127" i="59"/>
  <c r="U124" i="59" s="1"/>
  <c r="V131" i="59"/>
  <c r="W117" i="59"/>
  <c r="W120" i="59"/>
  <c r="W57" i="59"/>
  <c r="W60" i="59"/>
  <c r="W102" i="59"/>
  <c r="W105" i="59"/>
  <c r="W87" i="59"/>
  <c r="W90" i="59"/>
  <c r="U114" i="59"/>
  <c r="U111" i="59" s="1"/>
  <c r="V116" i="59"/>
  <c r="V119" i="59"/>
  <c r="U39" i="59"/>
  <c r="U36" i="59" s="1"/>
  <c r="V41" i="59"/>
  <c r="V44" i="59"/>
  <c r="W42" i="59"/>
  <c r="W45" i="59"/>
  <c r="U84" i="59"/>
  <c r="U81" i="59" s="1"/>
  <c r="V86" i="59"/>
  <c r="V89" i="59"/>
  <c r="K62" i="8"/>
  <c r="K63" i="8" s="1"/>
  <c r="M18" i="8"/>
  <c r="U54" i="46"/>
  <c r="U51" i="46" s="1"/>
  <c r="V56" i="46"/>
  <c r="V59" i="46"/>
  <c r="U69" i="46"/>
  <c r="U66" i="46" s="1"/>
  <c r="V71" i="46"/>
  <c r="V75" i="46" s="1"/>
  <c r="V74" i="46"/>
  <c r="V109" i="38"/>
  <c r="V103" i="38" s="1"/>
  <c r="W111" i="38"/>
  <c r="W114" i="38"/>
  <c r="V58" i="33"/>
  <c r="V52" i="33" s="1"/>
  <c r="W60" i="33"/>
  <c r="W63" i="33" s="1"/>
  <c r="W62" i="33"/>
  <c r="N62" i="8"/>
  <c r="K72" i="8"/>
  <c r="K73" i="8" s="1"/>
  <c r="V103" i="33"/>
  <c r="V97" i="33" s="1"/>
  <c r="W105" i="33"/>
  <c r="W108" i="33" s="1"/>
  <c r="W107" i="33"/>
  <c r="Z31" i="38"/>
  <c r="Y29" i="38"/>
  <c r="Y23" i="38" s="1"/>
  <c r="Z34" i="38"/>
  <c r="V13" i="38"/>
  <c r="V7" i="38" s="1"/>
  <c r="W15" i="38"/>
  <c r="W18" i="38"/>
  <c r="M62" i="8"/>
  <c r="M50" i="8"/>
  <c r="W72" i="46"/>
  <c r="Y30" i="33"/>
  <c r="Y33" i="33" s="1"/>
  <c r="X28" i="33"/>
  <c r="X22" i="33" s="1"/>
  <c r="Y32" i="33"/>
  <c r="V94" i="46"/>
  <c r="V102" i="46" s="1"/>
  <c r="V109" i="46"/>
  <c r="V117" i="46" s="1"/>
  <c r="V34" i="46"/>
  <c r="V42" i="46" s="1"/>
  <c r="V22" i="52" s="1"/>
  <c r="V27" i="52" s="1"/>
  <c r="V33" i="52" s="1"/>
  <c r="V49" i="46"/>
  <c r="V79" i="46"/>
  <c r="V87" i="46" s="1"/>
  <c r="V64" i="46"/>
  <c r="Z47" i="38"/>
  <c r="Y45" i="38"/>
  <c r="Y39" i="38" s="1"/>
  <c r="Z50" i="38"/>
  <c r="X16" i="38"/>
  <c r="T84" i="46"/>
  <c r="T81" i="46" s="1"/>
  <c r="U86" i="46"/>
  <c r="U90" i="46" s="1"/>
  <c r="U89" i="46"/>
  <c r="U114" i="46"/>
  <c r="U111" i="46" s="1"/>
  <c r="V116" i="46"/>
  <c r="V120" i="46" s="1"/>
  <c r="V119" i="46"/>
  <c r="U24" i="46"/>
  <c r="U21" i="46" s="1"/>
  <c r="V26" i="46"/>
  <c r="V29" i="46"/>
  <c r="T10" i="46"/>
  <c r="T7" i="46" s="1"/>
  <c r="U12" i="46"/>
  <c r="U15" i="46" s="1"/>
  <c r="U14" i="46"/>
  <c r="W27" i="46"/>
  <c r="W21" i="52" s="1"/>
  <c r="W26" i="52" s="1"/>
  <c r="K84" i="11"/>
  <c r="N78" i="11"/>
  <c r="K79" i="11"/>
  <c r="T99" i="46"/>
  <c r="T96" i="46" s="1"/>
  <c r="U101" i="46"/>
  <c r="U105" i="46" s="1"/>
  <c r="U104" i="46"/>
  <c r="W63" i="38"/>
  <c r="W67" i="38" s="1"/>
  <c r="V61" i="38"/>
  <c r="V55" i="38" s="1"/>
  <c r="W66" i="38"/>
  <c r="W90" i="33"/>
  <c r="W93" i="33" s="1"/>
  <c r="V88" i="33"/>
  <c r="V82" i="33" s="1"/>
  <c r="W92" i="33"/>
  <c r="X43" i="33"/>
  <c r="X37" i="33" s="1"/>
  <c r="Y45" i="33"/>
  <c r="Y48" i="33" s="1"/>
  <c r="Y47" i="33"/>
  <c r="W57" i="46"/>
  <c r="W23" i="52" s="1"/>
  <c r="W28" i="52" s="1"/>
  <c r="W34" i="52" s="1"/>
  <c r="U19" i="46"/>
  <c r="U7" i="52" s="1"/>
  <c r="W15" i="33"/>
  <c r="W18" i="33" s="1"/>
  <c r="V13" i="33"/>
  <c r="V7" i="33" s="1"/>
  <c r="W17" i="33"/>
  <c r="U129" i="46"/>
  <c r="U132" i="46" s="1"/>
  <c r="T127" i="46"/>
  <c r="T124" i="46" s="1"/>
  <c r="U131" i="46"/>
  <c r="X64" i="38"/>
  <c r="V73" i="33"/>
  <c r="V67" i="33" s="1"/>
  <c r="W75" i="33"/>
  <c r="W78" i="33" s="1"/>
  <c r="W77" i="33"/>
  <c r="W79" i="38"/>
  <c r="V77" i="38"/>
  <c r="V71" i="38" s="1"/>
  <c r="W82" i="38"/>
  <c r="V93" i="38"/>
  <c r="V87" i="38" s="1"/>
  <c r="W95" i="38"/>
  <c r="W99" i="38" s="1"/>
  <c r="W98" i="38"/>
  <c r="U39" i="46"/>
  <c r="U36" i="46" s="1"/>
  <c r="V41" i="46"/>
  <c r="V44" i="46"/>
  <c r="W16" i="38" l="1"/>
  <c r="U8" i="52"/>
  <c r="W19" i="38"/>
  <c r="Z48" i="38"/>
  <c r="Z51" i="38"/>
  <c r="V57" i="46"/>
  <c r="V23" i="52" s="1"/>
  <c r="V28" i="52" s="1"/>
  <c r="V34" i="52" s="1"/>
  <c r="W80" i="38"/>
  <c r="W83" i="38"/>
  <c r="Z32" i="38"/>
  <c r="Z35" i="38"/>
  <c r="V72" i="46"/>
  <c r="V30" i="46"/>
  <c r="V11" i="52"/>
  <c r="W32" i="52"/>
  <c r="W29" i="52"/>
  <c r="W35" i="52" s="1"/>
  <c r="W112" i="38"/>
  <c r="W115" i="38"/>
  <c r="V60" i="46"/>
  <c r="V13" i="52"/>
  <c r="V45" i="46"/>
  <c r="V12" i="52"/>
  <c r="T19" i="59"/>
  <c r="T114" i="59"/>
  <c r="T111" i="59" s="1"/>
  <c r="U116" i="59"/>
  <c r="U119" i="59"/>
  <c r="V117" i="59"/>
  <c r="V120" i="59"/>
  <c r="U12" i="59"/>
  <c r="U15" i="59" s="1"/>
  <c r="T10" i="59"/>
  <c r="T7" i="59" s="1"/>
  <c r="U14" i="59"/>
  <c r="V102" i="59"/>
  <c r="V105" i="59"/>
  <c r="V42" i="59"/>
  <c r="V45" i="59"/>
  <c r="V87" i="59"/>
  <c r="V90" i="59"/>
  <c r="V57" i="59"/>
  <c r="V60" i="59"/>
  <c r="T39" i="59"/>
  <c r="T36" i="59" s="1"/>
  <c r="U41" i="59"/>
  <c r="U44" i="59"/>
  <c r="V72" i="59"/>
  <c r="V75" i="59"/>
  <c r="V27" i="59"/>
  <c r="V30" i="59"/>
  <c r="U101" i="59"/>
  <c r="T99" i="59"/>
  <c r="T96" i="59" s="1"/>
  <c r="U104" i="59"/>
  <c r="T54" i="59"/>
  <c r="T51" i="59" s="1"/>
  <c r="U56" i="59"/>
  <c r="U59" i="59"/>
  <c r="T84" i="59"/>
  <c r="T81" i="59" s="1"/>
  <c r="U86" i="59"/>
  <c r="U89" i="59"/>
  <c r="U129" i="59"/>
  <c r="U132" i="59" s="1"/>
  <c r="T127" i="59"/>
  <c r="T124" i="59" s="1"/>
  <c r="U131" i="59"/>
  <c r="T69" i="59"/>
  <c r="T66" i="59" s="1"/>
  <c r="U71" i="59"/>
  <c r="U74" i="59"/>
  <c r="T24" i="59"/>
  <c r="T21" i="59" s="1"/>
  <c r="U26" i="59"/>
  <c r="U29" i="59"/>
  <c r="V79" i="38"/>
  <c r="V83" i="38" s="1"/>
  <c r="U77" i="38"/>
  <c r="U71" i="38" s="1"/>
  <c r="V82" i="38"/>
  <c r="S127" i="46"/>
  <c r="S124" i="46" s="1"/>
  <c r="T129" i="46"/>
  <c r="T132" i="46" s="1"/>
  <c r="T131" i="46"/>
  <c r="V111" i="38"/>
  <c r="U109" i="38"/>
  <c r="U103" i="38" s="1"/>
  <c r="V114" i="38"/>
  <c r="K85" i="11"/>
  <c r="N84" i="11"/>
  <c r="K95" i="11"/>
  <c r="K96" i="11" s="1"/>
  <c r="V75" i="33"/>
  <c r="V78" i="33" s="1"/>
  <c r="U73" i="33"/>
  <c r="U67" i="33" s="1"/>
  <c r="V77" i="33"/>
  <c r="W43" i="33"/>
  <c r="W37" i="33" s="1"/>
  <c r="X45" i="33"/>
  <c r="X48" i="33" s="1"/>
  <c r="X47" i="33"/>
  <c r="M63" i="8"/>
  <c r="M72" i="8"/>
  <c r="M73" i="8" s="1"/>
  <c r="S10" i="46"/>
  <c r="S7" i="46" s="1"/>
  <c r="T12" i="46"/>
  <c r="T15" i="46" s="1"/>
  <c r="T14" i="46"/>
  <c r="X29" i="38"/>
  <c r="X23" i="38" s="1"/>
  <c r="Y31" i="38"/>
  <c r="Y34" i="38"/>
  <c r="W64" i="38"/>
  <c r="U71" i="46"/>
  <c r="U75" i="46" s="1"/>
  <c r="T69" i="46"/>
  <c r="T66" i="46" s="1"/>
  <c r="U74" i="46"/>
  <c r="U58" i="33"/>
  <c r="U52" i="33" s="1"/>
  <c r="V60" i="33"/>
  <c r="V63" i="33" s="1"/>
  <c r="V62" i="33"/>
  <c r="U88" i="33"/>
  <c r="U82" i="33" s="1"/>
  <c r="V90" i="33"/>
  <c r="V93" i="33" s="1"/>
  <c r="V92" i="33"/>
  <c r="U26" i="46"/>
  <c r="T24" i="46"/>
  <c r="T21" i="46" s="1"/>
  <c r="U29" i="46"/>
  <c r="T39" i="46"/>
  <c r="T36" i="46" s="1"/>
  <c r="U41" i="46"/>
  <c r="U44" i="46"/>
  <c r="T19" i="46"/>
  <c r="T7" i="52" s="1"/>
  <c r="V15" i="33"/>
  <c r="V18" i="33" s="1"/>
  <c r="U13" i="33"/>
  <c r="U7" i="33" s="1"/>
  <c r="S19" i="59" s="1"/>
  <c r="V17" i="33"/>
  <c r="U13" i="38"/>
  <c r="U7" i="38" s="1"/>
  <c r="V15" i="38"/>
  <c r="V18" i="38"/>
  <c r="V27" i="46"/>
  <c r="V21" i="52" s="1"/>
  <c r="V26" i="52" s="1"/>
  <c r="X30" i="33"/>
  <c r="X33" i="33" s="1"/>
  <c r="W28" i="33"/>
  <c r="W22" i="33" s="1"/>
  <c r="X32" i="33"/>
  <c r="U103" i="33"/>
  <c r="U97" i="33" s="1"/>
  <c r="V105" i="33"/>
  <c r="V108" i="33" s="1"/>
  <c r="V107" i="33"/>
  <c r="X45" i="38"/>
  <c r="X39" i="38" s="1"/>
  <c r="Y47" i="38"/>
  <c r="Y50" i="38"/>
  <c r="V63" i="38"/>
  <c r="U61" i="38"/>
  <c r="U55" i="38" s="1"/>
  <c r="V66" i="38"/>
  <c r="T114" i="46"/>
  <c r="T111" i="46" s="1"/>
  <c r="U116" i="46"/>
  <c r="U120" i="46" s="1"/>
  <c r="U119" i="46"/>
  <c r="W96" i="38"/>
  <c r="V95" i="38"/>
  <c r="U93" i="38"/>
  <c r="U87" i="38" s="1"/>
  <c r="V98" i="38"/>
  <c r="U94" i="46"/>
  <c r="U102" i="46" s="1"/>
  <c r="U64" i="46"/>
  <c r="U109" i="46"/>
  <c r="U49" i="46"/>
  <c r="U57" i="46" s="1"/>
  <c r="U23" i="52" s="1"/>
  <c r="U28" i="52" s="1"/>
  <c r="U34" i="52" s="1"/>
  <c r="U34" i="46"/>
  <c r="U79" i="46"/>
  <c r="U87" i="46" s="1"/>
  <c r="S99" i="46"/>
  <c r="S96" i="46" s="1"/>
  <c r="T101" i="46"/>
  <c r="T105" i="46" s="1"/>
  <c r="T104" i="46"/>
  <c r="S84" i="46"/>
  <c r="S81" i="46" s="1"/>
  <c r="T86" i="46"/>
  <c r="T90" i="46" s="1"/>
  <c r="T89" i="46"/>
  <c r="N72" i="8"/>
  <c r="T54" i="46"/>
  <c r="T51" i="46" s="1"/>
  <c r="U56" i="46"/>
  <c r="U59" i="46"/>
  <c r="V16" i="38" l="1"/>
  <c r="V19" i="38"/>
  <c r="Y32" i="38"/>
  <c r="Y35" i="38"/>
  <c r="S64" i="59"/>
  <c r="S109" i="59"/>
  <c r="S94" i="59"/>
  <c r="S79" i="59"/>
  <c r="S34" i="59"/>
  <c r="S49" i="59"/>
  <c r="T109" i="59"/>
  <c r="T79" i="59"/>
  <c r="T94" i="59"/>
  <c r="T34" i="59"/>
  <c r="T64" i="59"/>
  <c r="T49" i="59"/>
  <c r="Y48" i="38"/>
  <c r="Y51" i="38"/>
  <c r="V112" i="38"/>
  <c r="V115" i="38"/>
  <c r="U45" i="46"/>
  <c r="U12" i="52"/>
  <c r="U72" i="46"/>
  <c r="T8" i="52"/>
  <c r="V64" i="38"/>
  <c r="V67" i="38"/>
  <c r="U30" i="46"/>
  <c r="U11" i="52"/>
  <c r="U60" i="46"/>
  <c r="U13" i="52"/>
  <c r="V96" i="38"/>
  <c r="V99" i="38"/>
  <c r="V32" i="52"/>
  <c r="V29" i="52"/>
  <c r="V35" i="52" s="1"/>
  <c r="U87" i="59"/>
  <c r="U90" i="59"/>
  <c r="S84" i="59"/>
  <c r="S81" i="59" s="1"/>
  <c r="T86" i="59"/>
  <c r="T89" i="59"/>
  <c r="U57" i="59"/>
  <c r="U60" i="59"/>
  <c r="U27" i="59"/>
  <c r="U30" i="59"/>
  <c r="S10" i="59"/>
  <c r="S7" i="59" s="1"/>
  <c r="T12" i="59"/>
  <c r="T15" i="59" s="1"/>
  <c r="T14" i="59"/>
  <c r="T56" i="59"/>
  <c r="S54" i="59"/>
  <c r="S51" i="59" s="1"/>
  <c r="T59" i="59"/>
  <c r="T26" i="59"/>
  <c r="S24" i="59"/>
  <c r="S21" i="59" s="1"/>
  <c r="T29" i="59"/>
  <c r="U72" i="59"/>
  <c r="U75" i="59"/>
  <c r="S69" i="59"/>
  <c r="S66" i="59" s="1"/>
  <c r="T71" i="59"/>
  <c r="T74" i="59"/>
  <c r="S127" i="59"/>
  <c r="S124" i="59" s="1"/>
  <c r="T129" i="59"/>
  <c r="T132" i="59" s="1"/>
  <c r="T131" i="59"/>
  <c r="U42" i="59"/>
  <c r="U45" i="59"/>
  <c r="U117" i="59"/>
  <c r="U120" i="59"/>
  <c r="T101" i="59"/>
  <c r="S99" i="59"/>
  <c r="S96" i="59" s="1"/>
  <c r="T104" i="59"/>
  <c r="U102" i="59"/>
  <c r="U105" i="59"/>
  <c r="S39" i="59"/>
  <c r="S36" i="59" s="1"/>
  <c r="T41" i="59"/>
  <c r="T44" i="59"/>
  <c r="S114" i="59"/>
  <c r="S111" i="59" s="1"/>
  <c r="T116" i="59"/>
  <c r="T119" i="59"/>
  <c r="S39" i="46"/>
  <c r="S36" i="46" s="1"/>
  <c r="T41" i="46"/>
  <c r="T44" i="46"/>
  <c r="S114" i="46"/>
  <c r="S111" i="46" s="1"/>
  <c r="T116" i="46"/>
  <c r="T120" i="46" s="1"/>
  <c r="T119" i="46"/>
  <c r="T73" i="33"/>
  <c r="T67" i="33" s="1"/>
  <c r="U75" i="33"/>
  <c r="U78" i="33" s="1"/>
  <c r="U77" i="33"/>
  <c r="U117" i="46"/>
  <c r="X31" i="38"/>
  <c r="W29" i="38"/>
  <c r="W23" i="38" s="1"/>
  <c r="X34" i="38"/>
  <c r="S86" i="46"/>
  <c r="S90" i="46" s="1"/>
  <c r="R84" i="46"/>
  <c r="R81" i="46" s="1"/>
  <c r="S89" i="46"/>
  <c r="T109" i="38"/>
  <c r="T103" i="38" s="1"/>
  <c r="U111" i="38"/>
  <c r="U115" i="38" s="1"/>
  <c r="U114" i="38"/>
  <c r="U90" i="33"/>
  <c r="U93" i="33" s="1"/>
  <c r="T88" i="33"/>
  <c r="T82" i="33" s="1"/>
  <c r="U92" i="33"/>
  <c r="S129" i="46"/>
  <c r="S132" i="46" s="1"/>
  <c r="R127" i="46"/>
  <c r="R124" i="46" s="1"/>
  <c r="S131" i="46"/>
  <c r="N95" i="11"/>
  <c r="K106" i="11"/>
  <c r="T13" i="38"/>
  <c r="T7" i="38" s="1"/>
  <c r="U15" i="38"/>
  <c r="U19" i="38" s="1"/>
  <c r="U18" i="38"/>
  <c r="W45" i="38"/>
  <c r="W39" i="38" s="1"/>
  <c r="X47" i="38"/>
  <c r="X50" i="38"/>
  <c r="U60" i="33"/>
  <c r="U63" i="33" s="1"/>
  <c r="T58" i="33"/>
  <c r="T52" i="33" s="1"/>
  <c r="U62" i="33"/>
  <c r="T26" i="46"/>
  <c r="S24" i="46"/>
  <c r="S21" i="46" s="1"/>
  <c r="T29" i="46"/>
  <c r="R99" i="46"/>
  <c r="R96" i="46" s="1"/>
  <c r="S101" i="46"/>
  <c r="S105" i="46" s="1"/>
  <c r="S104" i="46"/>
  <c r="U42" i="46"/>
  <c r="U22" i="52" s="1"/>
  <c r="U27" i="52" s="1"/>
  <c r="U33" i="52" s="1"/>
  <c r="V43" i="33"/>
  <c r="V37" i="33" s="1"/>
  <c r="W45" i="33"/>
  <c r="W48" i="33" s="1"/>
  <c r="W47" i="33"/>
  <c r="U105" i="33"/>
  <c r="U108" i="33" s="1"/>
  <c r="T103" i="33"/>
  <c r="T97" i="33" s="1"/>
  <c r="U107" i="33"/>
  <c r="R10" i="46"/>
  <c r="R7" i="46" s="1"/>
  <c r="S12" i="46"/>
  <c r="S15" i="46" s="1"/>
  <c r="S14" i="46"/>
  <c r="T94" i="46"/>
  <c r="T102" i="46" s="1"/>
  <c r="T109" i="46"/>
  <c r="T49" i="46"/>
  <c r="T34" i="46"/>
  <c r="T64" i="46"/>
  <c r="T79" i="46"/>
  <c r="T87" i="46" s="1"/>
  <c r="S69" i="46"/>
  <c r="S66" i="46" s="1"/>
  <c r="T71" i="46"/>
  <c r="T75" i="46" s="1"/>
  <c r="T74" i="46"/>
  <c r="U79" i="38"/>
  <c r="T77" i="38"/>
  <c r="T71" i="38" s="1"/>
  <c r="U82" i="38"/>
  <c r="W30" i="33"/>
  <c r="W33" i="33" s="1"/>
  <c r="V28" i="33"/>
  <c r="V22" i="33" s="1"/>
  <c r="W32" i="33"/>
  <c r="T61" i="38"/>
  <c r="T55" i="38" s="1"/>
  <c r="U63" i="38"/>
  <c r="U67" i="38" s="1"/>
  <c r="U66" i="38"/>
  <c r="U27" i="46"/>
  <c r="U21" i="52" s="1"/>
  <c r="U26" i="52" s="1"/>
  <c r="S19" i="46"/>
  <c r="S7" i="52" s="1"/>
  <c r="T13" i="33"/>
  <c r="T7" i="33" s="1"/>
  <c r="U15" i="33"/>
  <c r="U18" i="33" s="1"/>
  <c r="U17" i="33"/>
  <c r="S54" i="46"/>
  <c r="S51" i="46" s="1"/>
  <c r="T56" i="46"/>
  <c r="T59" i="46"/>
  <c r="T93" i="38"/>
  <c r="T87" i="38" s="1"/>
  <c r="U95" i="38"/>
  <c r="U98" i="38"/>
  <c r="V80" i="38"/>
  <c r="T30" i="46" l="1"/>
  <c r="T11" i="52"/>
  <c r="T45" i="46"/>
  <c r="T12" i="52"/>
  <c r="T60" i="46"/>
  <c r="T13" i="52"/>
  <c r="X32" i="38"/>
  <c r="X35" i="38"/>
  <c r="U96" i="38"/>
  <c r="U99" i="38"/>
  <c r="S8" i="52"/>
  <c r="T42" i="46"/>
  <c r="T22" i="52" s="1"/>
  <c r="T27" i="52" s="1"/>
  <c r="T33" i="52" s="1"/>
  <c r="U80" i="38"/>
  <c r="U83" i="38"/>
  <c r="U32" i="52"/>
  <c r="U29" i="52"/>
  <c r="U35" i="52" s="1"/>
  <c r="X48" i="38"/>
  <c r="X51" i="38"/>
  <c r="R19" i="59"/>
  <c r="T117" i="46"/>
  <c r="T102" i="59"/>
  <c r="T105" i="59"/>
  <c r="S101" i="59"/>
  <c r="R99" i="59"/>
  <c r="R96" i="59" s="1"/>
  <c r="S104" i="59"/>
  <c r="T87" i="59"/>
  <c r="T90" i="59"/>
  <c r="R127" i="59"/>
  <c r="R124" i="59" s="1"/>
  <c r="S129" i="59"/>
  <c r="S132" i="59" s="1"/>
  <c r="S131" i="59"/>
  <c r="R39" i="59"/>
  <c r="R36" i="59" s="1"/>
  <c r="S41" i="59"/>
  <c r="S44" i="59"/>
  <c r="R84" i="59"/>
  <c r="R81" i="59" s="1"/>
  <c r="S86" i="59"/>
  <c r="S89" i="59"/>
  <c r="R54" i="59"/>
  <c r="R51" i="59" s="1"/>
  <c r="S56" i="59"/>
  <c r="S59" i="59"/>
  <c r="R10" i="59"/>
  <c r="R7" i="59" s="1"/>
  <c r="S12" i="59"/>
  <c r="S15" i="59" s="1"/>
  <c r="S14" i="59"/>
  <c r="T117" i="59"/>
  <c r="T120" i="59"/>
  <c r="T72" i="59"/>
  <c r="T75" i="59"/>
  <c r="T42" i="59"/>
  <c r="T45" i="59"/>
  <c r="T27" i="59"/>
  <c r="T30" i="59"/>
  <c r="T57" i="59"/>
  <c r="T60" i="59"/>
  <c r="R114" i="59"/>
  <c r="R111" i="59" s="1"/>
  <c r="S116" i="59"/>
  <c r="S119" i="59"/>
  <c r="R69" i="59"/>
  <c r="R66" i="59" s="1"/>
  <c r="S71" i="59"/>
  <c r="S74" i="59"/>
  <c r="R24" i="59"/>
  <c r="R21" i="59" s="1"/>
  <c r="S26" i="59"/>
  <c r="S29" i="59"/>
  <c r="K107" i="11"/>
  <c r="C6" i="56"/>
  <c r="R101" i="46"/>
  <c r="R105" i="46" s="1"/>
  <c r="Q99" i="46"/>
  <c r="Q96" i="46" s="1"/>
  <c r="R104" i="46"/>
  <c r="V30" i="33"/>
  <c r="V33" i="33" s="1"/>
  <c r="U28" i="33"/>
  <c r="U22" i="33" s="1"/>
  <c r="V32" i="33"/>
  <c r="S93" i="38"/>
  <c r="S87" i="38" s="1"/>
  <c r="T95" i="38"/>
  <c r="T98" i="38"/>
  <c r="S73" i="33"/>
  <c r="S67" i="33" s="1"/>
  <c r="T75" i="33"/>
  <c r="T78" i="33" s="1"/>
  <c r="T77" i="33"/>
  <c r="Q10" i="46"/>
  <c r="Q7" i="46" s="1"/>
  <c r="R12" i="46"/>
  <c r="R15" i="46" s="1"/>
  <c r="R14" i="46"/>
  <c r="S71" i="46"/>
  <c r="S75" i="46" s="1"/>
  <c r="R69" i="46"/>
  <c r="R66" i="46" s="1"/>
  <c r="S74" i="46"/>
  <c r="R54" i="46"/>
  <c r="R51" i="46" s="1"/>
  <c r="S56" i="46"/>
  <c r="S59" i="46"/>
  <c r="T79" i="38"/>
  <c r="T83" i="38" s="1"/>
  <c r="S77" i="38"/>
  <c r="S71" i="38" s="1"/>
  <c r="T82" i="38"/>
  <c r="S58" i="33"/>
  <c r="S52" i="33" s="1"/>
  <c r="T60" i="33"/>
  <c r="T63" i="33" s="1"/>
  <c r="T62" i="33"/>
  <c r="T105" i="33"/>
  <c r="T108" i="33" s="1"/>
  <c r="S103" i="33"/>
  <c r="S97" i="33" s="1"/>
  <c r="T107" i="33"/>
  <c r="T90" i="33"/>
  <c r="T93" i="33" s="1"/>
  <c r="S88" i="33"/>
  <c r="S82" i="33" s="1"/>
  <c r="T92" i="33"/>
  <c r="W31" i="38"/>
  <c r="V29" i="38"/>
  <c r="V23" i="38" s="1"/>
  <c r="W34" i="38"/>
  <c r="U43" i="33"/>
  <c r="U37" i="33" s="1"/>
  <c r="V45" i="33"/>
  <c r="V48" i="33" s="1"/>
  <c r="V47" i="33"/>
  <c r="U112" i="38"/>
  <c r="R114" i="46"/>
  <c r="R111" i="46" s="1"/>
  <c r="S116" i="46"/>
  <c r="S120" i="46" s="1"/>
  <c r="S119" i="46"/>
  <c r="N106" i="11"/>
  <c r="R19" i="46"/>
  <c r="R7" i="52" s="1"/>
  <c r="S13" i="33"/>
  <c r="S7" i="33" s="1"/>
  <c r="Q19" i="59" s="1"/>
  <c r="T15" i="33"/>
  <c r="T18" i="33" s="1"/>
  <c r="T17" i="33"/>
  <c r="T111" i="38"/>
  <c r="S109" i="38"/>
  <c r="S103" i="38" s="1"/>
  <c r="T114" i="38"/>
  <c r="S64" i="46"/>
  <c r="S94" i="46"/>
  <c r="S102" i="46" s="1"/>
  <c r="S109" i="46"/>
  <c r="S49" i="46"/>
  <c r="S34" i="46"/>
  <c r="S79" i="46"/>
  <c r="S87" i="46" s="1"/>
  <c r="V45" i="38"/>
  <c r="V39" i="38" s="1"/>
  <c r="W47" i="38"/>
  <c r="W50" i="38"/>
  <c r="U16" i="38"/>
  <c r="R24" i="46"/>
  <c r="R21" i="46" s="1"/>
  <c r="S26" i="46"/>
  <c r="S29" i="46"/>
  <c r="R129" i="46"/>
  <c r="R132" i="46" s="1"/>
  <c r="Q127" i="46"/>
  <c r="Q124" i="46" s="1"/>
  <c r="R131" i="46"/>
  <c r="T72" i="46"/>
  <c r="T27" i="46"/>
  <c r="T21" i="52" s="1"/>
  <c r="T26" i="52" s="1"/>
  <c r="U64" i="38"/>
  <c r="T63" i="38"/>
  <c r="T67" i="38" s="1"/>
  <c r="S61" i="38"/>
  <c r="S55" i="38" s="1"/>
  <c r="T66" i="38"/>
  <c r="T57" i="46"/>
  <c r="T23" i="52" s="1"/>
  <c r="T28" i="52" s="1"/>
  <c r="T34" i="52" s="1"/>
  <c r="S13" i="38"/>
  <c r="S7" i="38" s="1"/>
  <c r="T15" i="38"/>
  <c r="T18" i="38"/>
  <c r="Q84" i="46"/>
  <c r="Q81" i="46" s="1"/>
  <c r="R86" i="46"/>
  <c r="R90" i="46" s="1"/>
  <c r="R89" i="46"/>
  <c r="S41" i="46"/>
  <c r="R39" i="46"/>
  <c r="R36" i="46" s="1"/>
  <c r="S44" i="46"/>
  <c r="T112" i="38" l="1"/>
  <c r="T115" i="38"/>
  <c r="S30" i="46"/>
  <c r="S11" i="52"/>
  <c r="Q109" i="59"/>
  <c r="Q64" i="59"/>
  <c r="Q49" i="59"/>
  <c r="Q34" i="59"/>
  <c r="Q94" i="59"/>
  <c r="Q79" i="59"/>
  <c r="T16" i="38"/>
  <c r="T19" i="38"/>
  <c r="T96" i="38"/>
  <c r="T99" i="38"/>
  <c r="S117" i="46"/>
  <c r="T29" i="52"/>
  <c r="T35" i="52" s="1"/>
  <c r="T32" i="52"/>
  <c r="S72" i="46"/>
  <c r="S60" i="46"/>
  <c r="S13" i="52"/>
  <c r="R109" i="59"/>
  <c r="R34" i="59"/>
  <c r="R49" i="59"/>
  <c r="R64" i="59"/>
  <c r="R79" i="59"/>
  <c r="R94" i="59"/>
  <c r="S45" i="46"/>
  <c r="S12" i="52"/>
  <c r="R8" i="52"/>
  <c r="W48" i="38"/>
  <c r="W51" i="38"/>
  <c r="S42" i="46"/>
  <c r="S22" i="52" s="1"/>
  <c r="S27" i="52" s="1"/>
  <c r="S33" i="52" s="1"/>
  <c r="W32" i="38"/>
  <c r="W35" i="38"/>
  <c r="S42" i="59"/>
  <c r="S45" i="59"/>
  <c r="R86" i="59"/>
  <c r="Q84" i="59"/>
  <c r="Q81" i="59" s="1"/>
  <c r="R89" i="59"/>
  <c r="Q10" i="59"/>
  <c r="Q7" i="59" s="1"/>
  <c r="R12" i="59"/>
  <c r="R15" i="59" s="1"/>
  <c r="R14" i="59"/>
  <c r="R101" i="59"/>
  <c r="Q99" i="59"/>
  <c r="Q96" i="59" s="1"/>
  <c r="R104" i="59"/>
  <c r="S87" i="59"/>
  <c r="S90" i="59"/>
  <c r="Q127" i="59"/>
  <c r="Q124" i="59" s="1"/>
  <c r="R129" i="59"/>
  <c r="R132" i="59" s="1"/>
  <c r="R131" i="59"/>
  <c r="Q69" i="59"/>
  <c r="Q66" i="59" s="1"/>
  <c r="R71" i="59"/>
  <c r="R74" i="59"/>
  <c r="S102" i="59"/>
  <c r="S105" i="59"/>
  <c r="S72" i="59"/>
  <c r="S75" i="59"/>
  <c r="S117" i="59"/>
  <c r="S120" i="59"/>
  <c r="S57" i="59"/>
  <c r="S60" i="59"/>
  <c r="R41" i="59"/>
  <c r="Q39" i="59"/>
  <c r="Q36" i="59" s="1"/>
  <c r="R44" i="59"/>
  <c r="S27" i="59"/>
  <c r="S30" i="59"/>
  <c r="R26" i="59"/>
  <c r="Q24" i="59"/>
  <c r="Q21" i="59" s="1"/>
  <c r="R29" i="59"/>
  <c r="Q114" i="59"/>
  <c r="Q111" i="59" s="1"/>
  <c r="R116" i="59"/>
  <c r="R119" i="59"/>
  <c r="Q54" i="59"/>
  <c r="Q51" i="59" s="1"/>
  <c r="R56" i="59"/>
  <c r="R59" i="59"/>
  <c r="E28" i="56"/>
  <c r="E26" i="56"/>
  <c r="D19" i="56"/>
  <c r="D17" i="56"/>
  <c r="H17" i="56"/>
  <c r="D28" i="56"/>
  <c r="D26" i="56"/>
  <c r="C19" i="56"/>
  <c r="C17" i="56"/>
  <c r="C28" i="56"/>
  <c r="C26" i="56"/>
  <c r="I20" i="56"/>
  <c r="I18" i="56"/>
  <c r="I16" i="56"/>
  <c r="I29" i="56"/>
  <c r="I27" i="56"/>
  <c r="I25" i="56"/>
  <c r="H20" i="56"/>
  <c r="H18" i="56"/>
  <c r="H16" i="56"/>
  <c r="H29" i="56"/>
  <c r="H27" i="56"/>
  <c r="H25" i="56"/>
  <c r="G20" i="56"/>
  <c r="G18" i="56"/>
  <c r="G16" i="56"/>
  <c r="G29" i="56"/>
  <c r="G27" i="56"/>
  <c r="G25" i="56"/>
  <c r="F20" i="56"/>
  <c r="F18" i="56"/>
  <c r="F16" i="56"/>
  <c r="I17" i="56"/>
  <c r="H26" i="56"/>
  <c r="F26" i="56"/>
  <c r="F29" i="56"/>
  <c r="F27" i="56"/>
  <c r="F25" i="56"/>
  <c r="E20" i="56"/>
  <c r="E18" i="56"/>
  <c r="E16" i="56"/>
  <c r="I26" i="56"/>
  <c r="F28" i="56"/>
  <c r="E29" i="56"/>
  <c r="E27" i="56"/>
  <c r="E25" i="56"/>
  <c r="D20" i="56"/>
  <c r="D18" i="56"/>
  <c r="D16" i="56"/>
  <c r="H19" i="56"/>
  <c r="G17" i="56"/>
  <c r="E17" i="56"/>
  <c r="D29" i="56"/>
  <c r="D27" i="56"/>
  <c r="D25" i="56"/>
  <c r="C20" i="56"/>
  <c r="C18" i="56"/>
  <c r="C16" i="56"/>
  <c r="C29" i="56"/>
  <c r="C27" i="56"/>
  <c r="C25" i="56"/>
  <c r="I19" i="56"/>
  <c r="G19" i="56"/>
  <c r="I28" i="56"/>
  <c r="H28" i="56"/>
  <c r="G28" i="56"/>
  <c r="G26" i="56"/>
  <c r="F19" i="56"/>
  <c r="F17" i="56"/>
  <c r="E19" i="56"/>
  <c r="S111" i="38"/>
  <c r="S115" i="38" s="1"/>
  <c r="R109" i="38"/>
  <c r="R103" i="38" s="1"/>
  <c r="S114" i="38"/>
  <c r="R94" i="46"/>
  <c r="R102" i="46" s="1"/>
  <c r="R109" i="46"/>
  <c r="R49" i="46"/>
  <c r="R34" i="46"/>
  <c r="R79" i="46"/>
  <c r="R87" i="46" s="1"/>
  <c r="R64" i="46"/>
  <c r="P84" i="46"/>
  <c r="P81" i="46" s="1"/>
  <c r="Q86" i="46"/>
  <c r="Q90" i="46" s="1"/>
  <c r="Q89" i="46"/>
  <c r="R73" i="33"/>
  <c r="R67" i="33" s="1"/>
  <c r="S75" i="33"/>
  <c r="S78" i="33" s="1"/>
  <c r="S77" i="33"/>
  <c r="R77" i="38"/>
  <c r="R71" i="38" s="1"/>
  <c r="S79" i="38"/>
  <c r="S83" i="38" s="1"/>
  <c r="S82" i="38"/>
  <c r="U30" i="33"/>
  <c r="U33" i="33" s="1"/>
  <c r="T28" i="33"/>
  <c r="T22" i="33" s="1"/>
  <c r="U32" i="33"/>
  <c r="Q129" i="46"/>
  <c r="Q132" i="46" s="1"/>
  <c r="P127" i="46"/>
  <c r="P124" i="46" s="1"/>
  <c r="Q131" i="46"/>
  <c r="U45" i="33"/>
  <c r="U48" i="33" s="1"/>
  <c r="T43" i="33"/>
  <c r="T37" i="33" s="1"/>
  <c r="U47" i="33"/>
  <c r="Q69" i="46"/>
  <c r="Q66" i="46" s="1"/>
  <c r="R71" i="46"/>
  <c r="R75" i="46" s="1"/>
  <c r="R74" i="46"/>
  <c r="R13" i="38"/>
  <c r="R7" i="38" s="1"/>
  <c r="S15" i="38"/>
  <c r="S19" i="38" s="1"/>
  <c r="S18" i="38"/>
  <c r="Q19" i="46"/>
  <c r="Q7" i="52" s="1"/>
  <c r="Q8" i="52" s="1"/>
  <c r="R13" i="33"/>
  <c r="R7" i="33" s="1"/>
  <c r="S15" i="33"/>
  <c r="S18" i="33" s="1"/>
  <c r="S17" i="33"/>
  <c r="T64" i="38"/>
  <c r="P10" i="46"/>
  <c r="P7" i="46" s="1"/>
  <c r="Q12" i="46"/>
  <c r="Q15" i="46" s="1"/>
  <c r="Q14" i="46"/>
  <c r="Q24" i="46"/>
  <c r="Q21" i="46" s="1"/>
  <c r="R26" i="46"/>
  <c r="R27" i="46" s="1"/>
  <c r="R21" i="52" s="1"/>
  <c r="R26" i="52" s="1"/>
  <c r="R29" i="46"/>
  <c r="V31" i="38"/>
  <c r="U29" i="38"/>
  <c r="U23" i="38" s="1"/>
  <c r="V34" i="38"/>
  <c r="R93" i="38"/>
  <c r="R87" i="38" s="1"/>
  <c r="S95" i="38"/>
  <c r="S98" i="38"/>
  <c r="V47" i="38"/>
  <c r="U45" i="38"/>
  <c r="U39" i="38" s="1"/>
  <c r="V50" i="38"/>
  <c r="S63" i="38"/>
  <c r="S67" i="38" s="1"/>
  <c r="R61" i="38"/>
  <c r="R55" i="38" s="1"/>
  <c r="S66" i="38"/>
  <c r="S90" i="33"/>
  <c r="S93" i="33" s="1"/>
  <c r="R88" i="33"/>
  <c r="R82" i="33" s="1"/>
  <c r="S92" i="33"/>
  <c r="S57" i="46"/>
  <c r="S23" i="52" s="1"/>
  <c r="S28" i="52" s="1"/>
  <c r="S34" i="52" s="1"/>
  <c r="R116" i="46"/>
  <c r="R120" i="46" s="1"/>
  <c r="Q114" i="46"/>
  <c r="Q111" i="46" s="1"/>
  <c r="R119" i="46"/>
  <c r="S105" i="33"/>
  <c r="S108" i="33" s="1"/>
  <c r="R103" i="33"/>
  <c r="R97" i="33" s="1"/>
  <c r="R107" i="33" s="1"/>
  <c r="S107" i="33"/>
  <c r="Q101" i="46"/>
  <c r="Q105" i="46" s="1"/>
  <c r="P99" i="46"/>
  <c r="P96" i="46" s="1"/>
  <c r="Q104" i="46"/>
  <c r="R58" i="33"/>
  <c r="R52" i="33" s="1"/>
  <c r="S60" i="33"/>
  <c r="S63" i="33" s="1"/>
  <c r="S62" i="33"/>
  <c r="T80" i="38"/>
  <c r="R56" i="46"/>
  <c r="Q54" i="46"/>
  <c r="Q51" i="46" s="1"/>
  <c r="R59" i="46"/>
  <c r="R41" i="46"/>
  <c r="Q39" i="46"/>
  <c r="Q36" i="46" s="1"/>
  <c r="R44" i="46"/>
  <c r="S27" i="46"/>
  <c r="S21" i="52" s="1"/>
  <c r="S26" i="52" s="1"/>
  <c r="R32" i="52" l="1"/>
  <c r="V32" i="38"/>
  <c r="V35" i="38"/>
  <c r="R72" i="46"/>
  <c r="R30" i="46"/>
  <c r="R11" i="52"/>
  <c r="V48" i="38"/>
  <c r="V51" i="38"/>
  <c r="P19" i="59"/>
  <c r="S96" i="38"/>
  <c r="S99" i="38"/>
  <c r="R45" i="46"/>
  <c r="R12" i="52"/>
  <c r="S32" i="52"/>
  <c r="S29" i="52"/>
  <c r="S35" i="52" s="1"/>
  <c r="R60" i="46"/>
  <c r="R13" i="52"/>
  <c r="Q41" i="59"/>
  <c r="P39" i="59"/>
  <c r="P36" i="59" s="1"/>
  <c r="Q44" i="59"/>
  <c r="P114" i="59"/>
  <c r="P111" i="59" s="1"/>
  <c r="Q116" i="59"/>
  <c r="Q119" i="59"/>
  <c r="Q86" i="59"/>
  <c r="P84" i="59"/>
  <c r="P81" i="59" s="1"/>
  <c r="Q89" i="59"/>
  <c r="R102" i="59"/>
  <c r="R105" i="59"/>
  <c r="Q12" i="59"/>
  <c r="Q15" i="59" s="1"/>
  <c r="P10" i="59"/>
  <c r="P7" i="59" s="1"/>
  <c r="Q14" i="59"/>
  <c r="R87" i="59"/>
  <c r="R90" i="59"/>
  <c r="Q129" i="59"/>
  <c r="Q132" i="59" s="1"/>
  <c r="P127" i="59"/>
  <c r="P124" i="59" s="1"/>
  <c r="Q131" i="59"/>
  <c r="Q101" i="59"/>
  <c r="P99" i="59"/>
  <c r="P96" i="59" s="1"/>
  <c r="Q104" i="59"/>
  <c r="R57" i="59"/>
  <c r="R60" i="59"/>
  <c r="R117" i="59"/>
  <c r="R120" i="59"/>
  <c r="Q26" i="59"/>
  <c r="P24" i="59"/>
  <c r="P21" i="59" s="1"/>
  <c r="Q29" i="59"/>
  <c r="R72" i="59"/>
  <c r="R75" i="59"/>
  <c r="R42" i="59"/>
  <c r="R45" i="59"/>
  <c r="P54" i="59"/>
  <c r="P51" i="59" s="1"/>
  <c r="Q56" i="59"/>
  <c r="Q59" i="59"/>
  <c r="R27" i="59"/>
  <c r="R30" i="59"/>
  <c r="P69" i="59"/>
  <c r="P66" i="59" s="1"/>
  <c r="Q71" i="59"/>
  <c r="Q74" i="59"/>
  <c r="S43" i="33"/>
  <c r="S37" i="33" s="1"/>
  <c r="T45" i="33"/>
  <c r="T48" i="33" s="1"/>
  <c r="T47" i="33"/>
  <c r="R105" i="33"/>
  <c r="R108" i="33" s="1"/>
  <c r="Q103" i="33"/>
  <c r="Q97" i="33" s="1"/>
  <c r="Q107" i="33" s="1"/>
  <c r="P129" i="46"/>
  <c r="P132" i="46" s="1"/>
  <c r="O127" i="46"/>
  <c r="O124" i="46" s="1"/>
  <c r="P131" i="46"/>
  <c r="O10" i="46"/>
  <c r="O7" i="46" s="1"/>
  <c r="P12" i="46"/>
  <c r="P15" i="46" s="1"/>
  <c r="P14" i="46"/>
  <c r="P54" i="46"/>
  <c r="P51" i="46" s="1"/>
  <c r="Q56" i="46"/>
  <c r="Q59" i="46"/>
  <c r="T29" i="38"/>
  <c r="T23" i="38" s="1"/>
  <c r="U31" i="38"/>
  <c r="U34" i="38"/>
  <c r="Q79" i="46"/>
  <c r="Q87" i="46" s="1"/>
  <c r="Q64" i="46"/>
  <c r="Q94" i="46"/>
  <c r="Q102" i="46" s="1"/>
  <c r="Q49" i="46"/>
  <c r="Q34" i="46"/>
  <c r="Q109" i="46"/>
  <c r="R57" i="46"/>
  <c r="R23" i="52" s="1"/>
  <c r="R28" i="52" s="1"/>
  <c r="R34" i="52" s="1"/>
  <c r="U47" i="38"/>
  <c r="T45" i="38"/>
  <c r="T39" i="38" s="1"/>
  <c r="U50" i="38"/>
  <c r="R95" i="38"/>
  <c r="R99" i="38" s="1"/>
  <c r="Q93" i="38"/>
  <c r="Q87" i="38" s="1"/>
  <c r="R98" i="38"/>
  <c r="S28" i="33"/>
  <c r="S22" i="33" s="1"/>
  <c r="T30" i="33"/>
  <c r="T33" i="33" s="1"/>
  <c r="T32" i="33"/>
  <c r="S80" i="38"/>
  <c r="Q116" i="46"/>
  <c r="Q120" i="46" s="1"/>
  <c r="P114" i="46"/>
  <c r="P111" i="46" s="1"/>
  <c r="Q119" i="46"/>
  <c r="R42" i="46"/>
  <c r="R22" i="52" s="1"/>
  <c r="R27" i="52" s="1"/>
  <c r="R33" i="52" s="1"/>
  <c r="S16" i="38"/>
  <c r="R79" i="38"/>
  <c r="Q77" i="38"/>
  <c r="Q71" i="38" s="1"/>
  <c r="R82" i="38"/>
  <c r="Q73" i="33"/>
  <c r="Q67" i="33" s="1"/>
  <c r="R75" i="33"/>
  <c r="R78" i="33" s="1"/>
  <c r="R77" i="33"/>
  <c r="Q41" i="46"/>
  <c r="P39" i="46"/>
  <c r="P36" i="46" s="1"/>
  <c r="Q44" i="46"/>
  <c r="R117" i="46"/>
  <c r="R90" i="33"/>
  <c r="R93" i="33" s="1"/>
  <c r="Q88" i="33"/>
  <c r="Q82" i="33" s="1"/>
  <c r="R92" i="33"/>
  <c r="R60" i="33"/>
  <c r="R63" i="33" s="1"/>
  <c r="Q58" i="33"/>
  <c r="Q52" i="33" s="1"/>
  <c r="R62" i="33"/>
  <c r="P101" i="46"/>
  <c r="P105" i="46" s="1"/>
  <c r="O99" i="46"/>
  <c r="O96" i="46" s="1"/>
  <c r="P104" i="46"/>
  <c r="Q26" i="46"/>
  <c r="P24" i="46"/>
  <c r="P21" i="46" s="1"/>
  <c r="Q29" i="46"/>
  <c r="P69" i="46"/>
  <c r="P66" i="46" s="1"/>
  <c r="Q71" i="46"/>
  <c r="Q75" i="46" s="1"/>
  <c r="Q74" i="46"/>
  <c r="R111" i="38"/>
  <c r="Q109" i="38"/>
  <c r="Q103" i="38" s="1"/>
  <c r="R114" i="38"/>
  <c r="O84" i="46"/>
  <c r="O81" i="46" s="1"/>
  <c r="P86" i="46"/>
  <c r="P90" i="46" s="1"/>
  <c r="P89" i="46"/>
  <c r="P19" i="46"/>
  <c r="P7" i="52" s="1"/>
  <c r="R15" i="33"/>
  <c r="R18" i="33" s="1"/>
  <c r="Q13" i="33"/>
  <c r="Q7" i="33" s="1"/>
  <c r="R17" i="33"/>
  <c r="R15" i="38"/>
  <c r="Q13" i="38"/>
  <c r="Q7" i="38" s="1"/>
  <c r="R18" i="38"/>
  <c r="R63" i="38"/>
  <c r="R67" i="38" s="1"/>
  <c r="Q61" i="38"/>
  <c r="Q55" i="38" s="1"/>
  <c r="R66" i="38"/>
  <c r="S64" i="38"/>
  <c r="S112" i="38"/>
  <c r="R112" i="38" l="1"/>
  <c r="R115" i="38"/>
  <c r="Q45" i="46"/>
  <c r="Q12" i="52"/>
  <c r="Q60" i="46"/>
  <c r="Q13" i="52"/>
  <c r="R16" i="38"/>
  <c r="P8" i="52"/>
  <c r="R19" i="38"/>
  <c r="U48" i="38"/>
  <c r="U51" i="38"/>
  <c r="R80" i="38"/>
  <c r="R83" i="38"/>
  <c r="P34" i="59"/>
  <c r="P94" i="59"/>
  <c r="P79" i="59"/>
  <c r="P64" i="59"/>
  <c r="P109" i="59"/>
  <c r="P49" i="59"/>
  <c r="Q117" i="46"/>
  <c r="U32" i="38"/>
  <c r="U35" i="38"/>
  <c r="Q30" i="46"/>
  <c r="Q11" i="52"/>
  <c r="O19" i="59"/>
  <c r="Q42" i="46"/>
  <c r="Q22" i="52" s="1"/>
  <c r="Q27" i="52" s="1"/>
  <c r="Q33" i="52" s="1"/>
  <c r="R29" i="52"/>
  <c r="R35" i="52" s="1"/>
  <c r="P12" i="59"/>
  <c r="P15" i="59" s="1"/>
  <c r="O10" i="59"/>
  <c r="O7" i="59" s="1"/>
  <c r="P14" i="59"/>
  <c r="O24" i="59"/>
  <c r="O21" i="59" s="1"/>
  <c r="P26" i="59"/>
  <c r="P29" i="59"/>
  <c r="Q27" i="59"/>
  <c r="Q30" i="59"/>
  <c r="P71" i="59"/>
  <c r="O69" i="59"/>
  <c r="O66" i="59" s="1"/>
  <c r="P74" i="59"/>
  <c r="Q72" i="59"/>
  <c r="Q75" i="59"/>
  <c r="Q87" i="59"/>
  <c r="Q90" i="59"/>
  <c r="P101" i="59"/>
  <c r="O99" i="59"/>
  <c r="O96" i="59" s="1"/>
  <c r="P104" i="59"/>
  <c r="Q102" i="59"/>
  <c r="Q105" i="59"/>
  <c r="P56" i="59"/>
  <c r="O54" i="59"/>
  <c r="O51" i="59" s="1"/>
  <c r="P59" i="59"/>
  <c r="O127" i="59"/>
  <c r="O124" i="59" s="1"/>
  <c r="P129" i="59"/>
  <c r="P132" i="59" s="1"/>
  <c r="P131" i="59"/>
  <c r="O39" i="59"/>
  <c r="O36" i="59" s="1"/>
  <c r="P41" i="59"/>
  <c r="P44" i="59"/>
  <c r="P86" i="59"/>
  <c r="O84" i="59"/>
  <c r="O81" i="59" s="1"/>
  <c r="P89" i="59"/>
  <c r="Q117" i="59"/>
  <c r="Q120" i="59"/>
  <c r="O114" i="59"/>
  <c r="O111" i="59" s="1"/>
  <c r="P116" i="59"/>
  <c r="P119" i="59"/>
  <c r="Q57" i="59"/>
  <c r="Q60" i="59"/>
  <c r="Q42" i="59"/>
  <c r="Q45" i="59"/>
  <c r="P13" i="38"/>
  <c r="P7" i="38" s="1"/>
  <c r="Q15" i="38"/>
  <c r="Q18" i="38"/>
  <c r="P103" i="33"/>
  <c r="P97" i="33" s="1"/>
  <c r="P107" i="33" s="1"/>
  <c r="Q105" i="33"/>
  <c r="Q108" i="33" s="1"/>
  <c r="O54" i="46"/>
  <c r="O51" i="46" s="1"/>
  <c r="P56" i="46"/>
  <c r="P59" i="46"/>
  <c r="N127" i="46"/>
  <c r="N124" i="46" s="1"/>
  <c r="O129" i="46"/>
  <c r="O132" i="46" s="1"/>
  <c r="O131" i="46"/>
  <c r="Q27" i="46"/>
  <c r="Q21" i="52" s="1"/>
  <c r="Q26" i="52" s="1"/>
  <c r="S45" i="38"/>
  <c r="S39" i="38" s="1"/>
  <c r="T47" i="38"/>
  <c r="T50" i="38"/>
  <c r="Q90" i="33"/>
  <c r="Q93" i="33" s="1"/>
  <c r="P88" i="33"/>
  <c r="P82" i="33" s="1"/>
  <c r="Q92" i="33"/>
  <c r="P116" i="46"/>
  <c r="P120" i="46" s="1"/>
  <c r="O114" i="46"/>
  <c r="O111" i="46" s="1"/>
  <c r="P119" i="46"/>
  <c r="Q57" i="46"/>
  <c r="Q23" i="52" s="1"/>
  <c r="Q28" i="52" s="1"/>
  <c r="Q34" i="52" s="1"/>
  <c r="O19" i="46"/>
  <c r="O7" i="52" s="1"/>
  <c r="P13" i="33"/>
  <c r="P7" i="33" s="1"/>
  <c r="N19" i="59" s="1"/>
  <c r="Q15" i="33"/>
  <c r="Q18" i="33" s="1"/>
  <c r="Q17" i="33"/>
  <c r="Q63" i="38"/>
  <c r="Q67" i="38" s="1"/>
  <c r="P61" i="38"/>
  <c r="P55" i="38" s="1"/>
  <c r="Q66" i="38"/>
  <c r="N10" i="46"/>
  <c r="N7" i="46" s="1"/>
  <c r="O12" i="46"/>
  <c r="O15" i="46" s="1"/>
  <c r="O14" i="46"/>
  <c r="P71" i="46"/>
  <c r="P75" i="46" s="1"/>
  <c r="O69" i="46"/>
  <c r="O66" i="46" s="1"/>
  <c r="P74" i="46"/>
  <c r="P41" i="46"/>
  <c r="O39" i="46"/>
  <c r="O36" i="46" s="1"/>
  <c r="P44" i="46"/>
  <c r="P26" i="46"/>
  <c r="O24" i="46"/>
  <c r="O21" i="46" s="1"/>
  <c r="P29" i="46"/>
  <c r="Q72" i="46"/>
  <c r="S30" i="33"/>
  <c r="S33" i="33" s="1"/>
  <c r="R28" i="33"/>
  <c r="R22" i="33" s="1"/>
  <c r="S32" i="33"/>
  <c r="Q95" i="38"/>
  <c r="P93" i="38"/>
  <c r="P87" i="38" s="1"/>
  <c r="Q98" i="38"/>
  <c r="R96" i="38"/>
  <c r="T31" i="38"/>
  <c r="S29" i="38"/>
  <c r="S23" i="38" s="1"/>
  <c r="T34" i="38"/>
  <c r="Q111" i="38"/>
  <c r="P109" i="38"/>
  <c r="P103" i="38" s="1"/>
  <c r="Q114" i="38"/>
  <c r="R64" i="38"/>
  <c r="O101" i="46"/>
  <c r="O105" i="46" s="1"/>
  <c r="N99" i="46"/>
  <c r="N96" i="46" s="1"/>
  <c r="O104" i="46"/>
  <c r="P109" i="46"/>
  <c r="P79" i="46"/>
  <c r="P87" i="46" s="1"/>
  <c r="P49" i="46"/>
  <c r="P94" i="46"/>
  <c r="P102" i="46" s="1"/>
  <c r="P64" i="46"/>
  <c r="P34" i="46"/>
  <c r="Q75" i="33"/>
  <c r="Q78" i="33" s="1"/>
  <c r="P73" i="33"/>
  <c r="P67" i="33" s="1"/>
  <c r="Q77" i="33"/>
  <c r="N84" i="46"/>
  <c r="N81" i="46" s="1"/>
  <c r="O86" i="46"/>
  <c r="O90" i="46" s="1"/>
  <c r="O89" i="46"/>
  <c r="Q60" i="33"/>
  <c r="Q63" i="33" s="1"/>
  <c r="P58" i="33"/>
  <c r="P52" i="33" s="1"/>
  <c r="Q62" i="33"/>
  <c r="P77" i="38"/>
  <c r="P71" i="38" s="1"/>
  <c r="Q79" i="38"/>
  <c r="Q83" i="38" s="1"/>
  <c r="Q82" i="38"/>
  <c r="S45" i="33"/>
  <c r="S48" i="33" s="1"/>
  <c r="R43" i="33"/>
  <c r="R37" i="33" s="1"/>
  <c r="S47" i="33"/>
  <c r="P30" i="46" l="1"/>
  <c r="P11" i="52"/>
  <c r="N79" i="59"/>
  <c r="N94" i="59"/>
  <c r="N49" i="59"/>
  <c r="N109" i="59"/>
  <c r="N64" i="59"/>
  <c r="N34" i="59"/>
  <c r="O109" i="59"/>
  <c r="O34" i="59"/>
  <c r="O79" i="59"/>
  <c r="O49" i="59"/>
  <c r="O94" i="59"/>
  <c r="O64" i="59"/>
  <c r="P60" i="46"/>
  <c r="P13" i="52"/>
  <c r="O8" i="52"/>
  <c r="Q19" i="38"/>
  <c r="Q112" i="38"/>
  <c r="Q115" i="38"/>
  <c r="P45" i="46"/>
  <c r="P12" i="52"/>
  <c r="T32" i="38"/>
  <c r="T35" i="38"/>
  <c r="P72" i="46"/>
  <c r="Q32" i="52"/>
  <c r="Q29" i="52"/>
  <c r="Q35" i="52" s="1"/>
  <c r="P42" i="46"/>
  <c r="P22" i="52" s="1"/>
  <c r="P27" i="52" s="1"/>
  <c r="P33" i="52" s="1"/>
  <c r="Q96" i="38"/>
  <c r="Q99" i="38"/>
  <c r="T48" i="38"/>
  <c r="T51" i="38"/>
  <c r="P102" i="59"/>
  <c r="P105" i="59"/>
  <c r="O86" i="59"/>
  <c r="N84" i="59"/>
  <c r="N81" i="59" s="1"/>
  <c r="O89" i="59"/>
  <c r="P45" i="59"/>
  <c r="P42" i="59"/>
  <c r="N24" i="59"/>
  <c r="N21" i="59" s="1"/>
  <c r="O26" i="59"/>
  <c r="O29" i="59"/>
  <c r="P87" i="59"/>
  <c r="P90" i="59"/>
  <c r="O71" i="59"/>
  <c r="N69" i="59"/>
  <c r="N66" i="59" s="1"/>
  <c r="O74" i="59"/>
  <c r="P72" i="59"/>
  <c r="P75" i="59"/>
  <c r="P27" i="59"/>
  <c r="P30" i="59"/>
  <c r="N114" i="59"/>
  <c r="N111" i="59" s="1"/>
  <c r="O116" i="59"/>
  <c r="O119" i="59"/>
  <c r="N127" i="59"/>
  <c r="N124" i="59" s="1"/>
  <c r="O129" i="59"/>
  <c r="O132" i="59" s="1"/>
  <c r="O131" i="59"/>
  <c r="N54" i="59"/>
  <c r="N51" i="59" s="1"/>
  <c r="O56" i="59"/>
  <c r="O59" i="59"/>
  <c r="P57" i="59"/>
  <c r="P60" i="59"/>
  <c r="O12" i="59"/>
  <c r="O15" i="59" s="1"/>
  <c r="N10" i="59"/>
  <c r="N7" i="59" s="1"/>
  <c r="O14" i="59"/>
  <c r="O41" i="59"/>
  <c r="N39" i="59"/>
  <c r="N36" i="59" s="1"/>
  <c r="O44" i="59"/>
  <c r="P117" i="59"/>
  <c r="P120" i="59"/>
  <c r="O101" i="59"/>
  <c r="N99" i="59"/>
  <c r="N96" i="59" s="1"/>
  <c r="O104" i="59"/>
  <c r="S47" i="38"/>
  <c r="R45" i="38"/>
  <c r="R39" i="38" s="1"/>
  <c r="S50" i="38"/>
  <c r="N129" i="46"/>
  <c r="N132" i="46" s="1"/>
  <c r="M127" i="46"/>
  <c r="M124" i="46" s="1"/>
  <c r="N131" i="46"/>
  <c r="Q80" i="38"/>
  <c r="P95" i="38"/>
  <c r="O93" i="38"/>
  <c r="O87" i="38" s="1"/>
  <c r="P98" i="38"/>
  <c r="O64" i="46"/>
  <c r="O79" i="46"/>
  <c r="O87" i="46" s="1"/>
  <c r="O49" i="46"/>
  <c r="O57" i="46" s="1"/>
  <c r="O23" i="52" s="1"/>
  <c r="O28" i="52" s="1"/>
  <c r="O34" i="52" s="1"/>
  <c r="O94" i="46"/>
  <c r="O102" i="46" s="1"/>
  <c r="O109" i="46"/>
  <c r="O34" i="46"/>
  <c r="O109" i="38"/>
  <c r="O103" i="38" s="1"/>
  <c r="P111" i="38"/>
  <c r="P115" i="38" s="1"/>
  <c r="P114" i="38"/>
  <c r="O73" i="33"/>
  <c r="O67" i="33" s="1"/>
  <c r="P75" i="33"/>
  <c r="P78" i="33" s="1"/>
  <c r="P77" i="33"/>
  <c r="R45" i="33"/>
  <c r="R48" i="33" s="1"/>
  <c r="Q43" i="33"/>
  <c r="Q37" i="33" s="1"/>
  <c r="R47" i="33"/>
  <c r="P27" i="46"/>
  <c r="P21" i="52" s="1"/>
  <c r="P26" i="52" s="1"/>
  <c r="O77" i="38"/>
  <c r="O71" i="38" s="1"/>
  <c r="P79" i="38"/>
  <c r="P83" i="38" s="1"/>
  <c r="P82" i="38"/>
  <c r="N69" i="46"/>
  <c r="N66" i="46" s="1"/>
  <c r="O71" i="46"/>
  <c r="O75" i="46" s="1"/>
  <c r="O74" i="46"/>
  <c r="O88" i="33"/>
  <c r="O82" i="33" s="1"/>
  <c r="P90" i="33"/>
  <c r="P93" i="33" s="1"/>
  <c r="P92" i="33"/>
  <c r="P105" i="33"/>
  <c r="P108" i="33" s="1"/>
  <c r="O103" i="33"/>
  <c r="O97" i="33" s="1"/>
  <c r="O107" i="33" s="1"/>
  <c r="O41" i="46"/>
  <c r="N39" i="46"/>
  <c r="N36" i="46" s="1"/>
  <c r="O44" i="46"/>
  <c r="P57" i="46"/>
  <c r="P23" i="52" s="1"/>
  <c r="P28" i="52" s="1"/>
  <c r="P34" i="52" s="1"/>
  <c r="N114" i="46"/>
  <c r="N111" i="46" s="1"/>
  <c r="O116" i="46"/>
  <c r="O120" i="46" s="1"/>
  <c r="O119" i="46"/>
  <c r="P117" i="46"/>
  <c r="P60" i="33"/>
  <c r="P63" i="33" s="1"/>
  <c r="O58" i="33"/>
  <c r="O52" i="33" s="1"/>
  <c r="P62" i="33"/>
  <c r="N101" i="46"/>
  <c r="N105" i="46" s="1"/>
  <c r="M99" i="46"/>
  <c r="M96" i="46" s="1"/>
  <c r="N104" i="46"/>
  <c r="O26" i="46"/>
  <c r="N24" i="46"/>
  <c r="N21" i="46" s="1"/>
  <c r="O29" i="46"/>
  <c r="N19" i="46"/>
  <c r="N7" i="52" s="1"/>
  <c r="N8" i="52" s="1"/>
  <c r="P15" i="33"/>
  <c r="P18" i="33" s="1"/>
  <c r="O13" i="33"/>
  <c r="O7" i="33" s="1"/>
  <c r="P17" i="33"/>
  <c r="O56" i="46"/>
  <c r="N54" i="46"/>
  <c r="N51" i="46" s="1"/>
  <c r="O59" i="46"/>
  <c r="P63" i="38"/>
  <c r="O61" i="38"/>
  <c r="O55" i="38" s="1"/>
  <c r="P66" i="38"/>
  <c r="Q16" i="38"/>
  <c r="R29" i="38"/>
  <c r="R23" i="38" s="1"/>
  <c r="S31" i="38"/>
  <c r="S34" i="38"/>
  <c r="M10" i="46"/>
  <c r="M7" i="46" s="1"/>
  <c r="N12" i="46"/>
  <c r="N15" i="46" s="1"/>
  <c r="N14" i="46"/>
  <c r="Q28" i="33"/>
  <c r="Q22" i="33" s="1"/>
  <c r="R30" i="33"/>
  <c r="R33" i="33" s="1"/>
  <c r="R32" i="33"/>
  <c r="N86" i="46"/>
  <c r="N90" i="46" s="1"/>
  <c r="M84" i="46"/>
  <c r="M81" i="46" s="1"/>
  <c r="N89" i="46"/>
  <c r="Q64" i="38"/>
  <c r="O13" i="38"/>
  <c r="O7" i="38" s="1"/>
  <c r="P15" i="38"/>
  <c r="P18" i="38"/>
  <c r="O30" i="46" l="1"/>
  <c r="O11" i="52"/>
  <c r="S48" i="38"/>
  <c r="S51" i="38"/>
  <c r="P16" i="38"/>
  <c r="P19" i="38"/>
  <c r="O45" i="46"/>
  <c r="O12" i="52"/>
  <c r="P64" i="38"/>
  <c r="P67" i="38"/>
  <c r="O60" i="46"/>
  <c r="O13" i="52"/>
  <c r="P32" i="52"/>
  <c r="P29" i="52"/>
  <c r="P35" i="52" s="1"/>
  <c r="S32" i="38"/>
  <c r="S35" i="38"/>
  <c r="M19" i="59"/>
  <c r="O72" i="46"/>
  <c r="P96" i="38"/>
  <c r="P99" i="38"/>
  <c r="N71" i="59"/>
  <c r="M69" i="59"/>
  <c r="M66" i="59" s="1"/>
  <c r="N74" i="59"/>
  <c r="N12" i="59"/>
  <c r="N15" i="59" s="1"/>
  <c r="M10" i="59"/>
  <c r="M7" i="59" s="1"/>
  <c r="N14" i="59"/>
  <c r="N56" i="59"/>
  <c r="M54" i="59"/>
  <c r="M51" i="59" s="1"/>
  <c r="N59" i="59"/>
  <c r="M39" i="59"/>
  <c r="M36" i="59" s="1"/>
  <c r="N41" i="59"/>
  <c r="N44" i="59"/>
  <c r="O87" i="59"/>
  <c r="O90" i="59"/>
  <c r="O75" i="59"/>
  <c r="O72" i="59"/>
  <c r="O27" i="59"/>
  <c r="O30" i="59"/>
  <c r="M24" i="59"/>
  <c r="M21" i="59" s="1"/>
  <c r="N26" i="59"/>
  <c r="N29" i="59"/>
  <c r="M127" i="59"/>
  <c r="M124" i="59" s="1"/>
  <c r="N129" i="59"/>
  <c r="N132" i="59" s="1"/>
  <c r="N131" i="59"/>
  <c r="O117" i="59"/>
  <c r="O120" i="59"/>
  <c r="N86" i="59"/>
  <c r="M84" i="59"/>
  <c r="M81" i="59" s="1"/>
  <c r="N89" i="59"/>
  <c r="O45" i="59"/>
  <c r="O42" i="59"/>
  <c r="O57" i="59"/>
  <c r="O60" i="59"/>
  <c r="M99" i="59"/>
  <c r="M96" i="59" s="1"/>
  <c r="N101" i="59"/>
  <c r="N104" i="59"/>
  <c r="O105" i="59"/>
  <c r="O102" i="59"/>
  <c r="M114" i="59"/>
  <c r="M111" i="59" s="1"/>
  <c r="N116" i="59"/>
  <c r="N119" i="59"/>
  <c r="N26" i="46"/>
  <c r="M24" i="46"/>
  <c r="M21" i="46" s="1"/>
  <c r="N29" i="46"/>
  <c r="N13" i="38"/>
  <c r="N7" i="38" s="1"/>
  <c r="O15" i="38"/>
  <c r="O19" i="38" s="1"/>
  <c r="O18" i="38"/>
  <c r="R31" i="38"/>
  <c r="Q29" i="38"/>
  <c r="Q23" i="38" s="1"/>
  <c r="R34" i="38"/>
  <c r="N93" i="38"/>
  <c r="N87" i="38" s="1"/>
  <c r="O95" i="38"/>
  <c r="O98" i="38"/>
  <c r="P28" i="33"/>
  <c r="P22" i="33" s="1"/>
  <c r="Q30" i="33"/>
  <c r="Q33" i="33" s="1"/>
  <c r="Q32" i="33"/>
  <c r="L127" i="46"/>
  <c r="L124" i="46" s="1"/>
  <c r="M129" i="46"/>
  <c r="M132" i="46" s="1"/>
  <c r="M131" i="46"/>
  <c r="O105" i="33"/>
  <c r="O108" i="33" s="1"/>
  <c r="N103" i="33"/>
  <c r="N97" i="33" s="1"/>
  <c r="N107" i="33" s="1"/>
  <c r="N56" i="46"/>
  <c r="M54" i="46"/>
  <c r="M51" i="46" s="1"/>
  <c r="N59" i="46"/>
  <c r="P112" i="38"/>
  <c r="M101" i="46"/>
  <c r="M105" i="46" s="1"/>
  <c r="L99" i="46"/>
  <c r="L96" i="46" s="1"/>
  <c r="M104" i="46"/>
  <c r="O63" i="38"/>
  <c r="N61" i="38"/>
  <c r="N55" i="38" s="1"/>
  <c r="O66" i="38"/>
  <c r="O90" i="33"/>
  <c r="O93" i="33" s="1"/>
  <c r="N88" i="33"/>
  <c r="N82" i="33" s="1"/>
  <c r="O92" i="33"/>
  <c r="N116" i="46"/>
  <c r="N120" i="46" s="1"/>
  <c r="M114" i="46"/>
  <c r="M111" i="46" s="1"/>
  <c r="N119" i="46"/>
  <c r="N109" i="38"/>
  <c r="N103" i="38" s="1"/>
  <c r="O111" i="38"/>
  <c r="O114" i="38"/>
  <c r="O60" i="33"/>
  <c r="O63" i="33" s="1"/>
  <c r="N58" i="33"/>
  <c r="N52" i="33" s="1"/>
  <c r="O62" i="33"/>
  <c r="N73" i="33"/>
  <c r="N67" i="33" s="1"/>
  <c r="O75" i="33"/>
  <c r="O78" i="33" s="1"/>
  <c r="O77" i="33"/>
  <c r="O42" i="46"/>
  <c r="O22" i="52" s="1"/>
  <c r="O27" i="52" s="1"/>
  <c r="O33" i="52" s="1"/>
  <c r="Q45" i="33"/>
  <c r="Q48" i="33" s="1"/>
  <c r="P43" i="33"/>
  <c r="P37" i="33" s="1"/>
  <c r="Q47" i="33"/>
  <c r="L84" i="46"/>
  <c r="L81" i="46" s="1"/>
  <c r="M86" i="46"/>
  <c r="M90" i="46" s="1"/>
  <c r="M89" i="46"/>
  <c r="P80" i="38"/>
  <c r="O117" i="46"/>
  <c r="R47" i="38"/>
  <c r="Q45" i="38"/>
  <c r="Q39" i="38" s="1"/>
  <c r="R50" i="38"/>
  <c r="N71" i="46"/>
  <c r="N75" i="46" s="1"/>
  <c r="M69" i="46"/>
  <c r="M66" i="46" s="1"/>
  <c r="N74" i="46"/>
  <c r="M19" i="46"/>
  <c r="M7" i="52" s="1"/>
  <c r="M8" i="52" s="1"/>
  <c r="N13" i="33"/>
  <c r="N7" i="33" s="1"/>
  <c r="L19" i="59" s="1"/>
  <c r="O15" i="33"/>
  <c r="O18" i="33" s="1"/>
  <c r="O17" i="33"/>
  <c r="L10" i="46"/>
  <c r="L7" i="46" s="1"/>
  <c r="M12" i="46"/>
  <c r="M15" i="46" s="1"/>
  <c r="M14" i="46"/>
  <c r="N109" i="46"/>
  <c r="N64" i="46"/>
  <c r="N94" i="46"/>
  <c r="N102" i="46" s="1"/>
  <c r="N49" i="46"/>
  <c r="N34" i="46"/>
  <c r="N79" i="46"/>
  <c r="N87" i="46" s="1"/>
  <c r="N41" i="46"/>
  <c r="M39" i="46"/>
  <c r="M36" i="46" s="1"/>
  <c r="N44" i="46"/>
  <c r="N77" i="38"/>
  <c r="N71" i="38" s="1"/>
  <c r="O79" i="38"/>
  <c r="O82" i="38"/>
  <c r="O27" i="46"/>
  <c r="O21" i="52" s="1"/>
  <c r="O26" i="52" s="1"/>
  <c r="N30" i="46" l="1"/>
  <c r="N11" i="52"/>
  <c r="N45" i="46"/>
  <c r="N12" i="52"/>
  <c r="R32" i="38"/>
  <c r="R35" i="38"/>
  <c r="O80" i="38"/>
  <c r="O83" i="38"/>
  <c r="N27" i="46"/>
  <c r="N21" i="52" s="1"/>
  <c r="N26" i="52" s="1"/>
  <c r="O112" i="38"/>
  <c r="O115" i="38"/>
  <c r="N60" i="46"/>
  <c r="N13" i="52"/>
  <c r="O29" i="52"/>
  <c r="O35" i="52" s="1"/>
  <c r="O32" i="52"/>
  <c r="L34" i="59"/>
  <c r="L94" i="59"/>
  <c r="L109" i="59"/>
  <c r="L49" i="59"/>
  <c r="L79" i="59"/>
  <c r="L64" i="59"/>
  <c r="O64" i="38"/>
  <c r="O67" i="38"/>
  <c r="O96" i="38"/>
  <c r="O99" i="38"/>
  <c r="R48" i="38"/>
  <c r="R51" i="38"/>
  <c r="M109" i="59"/>
  <c r="M34" i="59"/>
  <c r="M94" i="59"/>
  <c r="M49" i="59"/>
  <c r="M64" i="59"/>
  <c r="M79" i="59"/>
  <c r="N87" i="59"/>
  <c r="N90" i="59"/>
  <c r="M86" i="59"/>
  <c r="L84" i="59"/>
  <c r="L81" i="59" s="1"/>
  <c r="M89" i="59"/>
  <c r="M41" i="59"/>
  <c r="L39" i="59"/>
  <c r="L36" i="59" s="1"/>
  <c r="M44" i="59"/>
  <c r="N117" i="59"/>
  <c r="N120" i="59"/>
  <c r="M116" i="59"/>
  <c r="L114" i="59"/>
  <c r="L111" i="59" s="1"/>
  <c r="M119" i="59"/>
  <c r="N102" i="59"/>
  <c r="N105" i="59"/>
  <c r="M26" i="59"/>
  <c r="L24" i="59"/>
  <c r="L21" i="59" s="1"/>
  <c r="M29" i="59"/>
  <c r="M56" i="59"/>
  <c r="L54" i="59"/>
  <c r="L51" i="59" s="1"/>
  <c r="M59" i="59"/>
  <c r="N57" i="59"/>
  <c r="N60" i="59"/>
  <c r="M129" i="59"/>
  <c r="M132" i="59" s="1"/>
  <c r="L127" i="59"/>
  <c r="L124" i="59" s="1"/>
  <c r="M131" i="59"/>
  <c r="N27" i="59"/>
  <c r="N30" i="59"/>
  <c r="M101" i="59"/>
  <c r="L99" i="59"/>
  <c r="L96" i="59" s="1"/>
  <c r="M104" i="59"/>
  <c r="M71" i="59"/>
  <c r="L69" i="59"/>
  <c r="L66" i="59" s="1"/>
  <c r="M74" i="59"/>
  <c r="N42" i="59"/>
  <c r="N45" i="59"/>
  <c r="M12" i="59"/>
  <c r="M15" i="59" s="1"/>
  <c r="L10" i="59"/>
  <c r="L7" i="59" s="1"/>
  <c r="M14" i="59"/>
  <c r="N72" i="59"/>
  <c r="N75" i="59"/>
  <c r="P30" i="33"/>
  <c r="P33" i="33" s="1"/>
  <c r="O28" i="33"/>
  <c r="O22" i="33" s="1"/>
  <c r="P32" i="33"/>
  <c r="M77" i="38"/>
  <c r="M71" i="38" s="1"/>
  <c r="N79" i="38"/>
  <c r="N82" i="38"/>
  <c r="L86" i="46"/>
  <c r="L90" i="46" s="1"/>
  <c r="K84" i="46"/>
  <c r="K81" i="46" s="1"/>
  <c r="L89" i="46"/>
  <c r="P45" i="33"/>
  <c r="P48" i="33" s="1"/>
  <c r="O43" i="33"/>
  <c r="O37" i="33" s="1"/>
  <c r="P47" i="33"/>
  <c r="L101" i="46"/>
  <c r="L105" i="46" s="1"/>
  <c r="K99" i="46"/>
  <c r="K96" i="46" s="1"/>
  <c r="L104" i="46"/>
  <c r="M116" i="46"/>
  <c r="M120" i="46" s="1"/>
  <c r="L114" i="46"/>
  <c r="L111" i="46" s="1"/>
  <c r="M119" i="46"/>
  <c r="M71" i="46"/>
  <c r="M75" i="46" s="1"/>
  <c r="L69" i="46"/>
  <c r="L66" i="46" s="1"/>
  <c r="M74" i="46"/>
  <c r="O16" i="38"/>
  <c r="M56" i="46"/>
  <c r="L54" i="46"/>
  <c r="L51" i="46" s="1"/>
  <c r="M59" i="46"/>
  <c r="M41" i="46"/>
  <c r="L39" i="46"/>
  <c r="L36" i="46" s="1"/>
  <c r="M44" i="46"/>
  <c r="L129" i="46"/>
  <c r="L132" i="46" s="1"/>
  <c r="K127" i="46"/>
  <c r="K124" i="46" s="1"/>
  <c r="L131" i="46"/>
  <c r="M13" i="38"/>
  <c r="M7" i="38" s="1"/>
  <c r="N15" i="38"/>
  <c r="N18" i="38"/>
  <c r="M93" i="38"/>
  <c r="M87" i="38" s="1"/>
  <c r="N95" i="38"/>
  <c r="N98" i="38"/>
  <c r="M79" i="46"/>
  <c r="M87" i="46" s="1"/>
  <c r="M109" i="46"/>
  <c r="M49" i="46"/>
  <c r="M57" i="46" s="1"/>
  <c r="M23" i="52" s="1"/>
  <c r="M28" i="52" s="1"/>
  <c r="M34" i="52" s="1"/>
  <c r="M64" i="46"/>
  <c r="M94" i="46"/>
  <c r="M102" i="46" s="1"/>
  <c r="M34" i="46"/>
  <c r="Q31" i="38"/>
  <c r="P29" i="38"/>
  <c r="P23" i="38" s="1"/>
  <c r="Q34" i="38"/>
  <c r="N105" i="33"/>
  <c r="N108" i="33" s="1"/>
  <c r="M103" i="33"/>
  <c r="M97" i="33" s="1"/>
  <c r="M107" i="33" s="1"/>
  <c r="N57" i="46"/>
  <c r="N23" i="52" s="1"/>
  <c r="N28" i="52" s="1"/>
  <c r="N34" i="52" s="1"/>
  <c r="N72" i="46"/>
  <c r="N63" i="38"/>
  <c r="N67" i="38" s="1"/>
  <c r="M61" i="38"/>
  <c r="M55" i="38" s="1"/>
  <c r="N66" i="38"/>
  <c r="K10" i="46"/>
  <c r="K7" i="46" s="1"/>
  <c r="L12" i="46"/>
  <c r="L15" i="46" s="1"/>
  <c r="L14" i="46"/>
  <c r="N90" i="33"/>
  <c r="N93" i="33" s="1"/>
  <c r="M88" i="33"/>
  <c r="M82" i="33" s="1"/>
  <c r="N92" i="33"/>
  <c r="N42" i="46"/>
  <c r="N22" i="52" s="1"/>
  <c r="N27" i="52" s="1"/>
  <c r="N33" i="52" s="1"/>
  <c r="M26" i="46"/>
  <c r="L24" i="46"/>
  <c r="L21" i="46" s="1"/>
  <c r="M29" i="46"/>
  <c r="M109" i="38"/>
  <c r="M103" i="38" s="1"/>
  <c r="N111" i="38"/>
  <c r="N114" i="38"/>
  <c r="L19" i="46"/>
  <c r="L7" i="52" s="1"/>
  <c r="L8" i="52" s="1"/>
  <c r="M13" i="33"/>
  <c r="M7" i="33" s="1"/>
  <c r="K19" i="59" s="1"/>
  <c r="N15" i="33"/>
  <c r="N18" i="33" s="1"/>
  <c r="N17" i="33"/>
  <c r="N75" i="33"/>
  <c r="N78" i="33" s="1"/>
  <c r="M73" i="33"/>
  <c r="M67" i="33" s="1"/>
  <c r="N77" i="33"/>
  <c r="P45" i="38"/>
  <c r="P39" i="38" s="1"/>
  <c r="Q47" i="38"/>
  <c r="Q50" i="38"/>
  <c r="N117" i="46"/>
  <c r="N60" i="33"/>
  <c r="N63" i="33" s="1"/>
  <c r="M58" i="33"/>
  <c r="M52" i="33" s="1"/>
  <c r="N62" i="33"/>
  <c r="N96" i="38" l="1"/>
  <c r="N99" i="38"/>
  <c r="N32" i="52"/>
  <c r="N29" i="52"/>
  <c r="N35" i="52" s="1"/>
  <c r="M30" i="46"/>
  <c r="M11" i="52"/>
  <c r="N112" i="38"/>
  <c r="N115" i="38"/>
  <c r="N16" i="38"/>
  <c r="N19" i="38"/>
  <c r="M45" i="46"/>
  <c r="M12" i="52"/>
  <c r="Q48" i="38"/>
  <c r="Q51" i="38"/>
  <c r="M72" i="46"/>
  <c r="K79" i="59"/>
  <c r="K34" i="59"/>
  <c r="K94" i="59"/>
  <c r="K49" i="59"/>
  <c r="K109" i="59"/>
  <c r="K64" i="59"/>
  <c r="Q32" i="38"/>
  <c r="Q35" i="38"/>
  <c r="N80" i="38"/>
  <c r="N83" i="38"/>
  <c r="M27" i="46"/>
  <c r="M21" i="52" s="1"/>
  <c r="M26" i="52" s="1"/>
  <c r="M117" i="46"/>
  <c r="M60" i="46"/>
  <c r="M13" i="52"/>
  <c r="K99" i="59"/>
  <c r="K96" i="59" s="1"/>
  <c r="L101" i="59"/>
  <c r="L104" i="59"/>
  <c r="L116" i="59"/>
  <c r="K114" i="59"/>
  <c r="K111" i="59" s="1"/>
  <c r="L119" i="59"/>
  <c r="L86" i="59"/>
  <c r="K84" i="59"/>
  <c r="K81" i="59" s="1"/>
  <c r="L89" i="59"/>
  <c r="M117" i="59"/>
  <c r="M120" i="59"/>
  <c r="L129" i="59"/>
  <c r="L132" i="59" s="1"/>
  <c r="K127" i="59"/>
  <c r="K124" i="59" s="1"/>
  <c r="L131" i="59"/>
  <c r="K39" i="59"/>
  <c r="K36" i="59" s="1"/>
  <c r="L41" i="59"/>
  <c r="L44" i="59"/>
  <c r="M57" i="59"/>
  <c r="M60" i="59"/>
  <c r="M87" i="59"/>
  <c r="M90" i="59"/>
  <c r="M27" i="59"/>
  <c r="M30" i="59"/>
  <c r="M42" i="59"/>
  <c r="M45" i="59"/>
  <c r="M72" i="59"/>
  <c r="M75" i="59"/>
  <c r="M102" i="59"/>
  <c r="M105" i="59"/>
  <c r="K10" i="59"/>
  <c r="K7" i="59" s="1"/>
  <c r="L12" i="59"/>
  <c r="L15" i="59" s="1"/>
  <c r="L14" i="59"/>
  <c r="L56" i="59"/>
  <c r="K54" i="59"/>
  <c r="K51" i="59" s="1"/>
  <c r="L59" i="59"/>
  <c r="L71" i="59"/>
  <c r="K69" i="59"/>
  <c r="K66" i="59" s="1"/>
  <c r="L74" i="59"/>
  <c r="L26" i="59"/>
  <c r="K24" i="59"/>
  <c r="K21" i="59" s="1"/>
  <c r="L29" i="59"/>
  <c r="K19" i="46"/>
  <c r="K7" i="52" s="1"/>
  <c r="L13" i="33"/>
  <c r="L7" i="33" s="1"/>
  <c r="M15" i="33"/>
  <c r="M18" i="33" s="1"/>
  <c r="M17" i="33"/>
  <c r="O45" i="33"/>
  <c r="O48" i="33" s="1"/>
  <c r="N43" i="33"/>
  <c r="N37" i="33" s="1"/>
  <c r="O47" i="33"/>
  <c r="M105" i="33"/>
  <c r="M108" i="33" s="1"/>
  <c r="L103" i="33"/>
  <c r="L97" i="33" s="1"/>
  <c r="L107" i="33" s="1"/>
  <c r="L109" i="46"/>
  <c r="L79" i="46"/>
  <c r="L87" i="46" s="1"/>
  <c r="L64" i="46"/>
  <c r="L49" i="46"/>
  <c r="L94" i="46"/>
  <c r="L102" i="46" s="1"/>
  <c r="L34" i="46"/>
  <c r="L109" i="38"/>
  <c r="L103" i="38" s="1"/>
  <c r="M111" i="38"/>
  <c r="M115" i="38" s="1"/>
  <c r="M114" i="38"/>
  <c r="K86" i="46"/>
  <c r="K90" i="46" s="1"/>
  <c r="J84" i="46"/>
  <c r="J81" i="46" s="1"/>
  <c r="K89" i="46"/>
  <c r="K39" i="46"/>
  <c r="K36" i="46" s="1"/>
  <c r="L41" i="46"/>
  <c r="L44" i="46"/>
  <c r="M79" i="38"/>
  <c r="L77" i="38"/>
  <c r="L71" i="38" s="1"/>
  <c r="M82" i="38"/>
  <c r="L61" i="38"/>
  <c r="L55" i="38" s="1"/>
  <c r="M63" i="38"/>
  <c r="M67" i="38" s="1"/>
  <c r="M66" i="38"/>
  <c r="N64" i="38"/>
  <c r="K24" i="46"/>
  <c r="K21" i="46" s="1"/>
  <c r="L26" i="46"/>
  <c r="L29" i="46"/>
  <c r="P47" i="38"/>
  <c r="O45" i="38"/>
  <c r="O39" i="38" s="1"/>
  <c r="P50" i="38"/>
  <c r="K114" i="46"/>
  <c r="K111" i="46" s="1"/>
  <c r="L116" i="46"/>
  <c r="L120" i="46" s="1"/>
  <c r="L119" i="46"/>
  <c r="K12" i="46"/>
  <c r="K15" i="46" s="1"/>
  <c r="J10" i="46"/>
  <c r="J7" i="46" s="1"/>
  <c r="K14" i="46"/>
  <c r="M60" i="33"/>
  <c r="M63" i="33" s="1"/>
  <c r="L58" i="33"/>
  <c r="L52" i="33" s="1"/>
  <c r="M62" i="33"/>
  <c r="L56" i="46"/>
  <c r="K54" i="46"/>
  <c r="K51" i="46" s="1"/>
  <c r="L59" i="46"/>
  <c r="L71" i="46"/>
  <c r="L75" i="46" s="1"/>
  <c r="K69" i="46"/>
  <c r="K66" i="46" s="1"/>
  <c r="L74" i="46"/>
  <c r="L13" i="38"/>
  <c r="L7" i="38" s="1"/>
  <c r="M15" i="38"/>
  <c r="M18" i="38"/>
  <c r="M95" i="38"/>
  <c r="M99" i="38" s="1"/>
  <c r="L93" i="38"/>
  <c r="L87" i="38" s="1"/>
  <c r="M98" i="38"/>
  <c r="M75" i="33"/>
  <c r="M78" i="33" s="1"/>
  <c r="L73" i="33"/>
  <c r="L67" i="33" s="1"/>
  <c r="M77" i="33"/>
  <c r="M90" i="33"/>
  <c r="M93" i="33" s="1"/>
  <c r="L88" i="33"/>
  <c r="L82" i="33" s="1"/>
  <c r="M92" i="33"/>
  <c r="N28" i="33"/>
  <c r="N22" i="33" s="1"/>
  <c r="O30" i="33"/>
  <c r="O33" i="33" s="1"/>
  <c r="O32" i="33"/>
  <c r="P31" i="38"/>
  <c r="O29" i="38"/>
  <c r="O23" i="38" s="1"/>
  <c r="P34" i="38"/>
  <c r="M42" i="46"/>
  <c r="M22" i="52" s="1"/>
  <c r="M27" i="52" s="1"/>
  <c r="M33" i="52" s="1"/>
  <c r="K129" i="46"/>
  <c r="K132" i="46" s="1"/>
  <c r="J127" i="46"/>
  <c r="J124" i="46" s="1"/>
  <c r="K131" i="46"/>
  <c r="J99" i="46"/>
  <c r="J96" i="46" s="1"/>
  <c r="K101" i="46"/>
  <c r="K105" i="46" s="1"/>
  <c r="K104" i="46"/>
  <c r="J19" i="59" l="1"/>
  <c r="M80" i="38"/>
  <c r="M83" i="38"/>
  <c r="P32" i="38"/>
  <c r="P35" i="38"/>
  <c r="M16" i="38"/>
  <c r="M19" i="38"/>
  <c r="L45" i="46"/>
  <c r="L12" i="52"/>
  <c r="L60" i="46"/>
  <c r="L13" i="52"/>
  <c r="P48" i="38"/>
  <c r="P51" i="38"/>
  <c r="L30" i="46"/>
  <c r="L11" i="52"/>
  <c r="L72" i="46"/>
  <c r="M32" i="52"/>
  <c r="M29" i="52"/>
  <c r="M35" i="52" s="1"/>
  <c r="K8" i="52"/>
  <c r="L72" i="59"/>
  <c r="L75" i="59"/>
  <c r="L42" i="59"/>
  <c r="L45" i="59"/>
  <c r="J10" i="59"/>
  <c r="J7" i="59" s="1"/>
  <c r="K12" i="59"/>
  <c r="K15" i="59" s="1"/>
  <c r="K14" i="59"/>
  <c r="K86" i="59"/>
  <c r="J84" i="59"/>
  <c r="J81" i="59" s="1"/>
  <c r="K89" i="59"/>
  <c r="K41" i="59"/>
  <c r="J39" i="59"/>
  <c r="J36" i="59" s="1"/>
  <c r="K44" i="59"/>
  <c r="J24" i="59"/>
  <c r="J21" i="59" s="1"/>
  <c r="K26" i="59"/>
  <c r="K29" i="59"/>
  <c r="L27" i="59"/>
  <c r="L30" i="59"/>
  <c r="K116" i="59"/>
  <c r="J114" i="59"/>
  <c r="J111" i="59" s="1"/>
  <c r="K119" i="59"/>
  <c r="K56" i="59"/>
  <c r="J54" i="59"/>
  <c r="J51" i="59" s="1"/>
  <c r="K59" i="59"/>
  <c r="L102" i="59"/>
  <c r="L105" i="59"/>
  <c r="K129" i="59"/>
  <c r="K132" i="59" s="1"/>
  <c r="J127" i="59"/>
  <c r="J124" i="59" s="1"/>
  <c r="K131" i="59"/>
  <c r="L87" i="59"/>
  <c r="L90" i="59"/>
  <c r="K71" i="59"/>
  <c r="J69" i="59"/>
  <c r="J66" i="59" s="1"/>
  <c r="K74" i="59"/>
  <c r="L117" i="59"/>
  <c r="L120" i="59"/>
  <c r="L57" i="59"/>
  <c r="L60" i="59"/>
  <c r="J99" i="59"/>
  <c r="J96" i="59" s="1"/>
  <c r="K101" i="59"/>
  <c r="K104" i="59"/>
  <c r="K77" i="38"/>
  <c r="K71" i="38" s="1"/>
  <c r="L79" i="38"/>
  <c r="L83" i="38" s="1"/>
  <c r="L82" i="38"/>
  <c r="K116" i="46"/>
  <c r="K120" i="46" s="1"/>
  <c r="J114" i="46"/>
  <c r="J111" i="46" s="1"/>
  <c r="K119" i="46"/>
  <c r="K71" i="46"/>
  <c r="K75" i="46" s="1"/>
  <c r="J69" i="46"/>
  <c r="J66" i="46" s="1"/>
  <c r="K74" i="46"/>
  <c r="K88" i="33"/>
  <c r="K82" i="33" s="1"/>
  <c r="L90" i="33"/>
  <c r="L93" i="33" s="1"/>
  <c r="L92" i="33"/>
  <c r="L15" i="38"/>
  <c r="K13" i="38"/>
  <c r="K7" i="38" s="1"/>
  <c r="L18" i="38"/>
  <c r="J39" i="46"/>
  <c r="J36" i="46" s="1"/>
  <c r="K41" i="46"/>
  <c r="K44" i="46"/>
  <c r="O47" i="38"/>
  <c r="N45" i="38"/>
  <c r="N39" i="38" s="1"/>
  <c r="O50" i="38"/>
  <c r="K109" i="38"/>
  <c r="K103" i="38" s="1"/>
  <c r="L111" i="38"/>
  <c r="L115" i="38" s="1"/>
  <c r="L114" i="38"/>
  <c r="M28" i="33"/>
  <c r="M22" i="33" s="1"/>
  <c r="N30" i="33"/>
  <c r="N33" i="33" s="1"/>
  <c r="N32" i="33"/>
  <c r="J86" i="46"/>
  <c r="J90" i="46" s="1"/>
  <c r="I84" i="46"/>
  <c r="I81" i="46" s="1"/>
  <c r="J89" i="46"/>
  <c r="M64" i="38"/>
  <c r="L42" i="46"/>
  <c r="L22" i="52" s="1"/>
  <c r="L27" i="52" s="1"/>
  <c r="L33" i="52" s="1"/>
  <c r="L117" i="46"/>
  <c r="J101" i="46"/>
  <c r="J105" i="46" s="1"/>
  <c r="I99" i="46"/>
  <c r="I96" i="46" s="1"/>
  <c r="J104" i="46"/>
  <c r="K26" i="46"/>
  <c r="J24" i="46"/>
  <c r="J21" i="46" s="1"/>
  <c r="K29" i="46"/>
  <c r="M43" i="33"/>
  <c r="M37" i="33" s="1"/>
  <c r="N45" i="33"/>
  <c r="N48" i="33" s="1"/>
  <c r="N47" i="33"/>
  <c r="M96" i="38"/>
  <c r="K61" i="38"/>
  <c r="K55" i="38" s="1"/>
  <c r="L63" i="38"/>
  <c r="L67" i="38" s="1"/>
  <c r="L66" i="38"/>
  <c r="L27" i="46"/>
  <c r="L21" i="52" s="1"/>
  <c r="L26" i="52" s="1"/>
  <c r="K56" i="46"/>
  <c r="J54" i="46"/>
  <c r="J51" i="46" s="1"/>
  <c r="K59" i="46"/>
  <c r="I127" i="46"/>
  <c r="I124" i="46" s="1"/>
  <c r="J129" i="46"/>
  <c r="J132" i="46" s="1"/>
  <c r="J131" i="46"/>
  <c r="L60" i="33"/>
  <c r="L63" i="33" s="1"/>
  <c r="K58" i="33"/>
  <c r="K52" i="33" s="1"/>
  <c r="L62" i="33"/>
  <c r="L95" i="38"/>
  <c r="L99" i="38" s="1"/>
  <c r="K93" i="38"/>
  <c r="K87" i="38" s="1"/>
  <c r="L98" i="38"/>
  <c r="J19" i="46"/>
  <c r="J7" i="52" s="1"/>
  <c r="J8" i="52" s="1"/>
  <c r="K13" i="33"/>
  <c r="K7" i="33" s="1"/>
  <c r="L15" i="33"/>
  <c r="L18" i="33" s="1"/>
  <c r="L17" i="33"/>
  <c r="L105" i="33"/>
  <c r="L108" i="33" s="1"/>
  <c r="K103" i="33"/>
  <c r="K97" i="33" s="1"/>
  <c r="K107" i="33" s="1"/>
  <c r="L75" i="33"/>
  <c r="L78" i="33" s="1"/>
  <c r="K73" i="33"/>
  <c r="K67" i="33" s="1"/>
  <c r="L77" i="33"/>
  <c r="M112" i="38"/>
  <c r="O31" i="38"/>
  <c r="N29" i="38"/>
  <c r="N23" i="38" s="1"/>
  <c r="O34" i="38"/>
  <c r="J12" i="46"/>
  <c r="J15" i="46" s="1"/>
  <c r="I10" i="46"/>
  <c r="I7" i="46" s="1"/>
  <c r="J14" i="46"/>
  <c r="L57" i="46"/>
  <c r="L23" i="52" s="1"/>
  <c r="L28" i="52" s="1"/>
  <c r="L34" i="52" s="1"/>
  <c r="K109" i="46"/>
  <c r="K34" i="46"/>
  <c r="K79" i="46"/>
  <c r="K87" i="46" s="1"/>
  <c r="K64" i="46"/>
  <c r="K72" i="46" s="1"/>
  <c r="K49" i="46"/>
  <c r="K57" i="46" s="1"/>
  <c r="K23" i="52" s="1"/>
  <c r="K28" i="52" s="1"/>
  <c r="K34" i="52" s="1"/>
  <c r="K94" i="46"/>
  <c r="K102" i="46" s="1"/>
  <c r="O48" i="38" l="1"/>
  <c r="O51" i="38"/>
  <c r="L29" i="52"/>
  <c r="L35" i="52" s="1"/>
  <c r="L32" i="52"/>
  <c r="K60" i="46"/>
  <c r="K13" i="52"/>
  <c r="K45" i="46"/>
  <c r="K12" i="52"/>
  <c r="K42" i="46"/>
  <c r="K22" i="52" s="1"/>
  <c r="K27" i="52" s="1"/>
  <c r="K33" i="52" s="1"/>
  <c r="I19" i="59"/>
  <c r="K117" i="46"/>
  <c r="L16" i="38"/>
  <c r="L19" i="38"/>
  <c r="O32" i="38"/>
  <c r="O35" i="38"/>
  <c r="K30" i="46"/>
  <c r="K11" i="52"/>
  <c r="J49" i="59"/>
  <c r="J64" i="59"/>
  <c r="J79" i="59"/>
  <c r="J94" i="59"/>
  <c r="J109" i="59"/>
  <c r="J34" i="59"/>
  <c r="J26" i="59"/>
  <c r="I24" i="59"/>
  <c r="I21" i="59" s="1"/>
  <c r="J29" i="59"/>
  <c r="J41" i="59"/>
  <c r="I39" i="59"/>
  <c r="I36" i="59" s="1"/>
  <c r="J44" i="59"/>
  <c r="K27" i="59"/>
  <c r="K30" i="59"/>
  <c r="K72" i="59"/>
  <c r="K75" i="59"/>
  <c r="J129" i="59"/>
  <c r="J132" i="59" s="1"/>
  <c r="I127" i="59"/>
  <c r="I124" i="59" s="1"/>
  <c r="J131" i="59"/>
  <c r="J86" i="59"/>
  <c r="I84" i="59"/>
  <c r="I81" i="59" s="1"/>
  <c r="J89" i="59"/>
  <c r="I54" i="59"/>
  <c r="I51" i="59" s="1"/>
  <c r="J56" i="59"/>
  <c r="J59" i="59"/>
  <c r="K117" i="59"/>
  <c r="K120" i="59"/>
  <c r="K42" i="59"/>
  <c r="K45" i="59"/>
  <c r="K87" i="59"/>
  <c r="K90" i="59"/>
  <c r="J101" i="59"/>
  <c r="I99" i="59"/>
  <c r="I96" i="59" s="1"/>
  <c r="J104" i="59"/>
  <c r="I10" i="59"/>
  <c r="I7" i="59" s="1"/>
  <c r="J12" i="59"/>
  <c r="J15" i="59" s="1"/>
  <c r="J14" i="59"/>
  <c r="K102" i="59"/>
  <c r="K105" i="59"/>
  <c r="K57" i="59"/>
  <c r="K60" i="59"/>
  <c r="J116" i="59"/>
  <c r="I114" i="59"/>
  <c r="I111" i="59" s="1"/>
  <c r="J119" i="59"/>
  <c r="J71" i="59"/>
  <c r="I69" i="59"/>
  <c r="I66" i="59" s="1"/>
  <c r="J74" i="59"/>
  <c r="K75" i="33"/>
  <c r="K78" i="33" s="1"/>
  <c r="J73" i="33"/>
  <c r="J67" i="33" s="1"/>
  <c r="K77" i="33"/>
  <c r="N47" i="38"/>
  <c r="M45" i="38"/>
  <c r="M39" i="38" s="1"/>
  <c r="N50" i="38"/>
  <c r="I114" i="46"/>
  <c r="I111" i="46" s="1"/>
  <c r="J116" i="46"/>
  <c r="J120" i="46" s="1"/>
  <c r="J119" i="46"/>
  <c r="J58" i="33"/>
  <c r="J52" i="33" s="1"/>
  <c r="K60" i="33"/>
  <c r="K63" i="33" s="1"/>
  <c r="K62" i="33"/>
  <c r="L112" i="38"/>
  <c r="K111" i="38"/>
  <c r="K115" i="38" s="1"/>
  <c r="J109" i="38"/>
  <c r="J103" i="38" s="1"/>
  <c r="K114" i="38"/>
  <c r="J56" i="46"/>
  <c r="I54" i="46"/>
  <c r="I51" i="46" s="1"/>
  <c r="J59" i="46"/>
  <c r="J88" i="33"/>
  <c r="J82" i="33" s="1"/>
  <c r="K90" i="33"/>
  <c r="K93" i="33" s="1"/>
  <c r="K92" i="33"/>
  <c r="I12" i="46"/>
  <c r="I15" i="46" s="1"/>
  <c r="H10" i="46"/>
  <c r="H7" i="46" s="1"/>
  <c r="I14" i="46"/>
  <c r="I101" i="46"/>
  <c r="I105" i="46" s="1"/>
  <c r="H99" i="46"/>
  <c r="H96" i="46" s="1"/>
  <c r="I104" i="46"/>
  <c r="L64" i="38"/>
  <c r="K15" i="38"/>
  <c r="K19" i="38" s="1"/>
  <c r="J13" i="38"/>
  <c r="J7" i="38" s="1"/>
  <c r="K18" i="38"/>
  <c r="L43" i="33"/>
  <c r="L37" i="33" s="1"/>
  <c r="M45" i="33"/>
  <c r="M48" i="33" s="1"/>
  <c r="M47" i="33"/>
  <c r="J26" i="46"/>
  <c r="I24" i="46"/>
  <c r="I21" i="46" s="1"/>
  <c r="J29" i="46"/>
  <c r="I69" i="46"/>
  <c r="I66" i="46" s="1"/>
  <c r="J71" i="46"/>
  <c r="J75" i="46" s="1"/>
  <c r="J74" i="46"/>
  <c r="K95" i="38"/>
  <c r="K99" i="38" s="1"/>
  <c r="J93" i="38"/>
  <c r="J87" i="38" s="1"/>
  <c r="K98" i="38"/>
  <c r="J61" i="38"/>
  <c r="J55" i="38" s="1"/>
  <c r="K63" i="38"/>
  <c r="K67" i="38" s="1"/>
  <c r="K66" i="38"/>
  <c r="I86" i="46"/>
  <c r="I90" i="46" s="1"/>
  <c r="H84" i="46"/>
  <c r="H81" i="46" s="1"/>
  <c r="I89" i="46"/>
  <c r="I39" i="46"/>
  <c r="I36" i="46" s="1"/>
  <c r="J41" i="46"/>
  <c r="J44" i="46"/>
  <c r="L28" i="33"/>
  <c r="L22" i="33" s="1"/>
  <c r="M30" i="33"/>
  <c r="M33" i="33" s="1"/>
  <c r="M32" i="33"/>
  <c r="J103" i="33"/>
  <c r="J97" i="33" s="1"/>
  <c r="J107" i="33" s="1"/>
  <c r="K105" i="33"/>
  <c r="K108" i="33" s="1"/>
  <c r="H127" i="46"/>
  <c r="H124" i="46" s="1"/>
  <c r="I129" i="46"/>
  <c r="I132" i="46" s="1"/>
  <c r="I131" i="46"/>
  <c r="I19" i="46"/>
  <c r="I7" i="52" s="1"/>
  <c r="I8" i="52" s="1"/>
  <c r="J13" i="33"/>
  <c r="J7" i="33" s="1"/>
  <c r="H19" i="59" s="1"/>
  <c r="K15" i="33"/>
  <c r="K18" i="33" s="1"/>
  <c r="K17" i="33"/>
  <c r="J109" i="46"/>
  <c r="J79" i="46"/>
  <c r="J87" i="46" s="1"/>
  <c r="J34" i="46"/>
  <c r="J64" i="46"/>
  <c r="J94" i="46"/>
  <c r="J102" i="46" s="1"/>
  <c r="J49" i="46"/>
  <c r="J57" i="46" s="1"/>
  <c r="J23" i="52" s="1"/>
  <c r="J28" i="52" s="1"/>
  <c r="J34" i="52" s="1"/>
  <c r="N31" i="38"/>
  <c r="M29" i="38"/>
  <c r="M23" i="38" s="1"/>
  <c r="N34" i="38"/>
  <c r="K27" i="46"/>
  <c r="K21" i="52" s="1"/>
  <c r="K26" i="52" s="1"/>
  <c r="L96" i="38"/>
  <c r="L80" i="38"/>
  <c r="K79" i="38"/>
  <c r="J77" i="38"/>
  <c r="J71" i="38" s="1"/>
  <c r="K82" i="38"/>
  <c r="H49" i="59" l="1"/>
  <c r="H34" i="59"/>
  <c r="H109" i="59"/>
  <c r="H79" i="59"/>
  <c r="H64" i="59"/>
  <c r="H94" i="59"/>
  <c r="K29" i="52"/>
  <c r="K35" i="52" s="1"/>
  <c r="K32" i="52"/>
  <c r="I64" i="59"/>
  <c r="I49" i="59"/>
  <c r="I79" i="59"/>
  <c r="I94" i="59"/>
  <c r="I34" i="59"/>
  <c r="I109" i="59"/>
  <c r="N48" i="38"/>
  <c r="N51" i="38"/>
  <c r="K80" i="38"/>
  <c r="K83" i="38"/>
  <c r="N32" i="38"/>
  <c r="N35" i="38"/>
  <c r="J30" i="46"/>
  <c r="J11" i="52"/>
  <c r="J45" i="46"/>
  <c r="J12" i="52"/>
  <c r="J117" i="46"/>
  <c r="J60" i="46"/>
  <c r="J13" i="52"/>
  <c r="H84" i="59"/>
  <c r="H81" i="59" s="1"/>
  <c r="I86" i="59"/>
  <c r="I89" i="59"/>
  <c r="I129" i="59"/>
  <c r="I132" i="59" s="1"/>
  <c r="H127" i="59"/>
  <c r="H124" i="59" s="1"/>
  <c r="I131" i="59"/>
  <c r="I116" i="59"/>
  <c r="H114" i="59"/>
  <c r="H111" i="59" s="1"/>
  <c r="I119" i="59"/>
  <c r="J90" i="59"/>
  <c r="J87" i="59"/>
  <c r="I71" i="59"/>
  <c r="H69" i="59"/>
  <c r="H66" i="59" s="1"/>
  <c r="I74" i="59"/>
  <c r="J45" i="59"/>
  <c r="J42" i="59"/>
  <c r="H10" i="59"/>
  <c r="H7" i="59" s="1"/>
  <c r="I12" i="59"/>
  <c r="I15" i="59" s="1"/>
  <c r="I14" i="59"/>
  <c r="J72" i="59"/>
  <c r="J75" i="59"/>
  <c r="J102" i="59"/>
  <c r="J105" i="59"/>
  <c r="I41" i="59"/>
  <c r="H39" i="59"/>
  <c r="H36" i="59" s="1"/>
  <c r="I44" i="59"/>
  <c r="J57" i="59"/>
  <c r="J60" i="59"/>
  <c r="I26" i="59"/>
  <c r="H24" i="59"/>
  <c r="H21" i="59" s="1"/>
  <c r="I29" i="59"/>
  <c r="H99" i="59"/>
  <c r="H96" i="59" s="1"/>
  <c r="I101" i="59"/>
  <c r="I104" i="59"/>
  <c r="J120" i="59"/>
  <c r="J117" i="59"/>
  <c r="I56" i="59"/>
  <c r="H54" i="59"/>
  <c r="H51" i="59" s="1"/>
  <c r="I59" i="59"/>
  <c r="J27" i="59"/>
  <c r="J30" i="59"/>
  <c r="L30" i="33"/>
  <c r="L33" i="33" s="1"/>
  <c r="K28" i="33"/>
  <c r="K22" i="33" s="1"/>
  <c r="L32" i="33"/>
  <c r="H39" i="46"/>
  <c r="H36" i="46" s="1"/>
  <c r="I41" i="46"/>
  <c r="I44" i="46"/>
  <c r="H69" i="46"/>
  <c r="H66" i="46" s="1"/>
  <c r="I71" i="46"/>
  <c r="I75" i="46" s="1"/>
  <c r="I74" i="46"/>
  <c r="H24" i="46"/>
  <c r="H21" i="46" s="1"/>
  <c r="I26" i="46"/>
  <c r="I29" i="46"/>
  <c r="H19" i="46"/>
  <c r="H7" i="52" s="1"/>
  <c r="J15" i="33"/>
  <c r="J18" i="33" s="1"/>
  <c r="J17" i="33"/>
  <c r="I109" i="46"/>
  <c r="I94" i="46"/>
  <c r="I102" i="46" s="1"/>
  <c r="I79" i="46"/>
  <c r="I87" i="46" s="1"/>
  <c r="I64" i="46"/>
  <c r="I49" i="46"/>
  <c r="I34" i="46"/>
  <c r="I42" i="46" s="1"/>
  <c r="I22" i="52" s="1"/>
  <c r="I27" i="52" s="1"/>
  <c r="I116" i="46"/>
  <c r="I120" i="46" s="1"/>
  <c r="H114" i="46"/>
  <c r="H111" i="46" s="1"/>
  <c r="I119" i="46"/>
  <c r="I56" i="46"/>
  <c r="H54" i="46"/>
  <c r="H51" i="46" s="1"/>
  <c r="I59" i="46"/>
  <c r="L45" i="38"/>
  <c r="L39" i="38" s="1"/>
  <c r="M47" i="38"/>
  <c r="M50" i="38"/>
  <c r="H12" i="46"/>
  <c r="H15" i="46" s="1"/>
  <c r="AD9" i="46"/>
  <c r="H14" i="46"/>
  <c r="AD10" i="46"/>
  <c r="J63" i="38"/>
  <c r="J67" i="38" s="1"/>
  <c r="J66" i="38"/>
  <c r="J90" i="33"/>
  <c r="J93" i="33" s="1"/>
  <c r="J92" i="33"/>
  <c r="H129" i="46"/>
  <c r="H132" i="46" s="1"/>
  <c r="H131" i="46"/>
  <c r="K43" i="33"/>
  <c r="K37" i="33" s="1"/>
  <c r="L45" i="33"/>
  <c r="L48" i="33" s="1"/>
  <c r="L47" i="33"/>
  <c r="K64" i="38"/>
  <c r="J27" i="46"/>
  <c r="J21" i="52" s="1"/>
  <c r="J26" i="52" s="1"/>
  <c r="K16" i="38"/>
  <c r="J79" i="38"/>
  <c r="J83" i="38" s="1"/>
  <c r="J82" i="38"/>
  <c r="J60" i="33"/>
  <c r="J63" i="33" s="1"/>
  <c r="J62" i="33"/>
  <c r="H86" i="46"/>
  <c r="H90" i="46" s="1"/>
  <c r="H89" i="46"/>
  <c r="J15" i="38"/>
  <c r="J19" i="38" s="1"/>
  <c r="J18" i="38"/>
  <c r="J95" i="38"/>
  <c r="J99" i="38" s="1"/>
  <c r="J98" i="38"/>
  <c r="J111" i="38"/>
  <c r="J115" i="38" s="1"/>
  <c r="J114" i="38"/>
  <c r="J75" i="33"/>
  <c r="J78" i="33" s="1"/>
  <c r="J77" i="33"/>
  <c r="H101" i="46"/>
  <c r="H105" i="46" s="1"/>
  <c r="H104" i="46"/>
  <c r="L29" i="38"/>
  <c r="L23" i="38" s="1"/>
  <c r="M31" i="38"/>
  <c r="M34" i="38"/>
  <c r="J105" i="33"/>
  <c r="J108" i="33" s="1"/>
  <c r="J72" i="46"/>
  <c r="J42" i="46"/>
  <c r="J22" i="52" s="1"/>
  <c r="J27" i="52" s="1"/>
  <c r="J33" i="52" s="1"/>
  <c r="K96" i="38"/>
  <c r="K112" i="38"/>
  <c r="I33" i="52" l="1"/>
  <c r="I30" i="46"/>
  <c r="I11" i="52"/>
  <c r="I45" i="46"/>
  <c r="I12" i="52"/>
  <c r="I60" i="46"/>
  <c r="I13" i="52"/>
  <c r="M32" i="38"/>
  <c r="M35" i="38"/>
  <c r="J29" i="52"/>
  <c r="J35" i="52" s="1"/>
  <c r="J32" i="52"/>
  <c r="M48" i="38"/>
  <c r="M51" i="38"/>
  <c r="H8" i="52"/>
  <c r="H26" i="59"/>
  <c r="H29" i="59"/>
  <c r="H101" i="59"/>
  <c r="H104" i="59"/>
  <c r="H71" i="59"/>
  <c r="H74" i="59"/>
  <c r="H41" i="59"/>
  <c r="H44" i="59"/>
  <c r="I72" i="59"/>
  <c r="I75" i="59"/>
  <c r="H116" i="59"/>
  <c r="H119" i="59"/>
  <c r="H56" i="59"/>
  <c r="H59" i="59"/>
  <c r="H129" i="59"/>
  <c r="H132" i="59" s="1"/>
  <c r="H131" i="59"/>
  <c r="I90" i="59"/>
  <c r="I87" i="59"/>
  <c r="I27" i="59"/>
  <c r="I30" i="59"/>
  <c r="I45" i="59"/>
  <c r="I42" i="59"/>
  <c r="I117" i="59"/>
  <c r="I120" i="59"/>
  <c r="I57" i="59"/>
  <c r="I60" i="59"/>
  <c r="I105" i="59"/>
  <c r="I102" i="59"/>
  <c r="H12" i="59"/>
  <c r="H15" i="59" s="1"/>
  <c r="AD10" i="59"/>
  <c r="AD9" i="59"/>
  <c r="H14" i="59"/>
  <c r="H86" i="59"/>
  <c r="H89" i="59"/>
  <c r="H56" i="46"/>
  <c r="H59" i="46"/>
  <c r="K45" i="38"/>
  <c r="K39" i="38" s="1"/>
  <c r="L47" i="38"/>
  <c r="L50" i="38"/>
  <c r="J64" i="38"/>
  <c r="H64" i="46"/>
  <c r="H79" i="46"/>
  <c r="H87" i="46" s="1"/>
  <c r="H94" i="46"/>
  <c r="H102" i="46" s="1"/>
  <c r="H34" i="46"/>
  <c r="H42" i="46" s="1"/>
  <c r="H22" i="52" s="1"/>
  <c r="H27" i="52" s="1"/>
  <c r="H27" i="46"/>
  <c r="H21" i="52" s="1"/>
  <c r="H49" i="46"/>
  <c r="H57" i="46" s="1"/>
  <c r="H23" i="52" s="1"/>
  <c r="H28" i="52" s="1"/>
  <c r="H109" i="46"/>
  <c r="H117" i="46" s="1"/>
  <c r="J43" i="33"/>
  <c r="J37" i="33" s="1"/>
  <c r="K45" i="33"/>
  <c r="K48" i="33" s="1"/>
  <c r="K47" i="33"/>
  <c r="I72" i="46"/>
  <c r="H41" i="46"/>
  <c r="H44" i="46"/>
  <c r="L31" i="38"/>
  <c r="K29" i="38"/>
  <c r="K23" i="38" s="1"/>
  <c r="L34" i="38"/>
  <c r="J112" i="38"/>
  <c r="H116" i="46"/>
  <c r="H120" i="46" s="1"/>
  <c r="H119" i="46"/>
  <c r="J16" i="38"/>
  <c r="I27" i="46"/>
  <c r="I21" i="52" s="1"/>
  <c r="I26" i="52" s="1"/>
  <c r="I32" i="52" s="1"/>
  <c r="J80" i="38"/>
  <c r="I57" i="46"/>
  <c r="I23" i="52" s="1"/>
  <c r="I28" i="52" s="1"/>
  <c r="I34" i="52" s="1"/>
  <c r="I117" i="46"/>
  <c r="K30" i="33"/>
  <c r="K33" i="33" s="1"/>
  <c r="J28" i="33"/>
  <c r="J22" i="33" s="1"/>
  <c r="K32" i="33"/>
  <c r="H26" i="46"/>
  <c r="H29" i="46"/>
  <c r="H71" i="46"/>
  <c r="H75" i="46" s="1"/>
  <c r="H74" i="46"/>
  <c r="J96" i="38"/>
  <c r="C35" i="56" l="1"/>
  <c r="H26" i="52"/>
  <c r="H34" i="52"/>
  <c r="H33" i="52"/>
  <c r="L32" i="38"/>
  <c r="L35" i="38"/>
  <c r="H45" i="46"/>
  <c r="H12" i="52"/>
  <c r="H60" i="46"/>
  <c r="H13" i="52"/>
  <c r="L48" i="38"/>
  <c r="L51" i="38"/>
  <c r="H30" i="46"/>
  <c r="H11" i="52"/>
  <c r="I29" i="52"/>
  <c r="I35" i="52" s="1"/>
  <c r="H45" i="59"/>
  <c r="H42" i="59"/>
  <c r="H102" i="59"/>
  <c r="H105" i="59"/>
  <c r="H60" i="59"/>
  <c r="H57" i="59"/>
  <c r="H120" i="59"/>
  <c r="H117" i="59"/>
  <c r="H72" i="59"/>
  <c r="H75" i="59"/>
  <c r="H87" i="59"/>
  <c r="H90" i="59"/>
  <c r="H27" i="59"/>
  <c r="H30" i="59"/>
  <c r="J45" i="33"/>
  <c r="J48" i="33" s="1"/>
  <c r="J47" i="33"/>
  <c r="H72" i="46"/>
  <c r="J45" i="38"/>
  <c r="J39" i="38" s="1"/>
  <c r="K47" i="38"/>
  <c r="K50" i="38"/>
  <c r="J30" i="33"/>
  <c r="J33" i="33" s="1"/>
  <c r="J32" i="33"/>
  <c r="AF28" i="33"/>
  <c r="AF27" i="33"/>
  <c r="K31" i="38"/>
  <c r="J29" i="38"/>
  <c r="J23" i="38" s="1"/>
  <c r="K34" i="38"/>
  <c r="K32" i="38" l="1"/>
  <c r="K35" i="38"/>
  <c r="H29" i="52"/>
  <c r="H35" i="52" s="1"/>
  <c r="H32" i="52"/>
  <c r="K48" i="38"/>
  <c r="K51" i="38"/>
  <c r="J31" i="38"/>
  <c r="J34" i="38"/>
  <c r="J47" i="38"/>
  <c r="J50" i="38"/>
  <c r="J48" i="38" l="1"/>
  <c r="J51" i="38"/>
  <c r="J32" i="38"/>
  <c r="AF32" i="38" s="1"/>
  <c r="J35" i="38"/>
  <c r="C10" i="60" l="1"/>
  <c r="C60" i="60"/>
  <c r="C7" i="60"/>
  <c r="C59" i="60" s="1"/>
  <c r="C16" i="60" l="1"/>
  <c r="C155" i="61"/>
  <c r="C18" i="60"/>
  <c r="C26" i="60"/>
  <c r="C28" i="60" s="1"/>
  <c r="C29" i="60" s="1"/>
  <c r="C30" i="60" s="1"/>
  <c r="E26" i="60"/>
  <c r="E28" i="60" s="1"/>
  <c r="E48" i="60" s="1"/>
  <c r="E50" i="60" s="1"/>
  <c r="E51" i="60" s="1"/>
  <c r="E53" i="60" s="1"/>
  <c r="E54" i="60" s="1"/>
  <c r="D34" i="60"/>
  <c r="E35" i="60"/>
  <c r="D35" i="60"/>
  <c r="D33" i="60"/>
  <c r="E34" i="60"/>
  <c r="E33" i="60"/>
  <c r="D26" i="60"/>
  <c r="D28" i="60" s="1"/>
  <c r="C140" i="61" l="1"/>
  <c r="D140" i="61"/>
  <c r="C84" i="61"/>
  <c r="C158" i="61"/>
  <c r="E39" i="60"/>
  <c r="E44" i="60" s="1"/>
  <c r="E40" i="60"/>
  <c r="E45" i="60" s="1"/>
  <c r="D40" i="60"/>
  <c r="D38" i="60"/>
  <c r="D43" i="60" s="1"/>
  <c r="D39" i="60"/>
  <c r="E38" i="60"/>
  <c r="E43" i="60" s="1"/>
  <c r="D29" i="60"/>
  <c r="D30" i="60" s="1"/>
  <c r="D45" i="60"/>
  <c r="D48" i="60"/>
  <c r="D50" i="60" s="1"/>
  <c r="D51" i="60" s="1"/>
  <c r="D53" i="60" s="1"/>
  <c r="D54" i="60" s="1"/>
  <c r="D44" i="60"/>
  <c r="E29" i="60"/>
  <c r="E30" i="60" s="1"/>
  <c r="C109" i="61" l="1"/>
  <c r="D135" i="61"/>
  <c r="C108" i="61"/>
  <c r="D79" i="61"/>
  <c r="C124" i="61"/>
  <c r="D132" i="61"/>
  <c r="D131" i="61"/>
  <c r="D171" i="61"/>
  <c r="C91" i="61" s="1"/>
  <c r="C86" i="61"/>
  <c r="C90" i="61" s="1"/>
  <c r="C141" i="61"/>
  <c r="C121" i="61"/>
  <c r="C113" i="61"/>
  <c r="C42" i="62"/>
  <c r="C8" i="62" s="1"/>
  <c r="C128" i="61"/>
  <c r="D69" i="61"/>
  <c r="D184" i="61" s="1"/>
  <c r="D78" i="61" s="1"/>
  <c r="C69" i="61"/>
  <c r="C72" i="61" s="1"/>
  <c r="C112" i="61" l="1"/>
  <c r="D108" i="61"/>
  <c r="D109" i="61"/>
  <c r="C125" i="61"/>
  <c r="C126" i="61"/>
  <c r="D133" i="61"/>
  <c r="D72" i="61"/>
  <c r="C127" i="61"/>
  <c r="C10" i="62"/>
  <c r="E10" i="62"/>
  <c r="G9" i="62"/>
  <c r="E8" i="62"/>
  <c r="D7" i="62"/>
  <c r="D11" i="62"/>
  <c r="D10" i="62"/>
  <c r="C11" i="62"/>
  <c r="C7" i="62"/>
  <c r="G7" i="62"/>
  <c r="G11" i="62"/>
  <c r="E11" i="62"/>
  <c r="C9" i="62"/>
  <c r="E7" i="62"/>
  <c r="E9" i="62"/>
  <c r="G10" i="62"/>
  <c r="F7" i="62"/>
  <c r="F10" i="62"/>
  <c r="F9" i="62"/>
  <c r="F8" i="62"/>
  <c r="F11" i="62"/>
  <c r="D9" i="62"/>
  <c r="G8" i="62"/>
  <c r="D8" i="62"/>
  <c r="C142" i="61"/>
  <c r="C161" i="61"/>
  <c r="D75" i="61" l="1"/>
  <c r="D134" i="61" s="1"/>
  <c r="D77" i="61"/>
  <c r="D110" i="61"/>
  <c r="D111" i="61"/>
  <c r="C54" i="62"/>
  <c r="D142" i="61"/>
  <c r="D76" i="61"/>
  <c r="C76" i="61"/>
  <c r="C75" i="61"/>
  <c r="D112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<sst xmlns="http://schemas.openxmlformats.org/spreadsheetml/2006/main" count="25800" uniqueCount="2447">
  <si>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</si>
  <si>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</si>
  <si>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</si>
  <si>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</si>
  <si>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</si>
  <si>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</si>
  <si>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</si>
  <si>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</si>
  <si>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</si>
  <si>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</si>
  <si>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</si>
  <si>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</si>
  <si>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</si>
  <si>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</si>
  <si>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</si>
  <si>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</si>
  <si>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</si>
  <si>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</si>
  <si>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</si>
  <si>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</si>
  <si>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</si>
  <si>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</si>
  <si>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</si>
  <si>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</si>
  <si>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</si>
  <si>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</si>
  <si>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</si>
  <si>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</si>
  <si>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</si>
  <si>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</si>
  <si>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</si>
  <si>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</si>
  <si>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</si>
  <si>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</si>
  <si>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</si>
  <si>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</si>
  <si>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</si>
  <si>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</si>
  <si>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</si>
  <si>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</si>
  <si>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</si>
  <si>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</si>
  <si>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</si>
  <si>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</si>
  <si>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</si>
  <si>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</si>
  <si>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</si>
  <si>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</si>
  <si>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</si>
  <si>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</si>
  <si>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</si>
  <si>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</si>
  <si>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</si>
  <si>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</si>
  <si>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</si>
  <si>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</si>
  <si>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</si>
  <si>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</si>
  <si>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</si>
  <si>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</si>
  <si>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</si>
  <si>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</si>
  <si>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</si>
  <si>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</si>
  <si>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</si>
  <si>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</si>
  <si>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</si>
  <si>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</si>
  <si>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</si>
  <si>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</si>
  <si>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</si>
  <si>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</si>
  <si>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</si>
  <si>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</si>
  <si>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</si>
  <si>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</si>
  <si>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</si>
  <si>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</si>
  <si>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</si>
  <si>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</si>
  <si>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</si>
  <si>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</si>
  <si>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</si>
  <si>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</si>
  <si>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</si>
  <si>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</si>
  <si>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</si>
  <si>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</si>
  <si>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</si>
  <si>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</si>
  <si>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</si>
  <si>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</si>
  <si>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</si>
  <si>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</si>
  <si>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</si>
  <si>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</si>
  <si>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</si>
  <si>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</si>
  <si>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</si>
  <si>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</si>
  <si>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</si>
  <si>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</si>
  <si>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</si>
  <si>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</si>
  <si>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</si>
  <si>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</si>
  <si>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</si>
  <si>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</si>
  <si>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</si>
  <si>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</si>
  <si>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</si>
  <si>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</si>
  <si>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</si>
  <si>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</si>
  <si>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</si>
  <si>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</si>
  <si>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</si>
  <si>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</si>
  <si>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</si>
  <si>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</si>
  <si>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</si>
  <si>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</si>
  <si>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</si>
  <si>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</si>
  <si>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</si>
  <si>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</si>
  <si>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</si>
  <si>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</si>
  <si>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</si>
  <si>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</si>
  <si>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</si>
  <si>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</si>
  <si>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</si>
  <si>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</si>
  <si>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</si>
  <si>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</si>
  <si>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</si>
  <si>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</si>
  <si>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</si>
  <si>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</si>
  <si>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</si>
  <si>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</si>
  <si>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</si>
  <si>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</si>
  <si>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</si>
  <si>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</si>
  <si>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</si>
  <si>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</si>
  <si>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</si>
  <si>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</si>
  <si>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</si>
  <si>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</si>
  <si>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</si>
  <si>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</si>
  <si>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</si>
  <si>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</si>
  <si>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</si>
  <si>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</si>
  <si>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</si>
  <si>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</si>
  <si>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</si>
  <si>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</si>
  <si>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</si>
  <si>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</si>
  <si>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</si>
  <si>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</si>
  <si>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</si>
  <si>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</si>
  <si>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</si>
  <si>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</si>
  <si>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</si>
  <si>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</si>
  <si>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</si>
  <si>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</si>
  <si>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</si>
  <si>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</si>
  <si>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</si>
  <si>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</si>
  <si>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</si>
  <si>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</si>
  <si>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</si>
  <si>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</si>
  <si>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</si>
  <si>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</si>
  <si>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</si>
  <si>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</si>
  <si>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</si>
  <si>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</si>
  <si>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</si>
  <si>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</si>
  <si>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</si>
  <si>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</si>
  <si>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</si>
  <si>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</si>
  <si>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</si>
  <si>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</si>
  <si>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</si>
  <si>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</si>
  <si>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</si>
  <si>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</si>
  <si>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</si>
  <si>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</si>
  <si>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</si>
  <si>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</si>
  <si>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</si>
  <si>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</si>
  <si>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</si>
  <si>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</si>
  <si>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</si>
  <si>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</si>
  <si>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</si>
  <si>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</si>
  <si>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</si>
  <si>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</si>
  <si>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</si>
  <si>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</si>
  <si>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</si>
  <si>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</si>
  <si>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</si>
  <si>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</si>
  <si>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</si>
  <si>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</si>
  <si>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</si>
  <si>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</si>
  <si>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</si>
  <si>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</si>
  <si>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</si>
  <si>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</si>
  <si>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</si>
  <si>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</si>
  <si>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</si>
  <si>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</si>
  <si>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</si>
  <si>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</si>
  <si>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</si>
  <si>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</si>
  <si>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</si>
  <si>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</si>
  <si>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</si>
  <si>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</si>
  <si>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</si>
  <si>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</si>
  <si>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</si>
  <si>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</si>
  <si>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</si>
  <si>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</si>
  <si>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</si>
  <si>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</si>
  <si>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</si>
  <si>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</si>
  <si>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</si>
  <si>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</si>
  <si>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</si>
  <si>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</si>
  <si>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</si>
  <si>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</si>
  <si>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</si>
  <si>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</si>
  <si>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</si>
  <si>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</si>
  <si>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</si>
  <si>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</si>
  <si>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</si>
  <si>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</si>
  <si>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</si>
  <si>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</si>
  <si>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</si>
  <si>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</si>
  <si>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</si>
  <si>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</si>
  <si>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</si>
  <si>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</si>
  <si>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</si>
  <si>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</si>
  <si>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</si>
  <si>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</si>
  <si>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</si>
  <si>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</si>
  <si>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</si>
  <si>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</si>
  <si>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</si>
  <si>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</si>
  <si>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</si>
  <si>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</si>
  <si>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</si>
  <si>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</si>
  <si>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</si>
  <si>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</si>
  <si>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</si>
  <si>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</si>
  <si>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</si>
  <si>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</si>
  <si>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</si>
  <si>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</si>
  <si>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</si>
  <si>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</si>
  <si>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</si>
  <si>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</si>
  <si>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</si>
  <si>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</si>
  <si>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</si>
  <si>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</si>
  <si>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</si>
  <si>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</si>
  <si>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</si>
  <si>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</si>
  <si>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</si>
  <si>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</si>
  <si>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</si>
  <si>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</si>
  <si>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</si>
  <si>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</si>
  <si>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</si>
  <si>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</si>
  <si>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</si>
  <si>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</si>
  <si>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</si>
  <si>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</si>
  <si>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</si>
  <si>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</si>
  <si>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</si>
  <si>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</si>
  <si>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</si>
  <si>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</si>
  <si>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</si>
  <si>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</si>
  <si>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</si>
  <si>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</si>
  <si>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</si>
  <si>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</si>
  <si>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</si>
  <si>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</si>
  <si>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</si>
  <si>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</si>
  <si>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</si>
  <si>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</si>
  <si>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</si>
  <si>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</si>
  <si>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</si>
  <si>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</si>
  <si>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</si>
  <si>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</si>
  <si>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</si>
  <si>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</si>
  <si>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</si>
  <si>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</si>
  <si>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</si>
  <si>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</si>
  <si>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</si>
  <si>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</si>
  <si>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</si>
  <si>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</si>
  <si>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</si>
  <si>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</si>
  <si>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</si>
  <si>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</si>
  <si>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</si>
  <si>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</si>
  <si>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</si>
  <si>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</si>
  <si>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</si>
  <si>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</si>
  <si>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</si>
  <si>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</si>
  <si>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</si>
  <si>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</si>
  <si>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</si>
  <si>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</si>
  <si>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</si>
  <si>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</si>
  <si>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</si>
  <si>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</si>
  <si>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</si>
  <si>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</si>
  <si>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</si>
  <si>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</si>
  <si>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</si>
  <si>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</si>
  <si>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</si>
  <si>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</si>
  <si>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</si>
  <si>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</si>
  <si>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</si>
  <si>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</si>
  <si>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</si>
  <si>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</si>
  <si>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</si>
  <si>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</si>
  <si>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</si>
  <si>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</si>
  <si>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</si>
  <si>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</si>
  <si>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</si>
  <si>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</si>
  <si>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</si>
  <si>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</si>
  <si>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</si>
  <si>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</si>
  <si>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</si>
  <si>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</si>
  <si>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</si>
  <si>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</si>
  <si>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</si>
  <si>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</si>
  <si>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</si>
  <si>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</si>
  <si>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</si>
  <si>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</si>
  <si>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</si>
  <si>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</si>
  <si>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</si>
  <si>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</si>
  <si>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</si>
  <si>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</si>
  <si>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</si>
  <si>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</si>
  <si>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</si>
  <si>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</si>
  <si>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</si>
  <si>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</si>
  <si>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</si>
  <si>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</si>
  <si>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</si>
  <si>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</si>
  <si>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</si>
  <si>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</si>
  <si>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</si>
  <si>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</si>
  <si>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</si>
  <si>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</si>
  <si>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</si>
  <si>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</si>
  <si>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</si>
  <si>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</si>
  <si>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</si>
  <si>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</si>
  <si>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</si>
  <si>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</si>
  <si>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</si>
  <si>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</si>
  <si>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</si>
  <si>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</si>
  <si>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</si>
  <si>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</si>
  <si>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</si>
  <si>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</si>
  <si>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</si>
  <si>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</si>
  <si>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</si>
  <si>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</si>
  <si>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</si>
  <si>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</si>
  <si>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</si>
  <si>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</si>
  <si>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</si>
  <si>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</si>
  <si>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</si>
  <si>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</si>
  <si>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</si>
  <si>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</si>
  <si>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</si>
  <si>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</si>
  <si>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</si>
  <si>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</si>
  <si>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</si>
  <si>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</si>
  <si>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</si>
  <si>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</si>
  <si>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</si>
  <si>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</si>
  <si>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</si>
  <si>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</si>
  <si>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</si>
  <si>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</si>
  <si>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</si>
  <si>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</si>
  <si>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</si>
  <si>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</si>
  <si>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</si>
  <si>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</si>
  <si>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</si>
  <si>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</si>
  <si>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</si>
  <si>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</si>
  <si>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</si>
  <si>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</si>
  <si>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</si>
  <si>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</si>
  <si>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</si>
  <si>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</si>
  <si>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</si>
  <si>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</si>
  <si>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</si>
  <si>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</si>
  <si>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</si>
  <si>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</si>
  <si>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</si>
  <si>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</si>
  <si>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</si>
  <si>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</si>
  <si>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</si>
  <si>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</si>
  <si>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</si>
  <si>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</si>
  <si>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</si>
  <si>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</si>
  <si>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</si>
  <si>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</si>
  <si>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</si>
  <si>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</si>
  <si>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</si>
  <si>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</si>
  <si>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</si>
  <si>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</si>
  <si>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</si>
  <si>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</si>
  <si>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</si>
  <si>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</si>
  <si>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</si>
  <si>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</si>
  <si>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</si>
  <si>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</si>
  <si>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</si>
  <si>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</si>
  <si>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</si>
  <si>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</si>
  <si>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</si>
  <si>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</si>
  <si>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</si>
  <si>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</si>
  <si>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</si>
  <si>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</si>
  <si>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</si>
  <si>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</si>
  <si>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</si>
  <si>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</si>
  <si>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</si>
  <si>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</si>
  <si>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</si>
  <si>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</si>
  <si>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</si>
  <si>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</si>
  <si>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</si>
  <si>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</si>
  <si>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</si>
  <si>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</si>
  <si>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</si>
  <si>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</si>
  <si>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</si>
  <si>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</si>
  <si>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</si>
  <si>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</si>
  <si>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</si>
  <si>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</si>
  <si>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</si>
  <si>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</si>
  <si>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</si>
  <si>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</si>
  <si>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</si>
  <si>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</si>
  <si>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</si>
  <si>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</si>
  <si>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</si>
  <si>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</si>
  <si>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</si>
  <si>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</si>
  <si>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</si>
  <si>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</si>
  <si>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</si>
  <si>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</si>
  <si>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</si>
  <si>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</si>
  <si>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</si>
  <si>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</si>
  <si>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</si>
  <si>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</si>
  <si>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</si>
  <si>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</si>
  <si>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</si>
  <si>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</si>
  <si>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</si>
  <si>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</si>
  <si>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</si>
  <si>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</si>
  <si>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</si>
  <si>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</si>
  <si>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</si>
  <si>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</si>
  <si>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</si>
  <si>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</si>
  <si>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</si>
  <si>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</si>
  <si>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</si>
  <si>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</si>
  <si>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</si>
  <si>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</si>
  <si>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</si>
  <si>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</si>
  <si>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</si>
  <si>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</si>
  <si>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</si>
  <si>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</si>
  <si>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</si>
  <si>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</si>
  <si>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</si>
  <si>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</si>
  <si>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</si>
  <si>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</si>
  <si>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</si>
  <si>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</si>
  <si>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</si>
  <si>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</si>
  <si>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</si>
  <si>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</si>
  <si>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</si>
  <si>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</si>
  <si>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</si>
  <si>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</si>
  <si>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</si>
  <si>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</si>
  <si>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</si>
  <si>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</si>
  <si>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</si>
  <si>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</si>
  <si>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</si>
  <si>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</si>
  <si>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</si>
  <si>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</si>
  <si>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</si>
  <si>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</si>
  <si>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</si>
  <si>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</si>
  <si>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</si>
  <si>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</si>
  <si>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</si>
  <si>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</si>
  <si>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</si>
  <si>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</si>
  <si>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</si>
  <si>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</si>
  <si>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</si>
  <si>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</si>
  <si>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</si>
  <si>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</si>
  <si>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</si>
  <si>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</si>
  <si>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</si>
  <si>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</si>
  <si>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</si>
  <si>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</si>
  <si>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</si>
  <si>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</si>
  <si>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</si>
  <si>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</si>
  <si>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</si>
  <si>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</si>
  <si>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</si>
  <si>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</si>
  <si>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</si>
  <si>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</si>
  <si>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</si>
  <si>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</si>
  <si>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</si>
  <si>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</si>
  <si>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</si>
  <si>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</si>
  <si>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</si>
  <si>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</si>
  <si>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</si>
  <si>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</si>
  <si>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</si>
  <si>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</si>
  <si>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</si>
  <si>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</si>
  <si>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</si>
  <si>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</si>
  <si>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</si>
  <si>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</si>
  <si>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</si>
  <si>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</si>
  <si>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</si>
  <si>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</si>
  <si>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</si>
  <si>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</si>
  <si>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</si>
  <si>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</si>
  <si>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</si>
  <si>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</si>
  <si>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</si>
  <si>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</si>
  <si>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</si>
  <si>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</si>
  <si>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</si>
  <si>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</si>
  <si>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</si>
  <si>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</si>
  <si>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</si>
  <si>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</si>
  <si>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</si>
  <si>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</si>
  <si>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</si>
  <si>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</si>
  <si>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</si>
  <si>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</si>
  <si>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</si>
  <si>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</si>
  <si>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</si>
  <si>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</si>
  <si>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</si>
  <si>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</si>
  <si>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</si>
  <si>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</si>
  <si>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</si>
  <si>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</si>
  <si>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</si>
  <si>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</si>
  <si>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</si>
  <si>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</si>
  <si>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</si>
  <si>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</si>
  <si>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</si>
  <si>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</si>
  <si>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</si>
  <si>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</si>
  <si>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</si>
  <si>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</si>
  <si>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</si>
  <si>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</si>
  <si>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</si>
  <si>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</si>
  <si>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</si>
  <si>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</si>
  <si>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</si>
  <si>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</si>
  <si>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</si>
  <si>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</si>
  <si>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</si>
  <si>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</si>
  <si>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</si>
  <si>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</si>
  <si>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</si>
  <si>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</si>
  <si>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</si>
  <si>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</si>
  <si>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</si>
  <si>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</si>
  <si>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</si>
  <si>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</si>
  <si>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</si>
  <si>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</si>
  <si>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</si>
  <si>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</si>
  <si>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</si>
  <si>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</si>
  <si>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</si>
  <si>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</si>
  <si>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</si>
  <si>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</si>
  <si>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</si>
  <si>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</si>
  <si>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</si>
  <si>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</si>
  <si>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</si>
  <si>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</si>
  <si>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</si>
  <si>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</si>
  <si>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</si>
  <si>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</si>
  <si>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</si>
  <si>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</si>
  <si>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</si>
  <si>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</si>
  <si>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</si>
  <si>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</si>
  <si>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</si>
  <si>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</si>
  <si>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</si>
  <si>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</si>
  <si>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</si>
  <si>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</si>
  <si>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</si>
  <si>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</si>
  <si>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</si>
  <si>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</si>
  <si>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</si>
  <si>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</si>
  <si>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</si>
  <si>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</si>
  <si>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</si>
  <si>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</si>
  <si>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</si>
  <si>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</si>
  <si>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</si>
  <si>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</si>
  <si>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</si>
  <si>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</si>
  <si>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</si>
  <si>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</si>
  <si>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</si>
  <si>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</si>
  <si>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</si>
  <si>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</si>
  <si>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</si>
  <si>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</si>
  <si>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</si>
  <si>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</si>
  <si>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</si>
  <si>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</si>
  <si>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</si>
  <si>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</si>
  <si>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</si>
  <si>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</si>
  <si>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</si>
  <si>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</si>
  <si>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</si>
  <si>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</si>
  <si>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</si>
  <si>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</si>
  <si>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</si>
  <si>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</si>
  <si>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</si>
  <si>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</si>
  <si>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</si>
  <si>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</si>
  <si>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</si>
  <si>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</si>
  <si>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</si>
  <si>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</si>
  <si>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</si>
  <si>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</si>
  <si>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</si>
  <si>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</si>
  <si>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</si>
  <si>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</si>
  <si>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</si>
  <si>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</si>
  <si>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</si>
  <si>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</si>
  <si>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</si>
  <si>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</si>
  <si>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</si>
  <si>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</si>
  <si>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</si>
  <si>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</si>
  <si>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</si>
  <si>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</si>
  <si>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</si>
  <si>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</si>
  <si>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</si>
  <si>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</si>
  <si>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</si>
  <si>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</si>
  <si>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</si>
  <si>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</si>
  <si>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</si>
  <si>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</si>
  <si>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</si>
  <si>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</si>
  <si>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</si>
  <si>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</si>
  <si>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</si>
  <si>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</si>
  <si>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</si>
  <si>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</si>
  <si>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</si>
  <si>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</si>
  <si>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</si>
  <si>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</si>
  <si>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</si>
  <si>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</si>
  <si>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</si>
  <si>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</si>
  <si>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</si>
  <si>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</si>
  <si>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</si>
  <si>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</si>
  <si>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</si>
  <si>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</si>
  <si>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</si>
  <si>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</si>
  <si>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</si>
  <si>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</si>
  <si>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</si>
  <si>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</si>
  <si>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</si>
  <si>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</si>
  <si>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</si>
  <si>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</si>
  <si>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</si>
  <si>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</si>
  <si>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</si>
  <si>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</si>
  <si>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</si>
  <si>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</si>
  <si>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</si>
  <si>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</si>
  <si>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</si>
  <si>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</si>
  <si>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</si>
  <si>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</si>
  <si>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</si>
  <si>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</si>
  <si>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</si>
  <si>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</si>
  <si>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</si>
  <si>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</si>
  <si>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</si>
  <si>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</si>
  <si>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</si>
  <si>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</si>
  <si>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</si>
  <si>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</si>
  <si>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</si>
  <si>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</si>
  <si>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</si>
  <si>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</si>
  <si>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</si>
  <si>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</si>
  <si>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</si>
  <si>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</si>
  <si>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</si>
  <si>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</si>
  <si>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</si>
  <si>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</si>
  <si>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</si>
  <si>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</si>
  <si>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</si>
  <si>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</si>
  <si>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</si>
  <si>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</si>
  <si>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</si>
  <si>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</si>
  <si>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</si>
  <si>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</si>
  <si>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</si>
  <si>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</si>
  <si>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</si>
  <si>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</si>
  <si>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</si>
  <si>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</si>
  <si>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</si>
  <si>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</si>
  <si>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</si>
  <si>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</si>
  <si>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</si>
  <si>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</si>
  <si>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</si>
  <si>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</si>
  <si>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</si>
  <si>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</si>
  <si>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</si>
  <si>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</si>
  <si>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</si>
  <si>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</si>
  <si>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</si>
  <si>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</si>
  <si>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</si>
  <si>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</si>
  <si>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</si>
  <si>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</si>
  <si>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</si>
  <si>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</si>
  <si>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</si>
  <si>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</si>
  <si>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</si>
  <si>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</si>
  <si>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</si>
  <si>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</si>
  <si>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</si>
  <si>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</si>
  <si>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</si>
  <si>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</si>
  <si>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</si>
  <si>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</si>
  <si>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</si>
  <si>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</si>
  <si>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</si>
  <si>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</si>
  <si>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</si>
  <si>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</si>
  <si>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</si>
  <si>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</si>
  <si>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</si>
  <si>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</si>
  <si>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</si>
  <si>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</si>
  <si>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</si>
  <si>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</si>
  <si>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</si>
  <si>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</si>
  <si>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</si>
  <si>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</si>
  <si>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</si>
  <si>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</si>
  <si>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</si>
  <si>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</si>
  <si>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</si>
  <si>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</si>
  <si>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</si>
  <si>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</si>
  <si>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</si>
  <si>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</si>
  <si>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</si>
  <si>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</si>
  <si>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</si>
  <si>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</si>
  <si>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</si>
  <si>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</si>
  <si>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</si>
  <si>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</si>
  <si>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</si>
  <si>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</si>
  <si>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</si>
  <si>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</si>
  <si>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</si>
  <si>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</si>
  <si>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</si>
  <si>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</si>
  <si>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</si>
  <si>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</si>
  <si>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</si>
  <si>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</si>
  <si>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</si>
  <si>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</si>
  <si>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</si>
  <si>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</si>
  <si>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</si>
  <si>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</si>
  <si>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</si>
  <si>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</si>
  <si>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</si>
  <si>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</si>
  <si>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</si>
  <si>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</si>
  <si>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</si>
  <si>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</si>
  <si>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</si>
  <si>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</si>
  <si>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</si>
  <si>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</si>
  <si>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</si>
  <si>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</si>
  <si>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</si>
  <si>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</si>
  <si>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</si>
  <si>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</si>
  <si>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</si>
  <si>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</si>
  <si>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</si>
  <si>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</si>
  <si>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</si>
  <si>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</si>
  <si>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</si>
  <si>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</si>
  <si>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</si>
  <si>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</si>
  <si>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</si>
  <si>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</si>
  <si>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</si>
  <si>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</si>
  <si>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</si>
  <si>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</si>
  <si>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</si>
  <si>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</si>
  <si>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</si>
  <si>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</si>
  <si>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</si>
  <si>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</si>
  <si>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</si>
  <si>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</si>
  <si>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</si>
  <si>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</si>
  <si>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</si>
  <si>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</si>
  <si>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</si>
  <si>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</si>
  <si>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</si>
  <si>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</si>
  <si>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</si>
  <si>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</si>
  <si>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</si>
  <si>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</si>
  <si>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</si>
  <si>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</si>
  <si>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</si>
  <si>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</si>
  <si>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</si>
  <si>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</si>
  <si>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</si>
  <si>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</si>
  <si>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</si>
  <si>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</si>
  <si>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</si>
  <si>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</si>
  <si>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</si>
  <si>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</si>
  <si>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</si>
  <si>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</si>
  <si>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</si>
  <si>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</si>
  <si>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</si>
  <si>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</si>
  <si>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</si>
  <si>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</si>
  <si>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</si>
  <si>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</si>
  <si>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</si>
  <si>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</si>
  <si>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</si>
  <si>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</si>
  <si>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</si>
  <si>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</si>
  <si>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</si>
  <si>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</si>
  <si>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</si>
  <si>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</si>
  <si>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</si>
  <si>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</si>
  <si>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</si>
  <si>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</si>
  <si>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</si>
  <si>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</si>
  <si>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</si>
  <si>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</si>
  <si>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</si>
  <si>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</si>
  <si>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</si>
  <si>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</si>
  <si>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</si>
  <si>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</si>
  <si>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</si>
  <si>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</si>
  <si>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</si>
  <si>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</si>
  <si>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</si>
  <si>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</si>
  <si>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</si>
  <si>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</si>
  <si>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</si>
  <si>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</si>
  <si>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</si>
  <si>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</si>
  <si>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</si>
  <si>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</si>
  <si>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</si>
  <si>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</si>
  <si>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</si>
  <si>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</si>
  <si>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</si>
  <si>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</si>
  <si>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</si>
  <si>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</si>
  <si>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</si>
  <si>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</si>
  <si>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</si>
  <si>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</si>
  <si>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</si>
  <si>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</si>
  <si>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</si>
  <si>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</si>
  <si>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</si>
  <si>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</si>
  <si>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</si>
  <si>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</si>
  <si>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</si>
  <si>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</si>
  <si>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</si>
  <si>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</si>
  <si>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</si>
  <si>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</si>
  <si>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</si>
  <si>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</si>
  <si>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</si>
  <si>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</si>
  <si>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</si>
  <si>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</si>
  <si>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</si>
  <si>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</si>
  <si>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</si>
  <si>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</si>
  <si>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</si>
  <si>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</si>
  <si>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</si>
  <si>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</si>
  <si>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</si>
  <si>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</si>
  <si>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</si>
  <si>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</si>
  <si>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</si>
  <si>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</si>
  <si>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</si>
  <si>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</si>
  <si>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</si>
  <si>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</si>
  <si>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</si>
  <si>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</si>
  <si>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</si>
  <si>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</si>
  <si>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</si>
  <si>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</si>
  <si>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</si>
  <si>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</si>
  <si>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</si>
  <si>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</si>
  <si>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</si>
  <si>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</si>
  <si>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</si>
  <si>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</si>
  <si>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</si>
  <si>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</si>
  <si>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</si>
  <si>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</si>
  <si>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</si>
  <si>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</si>
  <si>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</si>
  <si>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</si>
  <si>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</si>
  <si>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</si>
  <si>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</si>
  <si>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</si>
  <si>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</si>
  <si>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</si>
  <si>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</si>
  <si>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</si>
  <si>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</si>
  <si>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</si>
  <si>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</si>
  <si>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</si>
  <si>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</si>
  <si>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</si>
  <si>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</si>
  <si>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</si>
  <si>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</si>
  <si>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</si>
  <si>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</si>
  <si>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</si>
  <si>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</si>
  <si>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</si>
  <si>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</si>
  <si>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</si>
  <si>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</si>
  <si>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</si>
  <si>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</si>
  <si>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</si>
  <si>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</si>
  <si>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</si>
  <si>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</si>
  <si>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</si>
  <si>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</si>
  <si>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</si>
  <si>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</si>
  <si>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</si>
  <si>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</si>
  <si>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</si>
  <si>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</si>
  <si>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</si>
  <si>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</si>
  <si>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</si>
  <si>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</si>
  <si>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</si>
  <si>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</si>
  <si>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</si>
  <si>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</si>
  <si>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</si>
  <si>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</si>
  <si>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</si>
  <si>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</si>
  <si>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</si>
  <si>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</si>
  <si>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</si>
  <si>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</si>
  <si>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</si>
  <si>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</si>
  <si>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</si>
  <si>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</si>
  <si>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</si>
  <si>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</si>
  <si>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</si>
  <si>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</si>
  <si>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</si>
  <si>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</si>
  <si>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</si>
  <si>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</si>
  <si>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</si>
  <si>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</si>
  <si>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</si>
  <si>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</si>
  <si>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</si>
  <si>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</si>
  <si>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</si>
  <si>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</si>
  <si>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</si>
  <si>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</si>
  <si>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</si>
  <si>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</si>
  <si>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</si>
  <si>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</si>
  <si>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</si>
  <si>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</si>
  <si>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</si>
  <si>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</si>
  <si>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</si>
  <si>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</si>
  <si>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</si>
  <si>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</si>
  <si>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</si>
  <si>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</si>
  <si>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</si>
  <si>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</si>
  <si>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</si>
  <si>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</si>
  <si>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</si>
  <si>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</si>
  <si>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</si>
  <si>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</si>
  <si>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</si>
  <si>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</si>
  <si>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</si>
  <si>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</si>
  <si>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</si>
  <si>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</si>
  <si>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</si>
  <si>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</si>
  <si>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</si>
  <si>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</si>
  <si>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</si>
  <si>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</si>
  <si>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</si>
  <si>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</si>
  <si>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</si>
  <si>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</si>
  <si>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</si>
  <si>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</si>
  <si>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</si>
  <si>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</si>
  <si>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</si>
  <si>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</si>
  <si>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</si>
  <si>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</si>
  <si>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</si>
  <si>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</si>
  <si>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</si>
  <si>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</si>
  <si>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</si>
  <si>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</si>
  <si>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</si>
  <si>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</si>
  <si>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</si>
  <si>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</si>
  <si>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</si>
  <si>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</si>
  <si>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</si>
  <si>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</si>
  <si>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</si>
  <si>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</si>
  <si>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</si>
  <si>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</si>
  <si>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</si>
  <si>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</si>
  <si>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</si>
  <si>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</si>
  <si>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</si>
  <si>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</si>
  <si>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</si>
  <si>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</si>
  <si>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</si>
  <si>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</si>
  <si>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</si>
  <si>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</si>
  <si>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</si>
  <si>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</si>
  <si>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</si>
  <si>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</si>
  <si>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</si>
  <si>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</si>
  <si>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</si>
  <si>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</si>
  <si>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</si>
  <si>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</si>
  <si>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</si>
  <si>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</si>
  <si>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</si>
  <si>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</si>
  <si>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</si>
  <si>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</si>
  <si>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</si>
  <si>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</si>
  <si>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</si>
  <si>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</si>
  <si>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</si>
  <si>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</si>
  <si>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</si>
  <si>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</si>
  <si>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</si>
  <si>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</si>
  <si>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</si>
  <si>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</si>
  <si>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</si>
  <si>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</si>
  <si>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</si>
  <si>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</si>
  <si>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</si>
  <si>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</si>
  <si>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</si>
  <si>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</si>
  <si>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</si>
  <si>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</si>
  <si>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</si>
  <si>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</si>
  <si>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</si>
  <si>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</si>
  <si>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</si>
  <si>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</si>
  <si>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</si>
  <si>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</si>
  <si>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</si>
  <si>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</si>
  <si>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</si>
  <si>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</si>
  <si>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</si>
  <si>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</si>
  <si>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</si>
  <si>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</si>
  <si>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</si>
  <si>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</si>
  <si>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</si>
  <si>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</si>
  <si>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</si>
  <si>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</si>
  <si>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</si>
  <si>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</si>
  <si>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</si>
  <si>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</si>
  <si>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</si>
  <si>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</si>
  <si>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</si>
  <si>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</si>
  <si>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</si>
  <si>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</si>
  <si>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</si>
  <si>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</si>
  <si>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</si>
  <si>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</si>
  <si>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</si>
  <si>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</si>
  <si>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</si>
  <si>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</si>
  <si>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</si>
  <si>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</si>
  <si>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</si>
  <si>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</si>
  <si>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</si>
  <si>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</si>
  <si>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</si>
  <si>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</si>
  <si>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</si>
  <si>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</si>
  <si>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</si>
  <si>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</si>
  <si>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</si>
  <si>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</si>
  <si>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</si>
  <si>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</si>
  <si>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</si>
  <si>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</si>
  <si>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</si>
  <si>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</si>
  <si>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</si>
  <si>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</si>
  <si>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</si>
  <si>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</si>
  <si>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</si>
  <si>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</si>
  <si>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</si>
  <si>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</si>
  <si>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</si>
  <si>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</si>
  <si>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</si>
  <si>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</si>
  <si>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</si>
  <si>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</si>
  <si>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</si>
  <si>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</si>
  <si>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</si>
  <si>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</si>
  <si>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</si>
  <si>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</si>
  <si>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</si>
  <si>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</si>
  <si>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</si>
  <si>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</si>
  <si>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</si>
  <si>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</si>
  <si>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</si>
  <si>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</si>
  <si>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</si>
  <si>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</si>
  <si>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</si>
  <si>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</si>
  <si>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</si>
  <si>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</si>
  <si>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</si>
  <si>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</si>
  <si>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</si>
  <si>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</si>
  <si>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</si>
  <si>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</si>
  <si>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</si>
  <si>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</si>
  <si>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</si>
  <si>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</si>
  <si>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</si>
  <si>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</si>
  <si>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</si>
  <si>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</si>
  <si>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</si>
  <si>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</si>
  <si>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</si>
  <si>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</si>
  <si>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</si>
  <si>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</si>
  <si>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</si>
  <si>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</si>
  <si>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</si>
  <si>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</si>
  <si>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</si>
  <si>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</si>
  <si>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</si>
  <si>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</si>
  <si>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</si>
  <si>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</si>
  <si>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</si>
  <si>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</si>
  <si>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</si>
  <si>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</si>
  <si>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</si>
  <si>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</si>
  <si>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</si>
  <si>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</si>
  <si>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</si>
  <si>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</si>
  <si>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</si>
  <si>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</si>
  <si>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</si>
  <si>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</si>
  <si>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</si>
  <si>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</si>
  <si>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</si>
  <si>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</si>
  <si>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</si>
  <si>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</si>
  <si>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</si>
  <si>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</si>
  <si>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</si>
  <si>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</si>
  <si>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</si>
  <si>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</si>
  <si>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</si>
  <si>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</si>
  <si>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</si>
  <si>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</si>
  <si>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</si>
  <si>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</si>
  <si>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</si>
  <si>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</si>
  <si>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</si>
  <si>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</si>
  <si>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</si>
  <si>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</si>
  <si>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</si>
  <si>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</si>
  <si>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</si>
  <si>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</si>
  <si>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</si>
  <si>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</si>
  <si>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</si>
  <si>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</si>
  <si>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</si>
  <si>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</si>
  <si>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</si>
  <si>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</si>
  <si>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</si>
  <si>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</si>
  <si>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</si>
  <si>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</si>
  <si>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</si>
  <si>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</si>
  <si>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</si>
  <si>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</si>
  <si>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</si>
  <si>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</si>
  <si>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</si>
  <si>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</si>
  <si>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</si>
  <si>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</si>
  <si>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</si>
  <si>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</si>
  <si>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</si>
  <si>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</si>
  <si>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</si>
  <si>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</si>
  <si>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</si>
  <si>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</si>
  <si>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</si>
  <si>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</si>
  <si>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</si>
  <si>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</si>
  <si>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</si>
  <si>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</si>
  <si>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</si>
  <si>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</si>
  <si>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</si>
  <si>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</si>
  <si>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</si>
  <si>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</si>
  <si>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</si>
  <si>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</si>
  <si>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</si>
  <si>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</si>
  <si>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</si>
  <si>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</si>
  <si>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</si>
  <si>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</si>
  <si>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</si>
  <si>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</si>
  <si>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</si>
  <si>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</si>
  <si>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</si>
  <si>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</si>
  <si>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</si>
  <si>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</si>
  <si>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</si>
  <si>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</si>
  <si>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</si>
  <si>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</si>
  <si>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</si>
  <si>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</si>
  <si>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</si>
  <si>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</si>
  <si>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</si>
  <si>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</si>
  <si>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</si>
  <si>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</si>
  <si>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</si>
  <si>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</si>
  <si>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</si>
  <si>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</si>
  <si>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</si>
  <si>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</si>
  <si>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</si>
  <si>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</si>
  <si>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</si>
  <si>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</si>
  <si>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</si>
  <si>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</si>
  <si>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</si>
  <si>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</si>
  <si>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</si>
  <si>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</si>
  <si>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</si>
  <si>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</si>
  <si>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</si>
  <si>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</si>
  <si>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</si>
  <si>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</si>
  <si>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</si>
  <si>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</si>
  <si>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</si>
  <si>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</si>
  <si>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</si>
  <si>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</si>
  <si>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</si>
  <si>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</si>
  <si>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</si>
  <si>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</si>
  <si>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</si>
  <si>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</si>
  <si>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</si>
  <si>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</si>
  <si>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</si>
  <si>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</si>
  <si>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</si>
  <si>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</si>
  <si>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</si>
  <si>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</si>
  <si>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</si>
  <si>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</si>
  <si>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</si>
  <si>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</si>
  <si>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</si>
  <si>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</si>
  <si>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</si>
  <si>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</si>
  <si>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</si>
  <si>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</si>
  <si>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</si>
  <si>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</si>
  <si>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</si>
  <si>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</si>
  <si>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</si>
  <si>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</si>
  <si>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</si>
  <si>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</si>
  <si>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</si>
  <si>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</si>
  <si>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</si>
  <si>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</si>
  <si>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</si>
  <si>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</si>
  <si>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</si>
  <si>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</si>
  <si>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</si>
  <si>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</si>
  <si>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</si>
  <si>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</si>
  <si>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</si>
  <si>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</si>
  <si>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</si>
  <si>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</si>
  <si>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</si>
  <si>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</si>
  <si>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</si>
  <si>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</si>
  <si>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</si>
  <si>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</si>
  <si>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</si>
  <si>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</si>
  <si>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</si>
  <si>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</si>
  <si>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</si>
  <si>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</si>
  <si>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</si>
  <si>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</si>
  <si>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</si>
  <si>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</si>
  <si>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</si>
  <si>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</si>
  <si>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</si>
  <si>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</si>
  <si>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</si>
  <si>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</si>
  <si>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</si>
  <si>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</si>
  <si>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</si>
  <si>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</si>
  <si>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</si>
  <si>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</si>
  <si>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</si>
  <si>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</si>
  <si>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</si>
  <si>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</si>
  <si>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</si>
  <si>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</si>
  <si>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</si>
  <si>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</si>
  <si>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</si>
  <si>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</si>
  <si>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</si>
  <si>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</si>
  <si>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</si>
  <si>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</si>
  <si>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</si>
  <si>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</si>
  <si>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</si>
  <si>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</si>
  <si>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</si>
  <si>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</si>
  <si>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</si>
  <si>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</si>
  <si>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</si>
  <si>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</si>
  <si>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</si>
  <si>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</si>
  <si>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</si>
  <si>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</si>
  <si>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</si>
  <si>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</si>
  <si>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</si>
  <si>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</si>
  <si>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</si>
  <si>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</si>
  <si>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</si>
  <si>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</si>
  <si>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</si>
  <si>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</si>
  <si>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</si>
  <si>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</si>
  <si>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</si>
  <si>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</si>
  <si>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</si>
  <si>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</si>
  <si>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</si>
  <si>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</si>
  <si>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</si>
  <si>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</si>
  <si>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</si>
  <si>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</si>
  <si>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</si>
  <si>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</si>
  <si>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</si>
  <si>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</si>
  <si>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</si>
  <si>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</si>
  <si>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</si>
  <si>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</si>
  <si>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</si>
  <si>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</si>
  <si>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</si>
  <si>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</si>
  <si>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</si>
  <si>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</si>
  <si>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</si>
  <si>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</si>
  <si>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</si>
  <si>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</si>
  <si>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</si>
  <si>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</si>
  <si>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</si>
  <si>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</si>
  <si>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</si>
  <si>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</si>
  <si>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</si>
  <si>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</si>
  <si>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</si>
  <si>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</si>
  <si>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</si>
  <si>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</si>
  <si>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</si>
  <si>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</si>
  <si>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</si>
  <si>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</si>
  <si>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</si>
  <si>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</si>
  <si>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</si>
  <si>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</si>
  <si>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</si>
  <si>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</si>
  <si>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</si>
  <si>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</si>
  <si>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</si>
  <si>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</si>
  <si>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</si>
  <si>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</si>
  <si>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</si>
  <si>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</si>
  <si>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</si>
  <si>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</si>
  <si>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</si>
  <si>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</si>
  <si>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</si>
  <si>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</si>
  <si>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</si>
  <si>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</si>
  <si>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</si>
  <si>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</si>
  <si>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</si>
  <si>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</si>
  <si>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</si>
  <si>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</si>
  <si>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</si>
  <si>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</si>
  <si>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</si>
  <si>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</si>
  <si>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</si>
  <si>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</si>
  <si>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</si>
  <si>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</si>
  <si>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</si>
  <si>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</si>
  <si>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</si>
  <si>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</si>
  <si>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</si>
  <si>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</si>
  <si>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</si>
  <si>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</si>
  <si>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</si>
  <si>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</si>
  <si>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</si>
  <si>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</si>
  <si>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</si>
  <si>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</si>
  <si>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</si>
  <si>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</si>
  <si>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</si>
  <si>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</si>
  <si>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</si>
  <si>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</si>
  <si>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</si>
  <si>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</si>
  <si>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</si>
  <si>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</si>
  <si>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</si>
  <si>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</si>
  <si>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</si>
  <si>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</si>
  <si>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</si>
  <si>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</si>
  <si>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</si>
  <si>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</si>
  <si>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</si>
  <si>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</si>
  <si>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</si>
  <si>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</si>
  <si>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</si>
  <si>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</si>
  <si>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</si>
  <si>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</si>
  <si>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</si>
  <si>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</si>
  <si>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</si>
  <si>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</si>
  <si>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</si>
  <si>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</si>
  <si>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</si>
  <si>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</si>
  <si>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</si>
  <si>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</si>
  <si>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</si>
  <si>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</si>
  <si>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</si>
  <si>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</si>
  <si>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</si>
  <si>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</si>
  <si>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</si>
  <si>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</si>
  <si>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</si>
  <si>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</si>
  <si>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</si>
  <si>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</si>
  <si>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</si>
  <si>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</si>
  <si>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</si>
  <si>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</si>
  <si>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</si>
  <si>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</si>
  <si>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</si>
  <si>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</si>
  <si>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</si>
  <si>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</si>
  <si>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</si>
  <si>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</si>
  <si>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</si>
  <si>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</si>
  <si>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</si>
  <si>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</si>
  <si>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</si>
  <si>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</si>
  <si>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</si>
  <si>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</si>
  <si>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</si>
  <si>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</si>
  <si>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</si>
  <si>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</si>
  <si>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</si>
  <si>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</si>
  <si>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</si>
  <si>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</si>
  <si>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</si>
  <si>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</si>
  <si>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</si>
  <si>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</si>
  <si>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</si>
  <si>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</si>
  <si>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</si>
  <si>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</si>
  <si>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</si>
  <si>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</si>
  <si>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</si>
  <si>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</si>
  <si>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</si>
  <si>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</si>
  <si>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</si>
  <si>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</si>
  <si>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</si>
  <si>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</si>
  <si>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</si>
  <si>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</si>
  <si>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</si>
  <si>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</si>
  <si>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</si>
  <si>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</si>
  <si>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</si>
  <si>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</si>
  <si>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</si>
  <si>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</si>
  <si>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</si>
  <si>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</si>
  <si>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</si>
  <si>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</si>
  <si>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</si>
  <si>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</si>
  <si>
    <t>Adj. Employee Retention Analysis (#)</t>
  </si>
  <si>
    <t>Adj. Retention Assumptions</t>
  </si>
  <si>
    <t>Label</t>
  </si>
  <si>
    <t>Min. Tenure Threshold (Days)</t>
  </si>
  <si>
    <t>Hires separating at or below this tenure are excluded from both hires and losses as non-recurring churn</t>
  </si>
  <si>
    <t>Ending headcount vs. Employee Retention tab; must equal zero</t>
  </si>
  <si>
    <t>Adj. Employee Retention</t>
  </si>
  <si>
    <t>Offer &amp; Equity Upside Scenarios ($000s)</t>
  </si>
  <si>
    <t>Offer Breakdown</t>
  </si>
  <si>
    <t>(-) Cash at Close</t>
  </si>
  <si>
    <t>Topkey Post-Money Valuation</t>
  </si>
  <si>
    <t>Ben's Implied Topkey Ownership %</t>
  </si>
  <si>
    <t>Keystone Enterprise Value Today</t>
  </si>
  <si>
    <t>Scenario 1 — Ben Retains 100% of Keystone</t>
  </si>
  <si>
    <t>Keystone Growth Multiple</t>
  </si>
  <si>
    <t>Keystone Enterprise Value</t>
  </si>
  <si>
    <t>Ben's Ownership % — Keystone</t>
  </si>
  <si>
    <t>Ben's Keystone Equity Value</t>
  </si>
  <si>
    <t>(-) Value at Offer Today</t>
  </si>
  <si>
    <t>Ben's Net Gain vs. Today</t>
  </si>
  <si>
    <t>Scenario 2 — Ben Accepts the Topkey Offer</t>
  </si>
  <si>
    <t>Topkey Grows Half as Fast as Keystone</t>
  </si>
  <si>
    <t>Topkey Keeps Pace with Keystone</t>
  </si>
  <si>
    <t>Topkey Outgrows Keystone</t>
  </si>
  <si>
    <t>Offer &amp; Scenario Assumptions</t>
  </si>
  <si>
    <t>Assumption</t>
  </si>
  <si>
    <t>Cash at Close ($000s)</t>
  </si>
  <si>
    <t>Per Topkey offer; balance paid in Topkey equity</t>
  </si>
  <si>
    <t>Topkey Post-Money Valuation ($000s)</t>
  </si>
  <si>
    <t>Ben's Keystone Ownership %</t>
  </si>
  <si>
    <t>Sole owner; retains full upside in Scenario 1</t>
  </si>
  <si>
    <t>Default 1.5x Keystone's growth rate</t>
  </si>
  <si>
    <t>Business doubles / triples in value</t>
  </si>
  <si>
    <t>Topkey Equity Consideration</t>
  </si>
  <si>
    <t>Today</t>
  </si>
  <si>
    <t>2.0x Valuation</t>
  </si>
  <si>
    <t>3.0x Valuation</t>
  </si>
  <si>
    <t>Recurring Revenue (PF Jul'26)</t>
  </si>
  <si>
    <t>Total Valuation — Offer Price</t>
  </si>
  <si>
    <t>Recurring Revenue (PF Jul'26) ($000s)</t>
  </si>
  <si>
    <t>PF Jul'26 total recurring revenue per Revenue Analysis</t>
  </si>
  <si>
    <t>Revenue Multiple</t>
  </si>
  <si>
    <t>Total Valuation — Offer Price ($000s)</t>
  </si>
  <si>
    <t>Valuation Growth Multiples</t>
  </si>
  <si>
    <t>(x) Revenue Multiple — Implied</t>
  </si>
  <si>
    <t>Implied by rounded offer ÷ PF Jul'26 RR</t>
  </si>
  <si>
    <t>Rounded $3.0M offer price; Keystone value today</t>
  </si>
  <si>
    <t>Topkey ex-Keystone Growth Share — Half Pace</t>
  </si>
  <si>
    <t>Topkey ex-Keystone grows at half Keystone's rate</t>
  </si>
  <si>
    <t>Topkey ex-Keystone Growth Share — Keeps Pace</t>
  </si>
  <si>
    <t>Topkey ex-Keystone grows at Keystone's rate</t>
  </si>
  <si>
    <t>Topkey ex-Keystone Growth Share — Outgrows</t>
  </si>
  <si>
    <t>Topkey Pre-Deal Valuation</t>
  </si>
  <si>
    <t>(+) Keystone Value Acquired</t>
  </si>
  <si>
    <t>(-) Cash Paid at Close</t>
  </si>
  <si>
    <t>Topkey Pre-Deal Valuation ($000s)</t>
  </si>
  <si>
    <t>Topkey stated valuation before Keystone; pending confirmation</t>
  </si>
  <si>
    <t>Topkey ex-Keystone Growth Base ($000s)</t>
  </si>
  <si>
    <t>Pre-deal Topkey less the $500K cash paid to Ben</t>
  </si>
  <si>
    <t>Pre-deal + Keystone acquired − cash paid at close</t>
  </si>
  <si>
    <t>Existing Shareholders' Value Post-Close</t>
  </si>
  <si>
    <t>Topkey ex-Keystone Growth Base</t>
  </si>
  <si>
    <t>Ben's Value — Scenario 1 (Retain 100%)</t>
  </si>
  <si>
    <t>Required Combined Enterprise Value</t>
  </si>
  <si>
    <t>(-) Keystone Value at Growth</t>
  </si>
  <si>
    <t>Required Growth Share for Ben to Break Even</t>
  </si>
  <si>
    <t>(-) Ben's Cash at Close</t>
  </si>
  <si>
    <t>Required Topkey Equity Value</t>
  </si>
  <si>
    <t>Required Topkey ex-Keystone Value</t>
  </si>
  <si>
    <t>Valuation Growth Scenarios ($000s)</t>
  </si>
  <si>
    <t>Deal Terms — Linked from Offer Overview</t>
  </si>
  <si>
    <t>Keystone Value Today</t>
  </si>
  <si>
    <t>Cash at Close</t>
  </si>
  <si>
    <t>Ben's Topkey Ownership %</t>
  </si>
  <si>
    <t>Horizon (Years)</t>
  </si>
  <si>
    <t>Ben's Value — Scenario 1</t>
  </si>
  <si>
    <t>Topkey ex-Keystone Value</t>
  </si>
  <si>
    <t>(+) Keystone Value — Post-Acquisition</t>
  </si>
  <si>
    <t>Combined Enterprise Value</t>
  </si>
  <si>
    <t>Ben's Topkey Equity Value</t>
  </si>
  <si>
    <t>(+) Cash at Close</t>
  </si>
  <si>
    <t>Ben's Value — Scenario 2</t>
  </si>
  <si>
    <t>Break-Even Topkey CAGR</t>
  </si>
  <si>
    <t>Valuation Growth Sensitivity Tables ($000s)</t>
  </si>
  <si>
    <t>Growth (ex-Keystone)</t>
  </si>
  <si>
    <t>Combined Topkey + Keystone TEV</t>
  </si>
  <si>
    <t>Ben's Total Value — Cash + Topkey Equity</t>
  </si>
  <si>
    <t>Topkey Growth Required for Parity</t>
  </si>
  <si>
    <t>Delta vs. Scenario 1</t>
  </si>
  <si>
    <t>Scenario 2 vs. Scenario 1</t>
  </si>
  <si>
    <t>Increase in Proceeds</t>
  </si>
  <si>
    <t>Annual Net Client Wins</t>
  </si>
  <si>
    <t>Avg. Revenue Per Client</t>
  </si>
  <si>
    <t>(+) Additional Annual Net Client Wins From Topkey</t>
  </si>
  <si>
    <t>Total Avg. Revenue Per Client</t>
  </si>
  <si>
    <t>General Assumptions</t>
  </si>
  <si>
    <t>Software-Integration Revenue Multiple</t>
  </si>
  <si>
    <t>Topkey - Avg. Revenue Per Client</t>
  </si>
  <si>
    <t>Topkey - Annual Net Client Wins</t>
  </si>
  <si>
    <t>Revenue Growth Assumptions</t>
  </si>
  <si>
    <t>Keystone Standalone Assumptions</t>
  </si>
  <si>
    <t>Keystone Partnership Assumptions</t>
  </si>
  <si>
    <t>Total Net Client Wins</t>
  </si>
  <si>
    <t>Total Annual Net Client Wins</t>
  </si>
  <si>
    <t>Total Additional Revenue</t>
  </si>
  <si>
    <t>Topkey - Current Revenue Multiple</t>
  </si>
  <si>
    <t>Topkey - Future Revenue Multiple</t>
  </si>
  <si>
    <t>Topkey - Current Run-Rate Revenue</t>
  </si>
  <si>
    <t>Increase in Keystone Revenue vs. Standalone</t>
  </si>
  <si>
    <t>Estimated Topkey CAGR</t>
  </si>
  <si>
    <t>Year 5 Keystone Partnership Revenue</t>
  </si>
  <si>
    <t>Year 5 Keystone Valuation</t>
  </si>
  <si>
    <t>(x) Steady-State Margins</t>
  </si>
  <si>
    <t>Year 5 EBITDA</t>
  </si>
  <si>
    <t>Implied EBITDA Multiple</t>
  </si>
  <si>
    <t>Sensitivity Assumptions</t>
  </si>
  <si>
    <t>Linked from Valuation Growth C7</t>
  </si>
  <si>
    <t>Keystone Revenue Today</t>
  </si>
  <si>
    <t>Standalone Avg. Revenue Per Client</t>
  </si>
  <si>
    <t>Standalone Annual Net Client Wins</t>
  </si>
  <si>
    <t>Partnership Revenue Multiple</t>
  </si>
  <si>
    <t>Partnership Total Avg. Revenue Per Client</t>
  </si>
  <si>
    <t>Partnership Total Annual Net Client Wins</t>
  </si>
  <si>
    <t>Topkey ex-Keystone Value — Year 5</t>
  </si>
  <si>
    <t>Step — Partnership Multiple (x)</t>
  </si>
  <si>
    <t>Step — Standalone Multiple (x)</t>
  </si>
  <si>
    <t>Step — Annual Net Client Wins (#)</t>
  </si>
  <si>
    <t>±5 wins per year per step</t>
  </si>
  <si>
    <t>Step — Avg. Revenue Per Client ($000s)</t>
  </si>
  <si>
    <t>±$1K per client per step</t>
  </si>
  <si>
    <t>Base Case Build</t>
  </si>
  <si>
    <t>Revenue today + wins × horizon × price</t>
  </si>
  <si>
    <t>Tie Outs</t>
  </si>
  <si>
    <t>Standalone Multiple ↓  |  Partnership Multiple →</t>
  </si>
  <si>
    <t>Avg. Rev. / Client ↓  |  Annual Net Wins →</t>
  </si>
  <si>
    <t>Linked from Valuation Growth C21</t>
  </si>
  <si>
    <t>Tie Out — Table 1 vs. Valuation Growth</t>
  </si>
  <si>
    <t>Tie Out — Table 2 vs. Valuation Growth</t>
  </si>
  <si>
    <t>Tie Out — Table 3 vs. Valuation Growth</t>
  </si>
  <si>
    <t>Base vs. VG D50 − D42; must be zero</t>
  </si>
  <si>
    <t>Base vs. VG D40 − C40; must be zero</t>
  </si>
  <si>
    <t>Standalone Value Increase vs. Today (Base)</t>
  </si>
  <si>
    <t>Held constant in Table 2</t>
  </si>
  <si>
    <t>Base vs. VG (D46 − C46) − (D40 − C40); must be zero</t>
  </si>
  <si>
    <t>Topkey - Current Monthly Revenue</t>
  </si>
  <si>
    <t>Topkey - Current Client Count</t>
  </si>
  <si>
    <t>VR Platform Run-Rate Tech Cost</t>
  </si>
  <si>
    <t>Keystone Run-Rate Revenue (PF Jul'26)</t>
  </si>
  <si>
    <t>Tie Out — Combined EV Today vs. Post-Money</t>
  </si>
  <si>
    <t>Tie Out — Ben's Topkey Equity vs. Equity Consideration</t>
  </si>
  <si>
    <t>Rationale / Notes</t>
  </si>
  <si>
    <t>Projection horizon for Year 5 columns</t>
  </si>
  <si>
    <t>Topkey-provided monthly revenue ($000s). Red: source pending confirmation</t>
  </si>
  <si>
    <t>Assumed flat at current multiple</t>
  </si>
  <si>
    <t>Topkey-provided client count. Red: source pending confirmation</t>
  </si>
  <si>
    <t>Topkey-provided. Red: source pending confirmation</t>
  </si>
  <si>
    <t>Keystone standalone valued at 1.0x revenue (offer implies ~1.02x)</t>
  </si>
  <si>
    <t>Sep'26 annualized fee per non-tax client (Steady-State Staffing AB8)</t>
  </si>
  <si>
    <t>Assumed revenue multiple for software-integrated partnership</t>
  </si>
  <si>
    <t>Run-rate tech cost provided by the target</t>
  </si>
  <si>
    <t>VR run-rate cost ÷ LTM avg. PM/STR clients (Client Retention H30)</t>
  </si>
  <si>
    <t>Assumed steady-state EBITDA margin</t>
  </si>
  <si>
    <t>Unrounded PF Jul'26 run-rate revenue (P&amp;L Overview K16)</t>
  </si>
  <si>
    <t>Must equal zero</t>
  </si>
  <si>
    <t>Today at offer value; Year 5 = (PF run-rate revenue + standalone added revenue) x standalone multiple</t>
  </si>
  <si>
    <t>Today at offer value (same as Scenario 1)</t>
  </si>
  <si>
    <t>AMB placeholder. Red: source pending confirmation</t>
  </si>
  <si>
    <t>Scaled Revenue Multiple</t>
  </si>
  <si>
    <t>Future revenue multiple for Keystone</t>
  </si>
  <si>
    <t>Year 5 Keystone Standalone Revenue</t>
  </si>
  <si>
    <t>Assumed steady-state EBITDA margin with software integration</t>
  </si>
  <si>
    <t>Internal - Implied Keystone Standalone Multiple</t>
  </si>
  <si>
    <t>Internal - Implied Keystone Partnership Multiple</t>
  </si>
  <si>
    <t>Keystone Core Bookkeeping Net Client Wins — LTM Sep'26 (#)</t>
  </si>
  <si>
    <t>Starting Count — Oct'25</t>
  </si>
  <si>
    <t>Ending Count — Sep'26</t>
  </si>
  <si>
    <t>Net Client Wins — Last 4 Quarters</t>
  </si>
  <si>
    <t>Core bookkeeping = Property Manager, STR Owner &amp; Short-Term Rental block (Client Retention rows 22-28); excludes Small Business and Tax-Only</t>
  </si>
  <si>
    <t>Ties to Client Retention H28 (177)</t>
  </si>
  <si>
    <t>Q4'25 through Q3'26</t>
  </si>
  <si>
    <t>Standalone Revenue Multiple (Year 5)</t>
  </si>
  <si>
    <t>Linked from Valuation Growth C44</t>
  </si>
  <si>
    <t>Linked from Valuation Growth C20 (Scaled Revenue Multiple)</t>
  </si>
  <si>
    <t>Linked from Valuation Growth C23</t>
  </si>
  <si>
    <t>Linked from Valuation Growth C28</t>
  </si>
  <si>
    <t>Linked from Valuation Growth C33</t>
  </si>
  <si>
    <t>Linked from Valuation Growth C37</t>
  </si>
  <si>
    <t>Target Monthly Net Client Wins</t>
  </si>
  <si>
    <t>Target monthly pace × 12</t>
  </si>
  <si>
    <t>Ben's Share of Topkey ex-Keystone Value</t>
  </si>
  <si>
    <t>(+) Ben's Share of Keystone Post-Acquisition Value</t>
  </si>
  <si>
    <t>Ben's Value per 1.0x of Partnership Multiple</t>
  </si>
  <si>
    <t>Keystone Sale Multiple (x Revenue)</t>
  </si>
  <si>
    <t>Topkey Purchase Multiple (x Revenue)</t>
  </si>
  <si>
    <t>Keystone Revenue Given Up</t>
  </si>
  <si>
    <t>Ben's Share of Combined Revenue After Close</t>
  </si>
  <si>
    <t>Break-Even</t>
  </si>
  <si>
    <t>Base Case</t>
  </si>
  <si>
    <t>Required Topkey ex-Keystone Value — Year 5</t>
  </si>
  <si>
    <t>Topkey Future Revenue Multiple</t>
  </si>
  <si>
    <t>Topkey Annual Net Client Wins</t>
  </si>
  <si>
    <t>Dilution of Ben's Topkey Stake</t>
  </si>
  <si>
    <t>Topkey Revenue CAGR</t>
  </si>
  <si>
    <t>Input</t>
  </si>
  <si>
    <t>Topkey Future Revenue Multiple Falls To</t>
  </si>
  <si>
    <t>Topkey Annual Net Client Wins Fall To</t>
  </si>
  <si>
    <t>Topkey Raises Capital — Dilution of Ben's Stake</t>
  </si>
  <si>
    <t>% of Consideration in Cash</t>
  </si>
  <si>
    <t>% of Consideration in Topkey Stock</t>
  </si>
  <si>
    <t>Illiquid Share of Ben's Value — Scenario 2</t>
  </si>
  <si>
    <t>Target</t>
  </si>
  <si>
    <t>vs. Offer</t>
  </si>
  <si>
    <t>Cash at Close — Target</t>
  </si>
  <si>
    <t>Preferred Stock With Liquidation Preference</t>
  </si>
  <si>
    <t>Anti-Dilution &amp; Pro-Rata Rights</t>
  </si>
  <si>
    <t>Put Right (Years 3–5) &amp; Tag-Along Rights</t>
  </si>
  <si>
    <t>Verified Topkey Financials Before Signing</t>
  </si>
  <si>
    <t>Year 5 Keystone partnership revenue × Ben's ownership; each 1.0x of C28 is worth this much to Ben</t>
  </si>
  <si>
    <t>Offer value ÷ Keystone run-rate revenue</t>
  </si>
  <si>
    <t>Topkey pre-deal valuation ÷ Topkey run-rate revenue</t>
  </si>
  <si>
    <t>Ben sells at ~1x revenue and buys Topkey stock at ~19x</t>
  </si>
  <si>
    <t>Ben's 4% claim on Topkey + Keystone run-rate revenue</t>
  </si>
  <si>
    <t>Topkey Year 5 value at which Scenario 2 equals Scenario 1</t>
  </si>
  <si>
    <t>Multiple at which the offer breaks even (flat 19.2x assumed in base)</t>
  </si>
  <si>
    <t>Net wins per year at which the offer breaks even. Base is an AMB placeholder</t>
  </si>
  <si>
    <t>Model assumes no dilution; break-even dilution shown</t>
  </si>
  <si>
    <t>Downside multiple compression. Negative = offer worse than keeping Keystone</t>
  </si>
  <si>
    <t>Downside Topkey client growth</t>
  </si>
  <si>
    <t>Downside dilution from future Topkey funding rounds</t>
  </si>
  <si>
    <t>Share of Ben's Scenario 2 value held in illiquid minority stock</t>
  </si>
  <si>
    <t>Ask: Ben's stock paid back first on a sale</t>
  </si>
  <si>
    <t>Ask: protect Ben's 4% from future rounds</t>
  </si>
  <si>
    <t>Ask: right to sell shares back to Topkey, and join any founder sale on equal terms</t>
  </si>
  <si>
    <t>Ask: verify $261K monthly revenue, 325 clients, churn and $60M valuation basis</t>
  </si>
  <si>
    <t>Topkey Multiple ÷ Keystone Multiple</t>
  </si>
  <si>
    <t>Where Ben's Year 5 Value Comes From</t>
  </si>
  <si>
    <t>Price Paid vs. Price Received</t>
  </si>
  <si>
    <t>Break-Even Stress Tests</t>
  </si>
  <si>
    <t>Downside Cases — Scenario 2 vs. Scenario 1</t>
  </si>
  <si>
    <t>Deal Terms — Partial Rollover</t>
  </si>
  <si>
    <t>Keystone Value Today (100%)</t>
  </si>
  <si>
    <t>Offer valuation of 100% of Keystone (Offer Overview C17)</t>
  </si>
  <si>
    <t>Ben's Rollover % — Keystone</t>
  </si>
  <si>
    <t>Topkey Stake % — Keystone</t>
  </si>
  <si>
    <t>Price for Topkey Stake</t>
  </si>
  <si>
    <t>Topkey stake priced at the same $3.0M valuation for 100%</t>
  </si>
  <si>
    <t>Cash portion unchanged from offer (Offer Overview C9)</t>
  </si>
  <si>
    <t>Topkey Equity Issued to Ben</t>
  </si>
  <si>
    <t>Balance of stake price paid in Topkey stock</t>
  </si>
  <si>
    <t>Topkey-provided valuation (Offer Overview C12)</t>
  </si>
  <si>
    <t>Pre-deal value + Keystone stake acquired − cash paid</t>
  </si>
  <si>
    <t>Topkey value net of cash paid at close</t>
  </si>
  <si>
    <t>Tie Out — Topkey Combined EV Today vs. Post-Money</t>
  </si>
  <si>
    <t>Tie Out — Ben's Topkey Equity vs. Equity Issued</t>
  </si>
  <si>
    <t>Tie Out — Ben's Value Today vs. Keystone Value Today</t>
  </si>
  <si>
    <t>Partnership Rollover Scenarios ($000s)</t>
  </si>
  <si>
    <t>Keystone Enterprise Value — Partnership</t>
  </si>
  <si>
    <t>(x) Ben's Retained Keystone %</t>
  </si>
  <si>
    <t>Ben's Retained Keystone Value</t>
  </si>
  <si>
    <t>(+) Topkey's Share of Keystone Value</t>
  </si>
  <si>
    <t>Topkey Combined Enterprise Value</t>
  </si>
  <si>
    <t>(x) Ben's Topkey Ownership %</t>
  </si>
  <si>
    <t>Split of Ben's Scenario 2 value</t>
  </si>
  <si>
    <t>(+) Ben's Share of Topkey ex-Keystone Value</t>
  </si>
  <si>
    <t>Ben's Topkey % × Topkey's own Year 5 value</t>
  </si>
  <si>
    <t>(+) Ben's Share of Topkey's Keystone Stake</t>
  </si>
  <si>
    <t>Ben's Topkey % × Topkey's Keystone stake</t>
  </si>
  <si>
    <t>Year 5 partnership revenue × (retained % + Topkey stake % × Ben's Topkey %)</t>
  </si>
  <si>
    <t>Keystone partnership multiple at which Scenario 2 equals Scenario 1</t>
  </si>
  <si>
    <t>Topkey Year 5 value needed to break even; zero means not needed</t>
  </si>
  <si>
    <t>Dilution Ben can absorb before breaking even (capped at 100%)</t>
  </si>
  <si>
    <t>Positive = Ben beats keeping 100% even if Topkey stock is worth nothing</t>
  </si>
  <si>
    <t>Partnership Revenue Multiple Falls To</t>
  </si>
  <si>
    <t>All Four Downsides Combined</t>
  </si>
  <si>
    <t>Liquidity &amp; Control</t>
  </si>
  <si>
    <t>% of Topkey Stake Price in Cash</t>
  </si>
  <si>
    <t>Ben's Keystone Ownership % After Close</t>
  </si>
  <si>
    <t>Minority stake in a Topkey-controlled company</t>
  </si>
  <si>
    <t>Retained Keystone stake + Topkey stock ÷ Ben's total value</t>
  </si>
  <si>
    <t>Negotiation Asks</t>
  </si>
  <si>
    <t>Cash at Close — Target % of Stake Price</t>
  </si>
  <si>
    <t>Ask: raise cash to 40-50% of the stake price</t>
  </si>
  <si>
    <t>Additional cash vs. current structure</t>
  </si>
  <si>
    <t>Minority Protections on Ben's Retained Stake</t>
  </si>
  <si>
    <t>Ask: Keystone board seat and vetoes on sale, new equity and debt</t>
  </si>
  <si>
    <t>Put Right on Ben's Retained Stake (Years 3–5)</t>
  </si>
  <si>
    <t>Ask: right to sell the remaining stake to Topkey at a set formula or multiple</t>
  </si>
  <si>
    <t>Tag-Along, Drag-Along &amp; Dividend Policy</t>
  </si>
  <si>
    <t>Ask: equal terms on any sale; set distributions from Keystone profits</t>
  </si>
  <si>
    <t>Anti-Dilution &amp; Pro-Rata Rights on Topkey Stock</t>
  </si>
  <si>
    <t>Ask: protect Ben's Topkey % from future rounds</t>
  </si>
  <si>
    <t>Share of Keystone Ben keeps; Topkey buys the rest for cash + Topkey equity (per AMB)</t>
  </si>
  <si>
    <t>Linked from rollover input (C7)</t>
  </si>
  <si>
    <t>Ben's Value by Source</t>
  </si>
  <si>
    <t>Keystone — Ben's Direct Retained Stake</t>
  </si>
  <si>
    <t>(+) Keystone — Ben's Indirect Share via Topkey</t>
  </si>
  <si>
    <t>(+) Topkey ex-Keystone — Ben's Share</t>
  </si>
  <si>
    <t>Today at offer value; Year 5 = partnership revenue × partnership multiple (C29)</t>
  </si>
  <si>
    <t>Ben's retained Keystone stake (C7 × Keystone value)</t>
  </si>
  <si>
    <t>Topkey's stake in Keystone is part of Topkey's value</t>
  </si>
  <si>
    <t>Keystone value Ben owns directly</t>
  </si>
  <si>
    <t>Ben's Topkey % × Topkey's own business</t>
  </si>
  <si>
    <t>Direct Keystone + indirect Keystone + Topkey + cash</t>
  </si>
  <si>
    <t>Topkey Value Decline Ben Can Absorb</t>
  </si>
  <si>
    <t>Downside Cases — Ben's Year 5 Value</t>
  </si>
  <si>
    <t>Scenario 2 — Base Case</t>
  </si>
  <si>
    <t>Combined Downside Less Scenario 1</t>
  </si>
  <si>
    <t>Ben's Scenario 2 value if the partnership multiple falls to the input</t>
  </si>
  <si>
    <t>Ben's Scenario 2 value if Topkey's multiple falls to the input</t>
  </si>
  <si>
    <t>Ben's Scenario 2 value if Topkey net wins fall to the input</t>
  </si>
  <si>
    <t>Ben's Scenario 2 value after dilution of his Topkey stake</t>
  </si>
  <si>
    <t>Ben's Scenario 2 value with all four downsides at once</t>
  </si>
  <si>
    <t>Negative = rollover worse than keeping 100% of Keystone</t>
  </si>
  <si>
    <t>(+) Software-Enabled Price Increase / Client</t>
  </si>
  <si>
    <t>VR Platform Replacement — Topkey Software Fee</t>
  </si>
  <si>
    <t>VR Platform Cost / Client — Today</t>
  </si>
  <si>
    <t>(x) Topkey Fee — % of VR Cost</t>
  </si>
  <si>
    <t>Hosting Cost Floor / Client</t>
  </si>
  <si>
    <t>Topkey Fee / Client</t>
  </si>
  <si>
    <t>VR Savings / Client</t>
  </si>
  <si>
    <t>Year 5 Keystone Core Clients</t>
  </si>
  <si>
    <t>Year 5 Annual Topkey Fee</t>
  </si>
  <si>
    <t>Year 5 Annual VR Savings</t>
  </si>
  <si>
    <t>Savings — % of Year 5 Partnership Revenue</t>
  </si>
  <si>
    <t>Ben's Share of Annual Savings</t>
  </si>
  <si>
    <t>Base case 50%. Test 100% (same fee as VR) or 0% (hosting cost only). Pending negotiation</t>
  </si>
  <si>
    <t>Topkey's hosting cost per client; pending from Topkey. Fee cannot go below this</t>
  </si>
  <si>
    <t>Greater of discounted VR cost or hosting floor</t>
  </si>
  <si>
    <t>Cost Keystone saves per client vs. paying VR</t>
  </si>
  <si>
    <t>Fee Keystone pays Topkey; not added to Topkey's value (would double-count)</t>
  </si>
  <si>
    <t>Annual savings × Ben's direct + indirect Keystone ownership</t>
  </si>
  <si>
    <t>Topkey Platform Fee at Hosting Cost + Margin, Capped</t>
  </si>
  <si>
    <t>Ask: fee set at hosting cost plus a small margin, capped and written into the shareholder agreement, with audit rights</t>
  </si>
  <si>
    <t>Year 5 cost savings vs. VR; memo only — not included in Ben's return calculations</t>
  </si>
  <si>
    <t>Only if Topkey software supports higher client fees; VR platform cost no longer added to revenue per client</t>
  </si>
  <si>
    <t>Run-rate tech cost provided by the target; memo only — VR savings assumed captured in the 25% partnership margin and revenue multiple</t>
  </si>
  <si>
    <t>AMB estimate of steady-state EBITDA margin</t>
  </si>
  <si>
    <t>Earnout Measurement Year</t>
  </si>
  <si>
    <t>Keystone Revenue at Close</t>
  </si>
  <si>
    <t>(x) Achievement vs. Target</t>
  </si>
  <si>
    <t>Threshold — % of Target</t>
  </si>
  <si>
    <t>Cash Earnout Payable — Year 3</t>
  </si>
  <si>
    <t>Probability of Achievement</t>
  </si>
  <si>
    <t>Discount Rate</t>
  </si>
  <si>
    <t>Risk-Weighted Earnout — PV at Close (Memo)</t>
  </si>
  <si>
    <t>Base case assumes the model's Year 3 revenue is achieved; flex to test payout</t>
  </si>
  <si>
    <t>AMB estimate for the memo line below</t>
  </si>
  <si>
    <t>Memo only; not used in Scenario 2</t>
  </si>
  <si>
    <t>(+) Cash Earnout — Year 3</t>
  </si>
  <si>
    <t>Topkey's Return on the Keystone Stake</t>
  </si>
  <si>
    <t>Cash Paid at Close</t>
  </si>
  <si>
    <t>(+) Topkey Equity Issued to Ben</t>
  </si>
  <si>
    <t>Total Consideration Paid by Topkey</t>
  </si>
  <si>
    <t>(x) Topkey's Keystone Stake %</t>
  </si>
  <si>
    <t>Keystone Enterprise Value — Year 5</t>
  </si>
  <si>
    <t>Value of Topkey's Keystone Stake — Year 5</t>
  </si>
  <si>
    <t>MOIC — Topkey</t>
  </si>
  <si>
    <t>Topkey Cash Flows — Keystone Stake</t>
  </si>
  <si>
    <t>Cash Flow</t>
  </si>
  <si>
    <t>IRR — Topkey</t>
  </si>
  <si>
    <t>Cash earnout at base-case achievement (C56)</t>
  </si>
  <si>
    <t>Everything Topkey gives up for its Keystone stake</t>
  </si>
  <si>
    <t>Year 5 partnership value of 100% of Keystone (D67)</t>
  </si>
  <si>
    <t>Ties to Topkey's share of Keystone in Scenario 2 (D72)</t>
  </si>
  <si>
    <t>Year 5 stake value ÷ total consideration</t>
  </si>
  <si>
    <t>Year 0 = close: cash + stock issued; earnout paid in the measurement year (C44); Year 5 = stake value (not a cash exit). Schedule covers a 5-year horizon</t>
  </si>
  <si>
    <t>(+) Cash at Close + Earnout</t>
  </si>
  <si>
    <t>Cash at close (D80) + Year 3 earnout (D81)</t>
  </si>
  <si>
    <t>Retained Keystone + Cash + Earnout Less Scenario 1</t>
  </si>
  <si>
    <t>Today: cash at close. Year 5: cash at close + Year 3 earnout</t>
  </si>
  <si>
    <t>Ben's retained Keystone stake at the partnership multiple (D69)</t>
  </si>
  <si>
    <t>Ties to D82</t>
  </si>
  <si>
    <t>Benchmark: Ben keeps 100% (D64)</t>
  </si>
  <si>
    <t>Rollover at base-case inputs (D82)</t>
  </si>
  <si>
    <t>Topkey's Return on the Keystone Acquisition</t>
  </si>
  <si>
    <t>100% buyout</t>
  </si>
  <si>
    <t>Topkey's Year 5 value of Keystone</t>
  </si>
  <si>
    <t>Topkey Cash Flows — Keystone Acquisition</t>
  </si>
  <si>
    <t>Linked from 100% Buyout Analysis C125</t>
  </si>
  <si>
    <t>Linked from 100% Buyout Analysis C126</t>
  </si>
  <si>
    <t>Cash earnout at base-case achievement (C55)</t>
  </si>
  <si>
    <t>Everything Topkey gives up for Keystone</t>
  </si>
  <si>
    <t>Year 0 = close: cash + stock issued; earnout paid in the measurement year (C43); Year 5 = stake value (not a cash exit). Schedule covers a 5-year horizon</t>
  </si>
  <si>
    <t>Year 5 partnership value of Keystone (D67)</t>
  </si>
  <si>
    <t>Ben's 4% of the partnership-valued Keystone (D67)</t>
  </si>
  <si>
    <t>Cash at Close + Earnout</t>
  </si>
  <si>
    <t>Linked from 100% Buyout Analysis C147 + C55 (Year 3 cash earnout)</t>
  </si>
  <si>
    <t>Linked from 100% Buyout Analysis D66 (net of cash and earnout paid)</t>
  </si>
  <si>
    <t>Linked from 100% Buyout Analysis C151</t>
  </si>
  <si>
    <t>Ben's 4% of Topkey's own Year 5 value, net of cash and earnout paid (D66)</t>
  </si>
  <si>
    <t>Cash at close (D70)</t>
  </si>
  <si>
    <t>Year 3 cash earnout (D71)</t>
  </si>
  <si>
    <t>Ties to D72</t>
  </si>
  <si>
    <t>Keystone Sale Multiple incl. Earnout (x Revenue)</t>
  </si>
  <si>
    <t>(Offer value + Year 3 earnout) ÷ Keystone run-rate revenue</t>
  </si>
  <si>
    <t>Earnout Missed — Below Threshold</t>
  </si>
  <si>
    <t>Keystone misses 80% of Year 3 target: no earnout (Topkey keeps the cash, so Ben's 4% recovers a little)</t>
  </si>
  <si>
    <t>All Four Downsides Combined (incl. No Earnout)</t>
  </si>
  <si>
    <t>Multiple, wins and dilution downsides, and no earnout</t>
  </si>
  <si>
    <t>Cash at Close (Year 5: + Earnout)</t>
  </si>
  <si>
    <t>Year 5 column includes the Year 3 cash earnout in total consideration</t>
  </si>
  <si>
    <t>Cash Earnout on Year 3 Revenue — Paid in Cash</t>
  </si>
  <si>
    <t>Ask: earnout paid in cash; accelerates on a Topkey sale or termination without cause; software fee and cost allocations fixed</t>
  </si>
  <si>
    <t>IRR on Ben's Scenario 2 cash flows (supporting table at rows 202-208); Year 5 = stake values, not a cash exit</t>
  </si>
  <si>
    <t>Keystone (Ben) Cash Flows — Scenario 2</t>
  </si>
  <si>
    <t>Year 0 = Keystone value given up (C161) less cash at close (C165); earnout in the measurement year (C44); Year 5 = retained Keystone stake (D69) + Topkey stock (D75)</t>
  </si>
  <si>
    <t>Ben's Year 5 value (D82: cash + earnout + retained stake + Topkey stock) ÷ Keystone value given up at close (C161)</t>
  </si>
  <si>
    <t>Implied multiple: Topkey pre-deal valuation (C167) ÷ run-rate revenue (C10)</t>
  </si>
  <si>
    <t>Target pace per AMB; LTM actual is 26/yr (~2.2/month), see build at rows 175-180</t>
  </si>
  <si>
    <t>Only if Topkey software supports higher client fees; VR cost treated as a cost (memo block at rows 182-192)</t>
  </si>
  <si>
    <t>Ties to Topkey equity issued (tie-out row 172)</t>
  </si>
  <si>
    <t>Cash portion of stake price (C165)</t>
  </si>
  <si>
    <t>Topkey stock issued, at issue value (C166)</t>
  </si>
  <si>
    <t>Topkey's share of Keystone (C163)</t>
  </si>
  <si>
    <t>IRR on Topkey's cash flows (supporting table at rows 194-200); excludes software fee income and Keystone distributions, so understated</t>
  </si>
  <si>
    <t>Drop in Topkey's Year 5 value (vs. base, D127) before Scenario 2 falls to Scenario 1; 100% = Topkey stock not needed</t>
  </si>
  <si>
    <t>Sep'26 core client count (C179) + partnership net client wins (C39)</t>
  </si>
  <si>
    <t>Savings ÷ Year 5 partnership revenue (C111)</t>
  </si>
  <si>
    <t>Partnership MOIC — Keystone (Ben)</t>
  </si>
  <si>
    <t>Partnership IRR — Keystone (Ben)</t>
  </si>
  <si>
    <t>Required Topkey CAGR</t>
  </si>
  <si>
    <t>Topkey revenue CAGR needed for Scenario 2 to equal Scenario 1 (from required value in C127, before earnout paid); floored at zero</t>
  </si>
  <si>
    <t>Cash Earnout — Year 3 Keystone Revenue (Sliding Scale)</t>
  </si>
  <si>
    <t>Target Earnout — at 100% of Target</t>
  </si>
  <si>
    <t>Payout at Threshold — % of Target Earnout</t>
  </si>
  <si>
    <t>Cap — % of Target Earnout</t>
  </si>
  <si>
    <t>Payout % Earned</t>
  </si>
  <si>
    <t>Maximum Earnout (Cap)</t>
  </si>
  <si>
    <t>No earnout below this share of target; payout starts at the threshold % below</t>
  </si>
  <si>
    <t>Opening ask: $500K at target (AMB internal range $750K–$1M)</t>
  </si>
  <si>
    <t>Share of target earnout paid at the 80% threshold</t>
  </si>
  <si>
    <t>Straight line from threshold payout at 80% to 100% at target, continuing above target until the cap</t>
  </si>
  <si>
    <t>Topkey's maximum earnout exposure</t>
  </si>
  <si>
    <t>Paid in cash by Topkey; flows into Scenario 2 (row 81), Ben's MOIC/IRR and Topkey's return (row 95)</t>
  </si>
  <si>
    <t>Payout capped at 120% of target, symmetric with the 80% threshold (50% at 80%, 150% at 120%)</t>
  </si>
  <si>
    <t>Run-Rate Window — Months Averaged</t>
  </si>
  <si>
    <t>Earnout measured on average monthly recurring revenue for the last 3 months of Year 3 (months 34–36) × 12; averaging prevents one strong month from triggering the payout</t>
  </si>
  <si>
    <t>Year 3 Run-Rate Revenue Target</t>
  </si>
  <si>
    <t>Run-rate at close + partnership added revenue ramped to the midpoint of the averaging window (month 35 ÷ 60); same basis as the earnout measurement</t>
  </si>
  <si>
    <t>Year 3 Run-Rate Revenue — Achieved</t>
  </si>
  <si>
    <t>Earnout measured on Year 3 run-rate: average of months 34–36 × 12 (see C55)</t>
  </si>
  <si>
    <t>PF Jul'26 run-rate revenue at close (C160); unchanged</t>
  </si>
  <si>
    <t>Earnout measured on Year 3 run-rate: average of months 34–36 × 12 (see C54)</t>
  </si>
  <si>
    <t>Buyout MOIC — Keystone (Ben)</t>
  </si>
  <si>
    <t>Buyout IRR — Keystone (Ben)</t>
  </si>
  <si>
    <t>Ben's Year 5 value (D72: cash + earnout + Topkey stock) ÷ Keystone value given up at close (C153)</t>
  </si>
  <si>
    <t>IRR on Ben's Scenario 2 cash flows (supporting table at rows 178-184); Year 5 = stake value, not a cash exit</t>
  </si>
  <si>
    <t>Year 0 = Keystone value given up (C153) less cash at close (C154); earnout in the measurement year (C43); Year 5 = Ben's Topkey stock (D69)</t>
  </si>
  <si>
    <t>Implied multiple: Topkey pre-deal valuation (C156) ÷ run-rate revenue (C9)</t>
  </si>
  <si>
    <t>Target pace per AMB; LTM actual is 26/yr (~2.2/month), see build at rows 163-168</t>
  </si>
  <si>
    <t>Cash portion of offer (C154)</t>
  </si>
  <si>
    <t>Topkey stock issued, at issue value (C155)</t>
  </si>
  <si>
    <t>IRR on Topkey's cash flows (supporting table at rows 170-176); excludes software fee income and Keystone profits, so understated</t>
  </si>
  <si>
    <t>Break-even vs. estimated Topkey revenue CAGR (rows 79-80)</t>
  </si>
  <si>
    <t>PF Jul'26 run-rate revenue at close (C152); unchanged</t>
  </si>
  <si>
    <t>Paid in cash by Topkey; flows into Scenario 2 (row 71), Ben's MOIC/IRR (rows 77-78) and Topkey's return (row 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</si>
</sst>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  <numFmt numFmtId="182" formatCode="0.00\x"/>
    <numFmt numFmtId="184" formatCode="0.00\x;\(0.00\x\);&quot;–&quot;"/>
    <numFmt numFmtId="185" formatCode="[$$]#,##0.00;\([$$]#,##0.00\);&quot;–&quot;;@"/>
    <numFmt numFmtId="186" formatCode="#,##0.00;\(#,##0.00\);&quot;–&quot;;@"/>
  </numFmts>
  <fonts count="10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9"/>
      <color theme="0"/>
      <name val="Arial"/>
    </font>
    <font>
      <sz val="9"/>
      <color rgb="FF008000"/>
      <name val="Arial"/>
    </font>
    <font>
      <b/>
      <sz val="9"/>
      <color rgb="FF800080"/>
      <name val="Arial"/>
    </font>
    <font>
      <b/>
      <sz val="9"/>
      <color rgb="FF008000"/>
      <name val="Arial"/>
    </font>
    <font>
      <b/>
      <sz val="9"/>
      <name val="Arial"/>
    </font>
    <font>
      <b/>
      <sz val="9"/>
      <color rgb="FF0000FF"/>
      <name val="Arial"/>
    </font>
    <font>
      <b/>
      <sz val="13"/>
      <color rgb="FF000000"/>
      <name val="Arial"/>
    </font>
    <font>
      <b/>
      <sz val="13"/>
      <color rgb="FF000000"/>
      <name val="Arial"/>
      <family val="2"/>
    </font>
    <font>
      <b/>
      <sz val="13"/>
      <color rgb="FF008000"/>
      <name val="arial"/>
      <family val="2"/>
    </font>
    <font>
      <b/>
      <sz val="9"/>
      <color rgb="FF800080"/>
      <name val="arial"/>
      <family val="2"/>
    </font>
    <font>
      <b/>
      <i/>
      <sz val="9"/>
      <color rgb="FF00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</fills>
  <borders count="2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6">
    <xf numFmtId="0" fontId="0" fillId="0" borderId="0"/>
    <xf numFmtId="0" fontId="27" fillId="0" borderId="0"/>
    <xf numFmtId="9" fontId="33" fillId="0" borderId="0" applyFont="0" applyFill="0" applyBorder="0" applyAlignment="0" applyProtection="0"/>
    <xf numFmtId="0" fontId="53" fillId="0" borderId="0"/>
    <xf numFmtId="0" fontId="60" fillId="0" borderId="0"/>
    <xf numFmtId="9" fontId="60" fillId="0" borderId="0" applyFont="0" applyFill="0" applyBorder="0" applyAlignment="0" applyProtection="0"/>
  </cellStyleXfs>
  <cellXfs count="776">
    <xf numFmtId="0" fontId="0" fillId="0" borderId="0" xfId="0"/>
    <xf numFmtId="0" fontId="23" fillId="2" borderId="0" xfId="0" applyFont="1" applyFill="1"/>
    <xf numFmtId="0" fontId="23" fillId="0" borderId="0" xfId="0" applyFont="1"/>
    <xf numFmtId="0" fontId="23" fillId="0" borderId="1" xfId="0" applyFont="1" applyBorder="1"/>
    <xf numFmtId="0" fontId="23" fillId="0" borderId="2" xfId="0" applyFont="1" applyBorder="1"/>
    <xf numFmtId="0" fontId="28" fillId="0" borderId="0" xfId="1" applyFont="1"/>
    <xf numFmtId="0" fontId="22" fillId="0" borderId="0" xfId="1" applyFont="1"/>
    <xf numFmtId="0" fontId="29" fillId="0" borderId="3" xfId="1" applyFont="1" applyBorder="1"/>
    <xf numFmtId="0" fontId="22" fillId="0" borderId="3" xfId="1" applyFont="1" applyBorder="1"/>
    <xf numFmtId="0" fontId="30" fillId="3" borderId="0" xfId="1" applyFont="1" applyFill="1" applyAlignment="1">
      <alignment horizontal="left" vertical="center"/>
    </xf>
    <xf numFmtId="0" fontId="30" fillId="3" borderId="0" xfId="1" applyFont="1" applyFill="1" applyAlignment="1">
      <alignment horizontal="center" vertical="center"/>
    </xf>
    <xf numFmtId="17" fontId="30" fillId="3" borderId="0" xfId="1" applyNumberFormat="1" applyFont="1" applyFill="1" applyAlignment="1">
      <alignment horizontal="center" vertical="center"/>
    </xf>
    <xf numFmtId="0" fontId="31" fillId="4" borderId="0" xfId="1" applyFont="1" applyFill="1"/>
    <xf numFmtId="0" fontId="22" fillId="4" borderId="0" xfId="1" applyFont="1" applyFill="1"/>
    <xf numFmtId="0" fontId="32" fillId="0" borderId="0" xfId="1" applyFont="1"/>
    <xf numFmtId="164" fontId="32" fillId="0" borderId="0" xfId="1" applyNumberFormat="1" applyFont="1"/>
    <xf numFmtId="164" fontId="22" fillId="0" borderId="0" xfId="1" applyNumberFormat="1" applyFont="1"/>
    <xf numFmtId="0" fontId="31" fillId="0" borderId="0" xfId="1" applyFont="1"/>
    <xf numFmtId="164" fontId="31" fillId="0" borderId="2" xfId="1" applyNumberFormat="1" applyFont="1" applyBorder="1"/>
    <xf numFmtId="0" fontId="32" fillId="0" borderId="0" xfId="1" applyFont="1" applyAlignment="1">
      <alignment horizontal="left"/>
    </xf>
    <xf numFmtId="164" fontId="22" fillId="4" borderId="0" xfId="1" applyNumberFormat="1" applyFont="1" applyFill="1"/>
    <xf numFmtId="164" fontId="31" fillId="0" borderId="4" xfId="1" applyNumberFormat="1" applyFont="1" applyBorder="1"/>
    <xf numFmtId="0" fontId="31" fillId="4" borderId="0" xfId="1" applyFont="1" applyFill="1" applyAlignment="1">
      <alignment horizontal="center"/>
    </xf>
    <xf numFmtId="165" fontId="32" fillId="0" borderId="0" xfId="1" applyNumberFormat="1" applyFont="1"/>
    <xf numFmtId="0" fontId="27" fillId="0" borderId="0" xfId="1"/>
    <xf numFmtId="0" fontId="32" fillId="0" borderId="0" xfId="1" applyFont="1" applyAlignment="1">
      <alignment indent="1"/>
    </xf>
    <xf numFmtId="166" fontId="32" fillId="0" borderId="0" xfId="1" applyNumberFormat="1" applyFont="1"/>
    <xf numFmtId="0" fontId="32" fillId="0" borderId="0" xfId="1" applyFont="1" applyAlignment="1">
      <alignment indent="2"/>
    </xf>
    <xf numFmtId="0" fontId="31" fillId="0" borderId="0" xfId="1" applyFont="1" applyAlignment="1">
      <alignment indent="1"/>
    </xf>
    <xf numFmtId="166" fontId="31" fillId="0" borderId="0" xfId="1" applyNumberFormat="1" applyFont="1"/>
    <xf numFmtId="0" fontId="32" fillId="0" borderId="0" xfId="1" applyFont="1" applyAlignment="1">
      <alignment indent="3"/>
    </xf>
    <xf numFmtId="0" fontId="31" fillId="0" borderId="0" xfId="1" applyFont="1" applyAlignment="1">
      <alignment indent="2"/>
    </xf>
    <xf numFmtId="0" fontId="0" fillId="5" borderId="0" xfId="0" applyFill="1"/>
    <xf numFmtId="14" fontId="38" fillId="0" borderId="0" xfId="1" applyNumberFormat="1" applyFont="1"/>
    <xf numFmtId="14" fontId="32" fillId="0" borderId="0" xfId="1" applyNumberFormat="1" applyFont="1"/>
    <xf numFmtId="14" fontId="40" fillId="0" borderId="0" xfId="1" applyNumberFormat="1" applyFont="1"/>
    <xf numFmtId="0" fontId="21" fillId="0" borderId="0" xfId="0" applyFont="1"/>
    <xf numFmtId="0" fontId="41" fillId="0" borderId="0" xfId="0" applyFont="1"/>
    <xf numFmtId="0" fontId="42" fillId="0" borderId="3" xfId="0" applyFont="1" applyBorder="1"/>
    <xf numFmtId="0" fontId="21" fillId="0" borderId="3" xfId="0" applyFont="1" applyBorder="1"/>
    <xf numFmtId="0" fontId="30" fillId="6" borderId="0" xfId="1" applyFont="1" applyFill="1" applyAlignment="1">
      <alignment horizontal="left" vertical="center"/>
    </xf>
    <xf numFmtId="0" fontId="30" fillId="6" borderId="0" xfId="1" applyFont="1" applyFill="1" applyAlignment="1">
      <alignment horizontal="center" vertical="center"/>
    </xf>
    <xf numFmtId="0" fontId="31" fillId="7" borderId="0" xfId="1" applyFont="1" applyFill="1"/>
    <xf numFmtId="0" fontId="22" fillId="7" borderId="0" xfId="1" applyFont="1" applyFill="1"/>
    <xf numFmtId="17" fontId="30" fillId="6" borderId="0" xfId="1" applyNumberFormat="1" applyFont="1" applyFill="1" applyAlignment="1">
      <alignment horizontal="center" vertical="center"/>
    </xf>
    <xf numFmtId="167" fontId="21" fillId="0" borderId="0" xfId="0" applyNumberFormat="1" applyFont="1"/>
    <xf numFmtId="167" fontId="38" fillId="0" borderId="0" xfId="0" applyNumberFormat="1" applyFont="1"/>
    <xf numFmtId="167" fontId="39" fillId="0" borderId="0" xfId="0" applyNumberFormat="1" applyFont="1"/>
    <xf numFmtId="167" fontId="32" fillId="0" borderId="0" xfId="1" applyNumberFormat="1" applyFont="1"/>
    <xf numFmtId="167" fontId="39" fillId="0" borderId="0" xfId="1" applyNumberFormat="1" applyFont="1"/>
    <xf numFmtId="167" fontId="40" fillId="0" borderId="0" xfId="1" applyNumberFormat="1" applyFont="1"/>
    <xf numFmtId="0" fontId="30" fillId="0" borderId="0" xfId="1" applyFont="1" applyAlignment="1">
      <alignment horizontal="center" vertical="center"/>
    </xf>
    <xf numFmtId="165" fontId="21" fillId="0" borderId="0" xfId="0" applyNumberFormat="1" applyFont="1"/>
    <xf numFmtId="165" fontId="39" fillId="0" borderId="0" xfId="0" applyNumberFormat="1" applyFont="1"/>
    <xf numFmtId="0" fontId="43" fillId="0" borderId="0" xfId="1" applyFont="1" applyAlignment="1">
      <alignment horizontal="left"/>
    </xf>
    <xf numFmtId="0" fontId="43" fillId="0" borderId="0" xfId="1" applyFont="1"/>
    <xf numFmtId="0" fontId="32" fillId="0" borderId="0" xfId="1" applyFont="1" applyAlignment="1">
      <alignment horizontal="left" indent="1"/>
    </xf>
    <xf numFmtId="0" fontId="21" fillId="0" borderId="0" xfId="0" applyFont="1" applyAlignment="1">
      <alignment horizontal="left" indent="1"/>
    </xf>
    <xf numFmtId="0" fontId="36" fillId="0" borderId="2" xfId="0" applyFont="1" applyBorder="1"/>
    <xf numFmtId="167" fontId="36" fillId="0" borderId="2" xfId="0" applyNumberFormat="1" applyFont="1" applyBorder="1"/>
    <xf numFmtId="0" fontId="36" fillId="8" borderId="6" xfId="0" applyFont="1" applyFill="1" applyBorder="1"/>
    <xf numFmtId="167" fontId="36" fillId="8" borderId="7" xfId="0" applyNumberFormat="1" applyFont="1" applyFill="1" applyBorder="1"/>
    <xf numFmtId="167" fontId="36" fillId="8" borderId="8" xfId="0" applyNumberFormat="1" applyFont="1" applyFill="1" applyBorder="1"/>
    <xf numFmtId="167" fontId="36" fillId="8" borderId="6" xfId="0" applyNumberFormat="1" applyFont="1" applyFill="1" applyBorder="1"/>
    <xf numFmtId="165" fontId="39" fillId="0" borderId="0" xfId="1" applyNumberFormat="1" applyFont="1"/>
    <xf numFmtId="165" fontId="40" fillId="0" borderId="0" xfId="1" applyNumberFormat="1" applyFont="1"/>
    <xf numFmtId="168" fontId="32" fillId="0" borderId="0" xfId="1" applyNumberFormat="1" applyFont="1"/>
    <xf numFmtId="168" fontId="36" fillId="8" borderId="7" xfId="0" applyNumberFormat="1" applyFont="1" applyFill="1" applyBorder="1"/>
    <xf numFmtId="168" fontId="36" fillId="8" borderId="8" xfId="0" applyNumberFormat="1" applyFont="1" applyFill="1" applyBorder="1"/>
    <xf numFmtId="168" fontId="36" fillId="8" borderId="6" xfId="0" applyNumberFormat="1" applyFont="1" applyFill="1" applyBorder="1"/>
    <xf numFmtId="165" fontId="38" fillId="0" borderId="0" xfId="1" applyNumberFormat="1" applyFont="1"/>
    <xf numFmtId="167" fontId="36" fillId="0" borderId="0" xfId="0" applyNumberFormat="1" applyFont="1"/>
    <xf numFmtId="168" fontId="36" fillId="0" borderId="0" xfId="0" applyNumberFormat="1" applyFont="1"/>
    <xf numFmtId="0" fontId="21" fillId="9" borderId="0" xfId="0" applyFont="1" applyFill="1"/>
    <xf numFmtId="0" fontId="34" fillId="9" borderId="0" xfId="0" applyFont="1" applyFill="1" applyAlignment="1">
      <alignment horizontal="centerContinuous"/>
    </xf>
    <xf numFmtId="0" fontId="37" fillId="9" borderId="0" xfId="0" applyFont="1" applyFill="1" applyAlignment="1">
      <alignment horizontal="centerContinuous"/>
    </xf>
    <xf numFmtId="0" fontId="34" fillId="9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165" fontId="38" fillId="0" borderId="5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43" fillId="0" borderId="0" xfId="1" applyFont="1" applyAlignment="1">
      <alignment horizontal="left" indent="1"/>
    </xf>
    <xf numFmtId="0" fontId="32" fillId="0" borderId="0" xfId="1" applyFont="1" applyAlignment="1">
      <alignment horizontal="left" indent="2"/>
    </xf>
    <xf numFmtId="165" fontId="38" fillId="0" borderId="0" xfId="0" applyNumberFormat="1" applyFont="1"/>
    <xf numFmtId="165" fontId="40" fillId="0" borderId="0" xfId="0" applyNumberFormat="1" applyFont="1"/>
    <xf numFmtId="165" fontId="35" fillId="0" borderId="0" xfId="1" applyNumberFormat="1" applyFont="1"/>
    <xf numFmtId="0" fontId="35" fillId="0" borderId="0" xfId="0" applyFont="1"/>
    <xf numFmtId="167" fontId="40" fillId="0" borderId="0" xfId="0" applyNumberFormat="1" applyFont="1"/>
    <xf numFmtId="168" fontId="31" fillId="8" borderId="8" xfId="1" applyNumberFormat="1" applyFont="1" applyFill="1" applyBorder="1"/>
    <xf numFmtId="168" fontId="46" fillId="0" borderId="0" xfId="1" applyNumberFormat="1" applyFont="1"/>
    <xf numFmtId="168" fontId="47" fillId="0" borderId="9" xfId="2" applyNumberFormat="1" applyFont="1" applyFill="1" applyBorder="1" applyAlignment="1"/>
    <xf numFmtId="168" fontId="31" fillId="0" borderId="2" xfId="2" applyNumberFormat="1" applyFont="1" applyBorder="1"/>
    <xf numFmtId="168" fontId="21" fillId="0" borderId="0" xfId="0" applyNumberFormat="1" applyFont="1"/>
    <xf numFmtId="0" fontId="31" fillId="0" borderId="2" xfId="0" applyFont="1" applyBorder="1"/>
    <xf numFmtId="0" fontId="20" fillId="0" borderId="0" xfId="0" applyFont="1" applyAlignment="1">
      <alignment horizontal="left" indent="1"/>
    </xf>
    <xf numFmtId="165" fontId="35" fillId="0" borderId="5" xfId="1" applyNumberFormat="1" applyFont="1" applyBorder="1"/>
    <xf numFmtId="167" fontId="29" fillId="0" borderId="0" xfId="0" applyNumberFormat="1" applyFont="1" applyAlignment="1">
      <alignment horizontal="left" indent="1"/>
    </xf>
    <xf numFmtId="0" fontId="20" fillId="0" borderId="0" xfId="0" applyFont="1"/>
    <xf numFmtId="0" fontId="42" fillId="0" borderId="0" xfId="0" applyFont="1"/>
    <xf numFmtId="164" fontId="31" fillId="0" borderId="0" xfId="1" applyNumberFormat="1" applyFont="1"/>
    <xf numFmtId="0" fontId="30" fillId="0" borderId="0" xfId="1" applyFont="1"/>
    <xf numFmtId="0" fontId="31" fillId="0" borderId="0" xfId="1" applyFont="1" applyAlignment="1">
      <alignment horizontal="center"/>
    </xf>
    <xf numFmtId="167" fontId="48" fillId="0" borderId="0" xfId="0" applyNumberFormat="1" applyFont="1"/>
    <xf numFmtId="167" fontId="49" fillId="0" borderId="0" xfId="0" applyNumberFormat="1" applyFont="1"/>
    <xf numFmtId="167" fontId="50" fillId="0" borderId="0" xfId="0" applyNumberFormat="1" applyFont="1"/>
    <xf numFmtId="0" fontId="36" fillId="8" borderId="10" xfId="0" applyFont="1" applyFill="1" applyBorder="1"/>
    <xf numFmtId="167" fontId="36" fillId="8" borderId="2" xfId="0" applyNumberFormat="1" applyFont="1" applyFill="1" applyBorder="1"/>
    <xf numFmtId="167" fontId="36" fillId="8" borderId="11" xfId="0" applyNumberFormat="1" applyFont="1" applyFill="1" applyBorder="1"/>
    <xf numFmtId="0" fontId="50" fillId="8" borderId="12" xfId="0" applyFont="1" applyFill="1" applyBorder="1"/>
    <xf numFmtId="169" fontId="50" fillId="8" borderId="3" xfId="0" applyNumberFormat="1" applyFont="1" applyFill="1" applyBorder="1"/>
    <xf numFmtId="169" fontId="50" fillId="8" borderId="13" xfId="0" applyNumberFormat="1" applyFont="1" applyFill="1" applyBorder="1"/>
    <xf numFmtId="167" fontId="36" fillId="8" borderId="10" xfId="0" applyNumberFormat="1" applyFont="1" applyFill="1" applyBorder="1"/>
    <xf numFmtId="169" fontId="50" fillId="8" borderId="12" xfId="0" applyNumberFormat="1" applyFont="1" applyFill="1" applyBorder="1"/>
    <xf numFmtId="168" fontId="31" fillId="8" borderId="11" xfId="1" applyNumberFormat="1" applyFont="1" applyFill="1" applyBorder="1"/>
    <xf numFmtId="168" fontId="51" fillId="8" borderId="13" xfId="1" applyNumberFormat="1" applyFont="1" applyFill="1" applyBorder="1"/>
    <xf numFmtId="165" fontId="52" fillId="0" borderId="0" xfId="0" applyNumberFormat="1" applyFont="1"/>
    <xf numFmtId="165" fontId="35" fillId="0" borderId="0" xfId="0" applyNumberFormat="1" applyFont="1"/>
    <xf numFmtId="0" fontId="19" fillId="0" borderId="0" xfId="0" applyFont="1"/>
    <xf numFmtId="0" fontId="34" fillId="10" borderId="0" xfId="1" applyFont="1" applyFill="1"/>
    <xf numFmtId="0" fontId="37" fillId="10" borderId="0" xfId="1" applyFont="1" applyFill="1"/>
    <xf numFmtId="0" fontId="34" fillId="10" borderId="0" xfId="1" applyFont="1" applyFill="1" applyAlignment="1">
      <alignment horizontal="centerContinuous"/>
    </xf>
    <xf numFmtId="0" fontId="37" fillId="9" borderId="0" xfId="1" applyFont="1" applyFill="1" applyAlignment="1">
      <alignment horizontal="centerContinuous"/>
    </xf>
    <xf numFmtId="0" fontId="32" fillId="7" borderId="0" xfId="1" applyFont="1" applyFill="1"/>
    <xf numFmtId="0" fontId="19" fillId="0" borderId="0" xfId="0" applyFont="1" applyAlignment="1">
      <alignment horizontal="left" indent="1"/>
    </xf>
    <xf numFmtId="0" fontId="42" fillId="0" borderId="0" xfId="0" applyFont="1" applyAlignment="1">
      <alignment horizontal="left" indent="1"/>
    </xf>
    <xf numFmtId="167" fontId="31" fillId="8" borderId="8" xfId="0" applyNumberFormat="1" applyFont="1" applyFill="1" applyBorder="1"/>
    <xf numFmtId="167" fontId="31" fillId="0" borderId="2" xfId="0" applyNumberFormat="1" applyFont="1" applyBorder="1"/>
    <xf numFmtId="0" fontId="50" fillId="0" borderId="0" xfId="0" applyFont="1"/>
    <xf numFmtId="169" fontId="50" fillId="0" borderId="0" xfId="0" applyNumberFormat="1" applyFont="1"/>
    <xf numFmtId="168" fontId="51" fillId="0" borderId="0" xfId="1" applyNumberFormat="1" applyFont="1"/>
    <xf numFmtId="0" fontId="54" fillId="0" borderId="0" xfId="3" applyFont="1"/>
    <xf numFmtId="0" fontId="53" fillId="0" borderId="0" xfId="3"/>
    <xf numFmtId="0" fontId="55" fillId="0" borderId="0" xfId="3" applyFont="1"/>
    <xf numFmtId="0" fontId="56" fillId="11" borderId="0" xfId="3" applyFont="1" applyFill="1" applyAlignment="1">
      <alignment vertical="center" wrapText="1"/>
    </xf>
    <xf numFmtId="0" fontId="57" fillId="0" borderId="0" xfId="3" applyFont="1" applyAlignment="1">
      <alignment vertical="top" wrapText="1"/>
    </xf>
    <xf numFmtId="0" fontId="53" fillId="0" borderId="0" xfId="3" applyAlignment="1">
      <alignment vertical="top" wrapText="1"/>
    </xf>
    <xf numFmtId="170" fontId="58" fillId="0" borderId="0" xfId="3" applyNumberFormat="1" applyFont="1" applyAlignment="1">
      <alignment horizontal="right"/>
    </xf>
    <xf numFmtId="4" fontId="53" fillId="0" borderId="0" xfId="3" applyNumberFormat="1" applyAlignment="1">
      <alignment horizontal="right"/>
    </xf>
    <xf numFmtId="0" fontId="59" fillId="0" borderId="0" xfId="3" applyFont="1" applyAlignment="1">
      <alignment vertical="top" wrapText="1"/>
    </xf>
    <xf numFmtId="0" fontId="57" fillId="0" borderId="14" xfId="3" applyFont="1" applyBorder="1"/>
    <xf numFmtId="0" fontId="18" fillId="0" borderId="0" xfId="0" applyFont="1"/>
    <xf numFmtId="9" fontId="21" fillId="0" borderId="0" xfId="2" applyFont="1"/>
    <xf numFmtId="0" fontId="30" fillId="6" borderId="0" xfId="1" applyFont="1" applyFill="1" applyAlignment="1">
      <alignment horizontal="centerContinuous" vertical="center"/>
    </xf>
    <xf numFmtId="168" fontId="36" fillId="0" borderId="2" xfId="0" applyNumberFormat="1" applyFont="1" applyBorder="1"/>
    <xf numFmtId="165" fontId="32" fillId="0" borderId="0" xfId="0" applyNumberFormat="1" applyFont="1"/>
    <xf numFmtId="0" fontId="18" fillId="0" borderId="0" xfId="0" applyFont="1" applyAlignment="1">
      <alignment horizontal="left" indent="1"/>
    </xf>
    <xf numFmtId="0" fontId="60" fillId="0" borderId="0" xfId="4"/>
    <xf numFmtId="3" fontId="60" fillId="0" borderId="0" xfId="4" applyNumberFormat="1"/>
    <xf numFmtId="4" fontId="60" fillId="0" borderId="0" xfId="4" applyNumberFormat="1"/>
    <xf numFmtId="0" fontId="61" fillId="0" borderId="0" xfId="0" applyFont="1"/>
    <xf numFmtId="9" fontId="32" fillId="0" borderId="0" xfId="2" applyFont="1"/>
    <xf numFmtId="169" fontId="21" fillId="0" borderId="0" xfId="0" applyNumberFormat="1" applyFont="1"/>
    <xf numFmtId="168" fontId="32" fillId="0" borderId="0" xfId="1" quotePrefix="1" applyNumberFormat="1" applyFont="1" applyAlignment="1">
      <alignment horizontal="right"/>
    </xf>
    <xf numFmtId="0" fontId="30" fillId="3" borderId="0" xfId="1" applyFont="1" applyFill="1" applyAlignment="1">
      <alignment horizontal="centerContinuous"/>
    </xf>
    <xf numFmtId="0" fontId="17" fillId="0" borderId="0" xfId="0" applyFont="1"/>
    <xf numFmtId="165" fontId="46" fillId="0" borderId="0" xfId="0" applyNumberFormat="1" applyFont="1"/>
    <xf numFmtId="171" fontId="21" fillId="0" borderId="0" xfId="0" applyNumberFormat="1" applyFont="1"/>
    <xf numFmtId="4" fontId="53" fillId="0" borderId="0" xfId="3" applyNumberFormat="1" applyAlignment="1">
      <alignment vertical="top" wrapText="1"/>
    </xf>
    <xf numFmtId="0" fontId="16" fillId="0" borderId="0" xfId="0" applyFont="1"/>
    <xf numFmtId="0" fontId="16" fillId="0" borderId="3" xfId="0" applyFont="1" applyBorder="1"/>
    <xf numFmtId="0" fontId="34" fillId="9" borderId="0" xfId="0" applyFont="1" applyFill="1"/>
    <xf numFmtId="4" fontId="57" fillId="0" borderId="14" xfId="3" applyNumberFormat="1" applyFont="1" applyBorder="1"/>
    <xf numFmtId="0" fontId="15" fillId="0" borderId="0" xfId="0" applyFont="1"/>
    <xf numFmtId="165" fontId="16" fillId="0" borderId="0" xfId="0" applyNumberFormat="1" applyFont="1"/>
    <xf numFmtId="9" fontId="16" fillId="0" borderId="0" xfId="2" applyFont="1"/>
    <xf numFmtId="9" fontId="36" fillId="0" borderId="2" xfId="2" applyFont="1" applyBorder="1"/>
    <xf numFmtId="167" fontId="62" fillId="0" borderId="2" xfId="0" applyNumberFormat="1" applyFont="1" applyBorder="1"/>
    <xf numFmtId="167" fontId="32" fillId="0" borderId="0" xfId="0" applyNumberFormat="1" applyFont="1"/>
    <xf numFmtId="0" fontId="15" fillId="0" borderId="5" xfId="0" applyFont="1" applyBorder="1" applyAlignment="1">
      <alignment horizontal="center"/>
    </xf>
    <xf numFmtId="0" fontId="16" fillId="0" borderId="0" xfId="0" applyFont="1" applyAlignment="1">
      <alignment horizontal="left" indent="1"/>
    </xf>
    <xf numFmtId="0" fontId="15" fillId="0" borderId="0" xfId="0" applyFont="1" applyAlignment="1">
      <alignment horizontal="left" indent="1"/>
    </xf>
    <xf numFmtId="172" fontId="60" fillId="0" borderId="0" xfId="4" applyNumberFormat="1"/>
    <xf numFmtId="0" fontId="14" fillId="0" borderId="0" xfId="0" applyFont="1"/>
    <xf numFmtId="0" fontId="14" fillId="0" borderId="3" xfId="0" applyFont="1" applyBorder="1"/>
    <xf numFmtId="0" fontId="63" fillId="0" borderId="0" xfId="0" applyFont="1"/>
    <xf numFmtId="0" fontId="64" fillId="0" borderId="3" xfId="0" applyFont="1" applyBorder="1"/>
    <xf numFmtId="0" fontId="63" fillId="0" borderId="3" xfId="0" applyFont="1" applyBorder="1"/>
    <xf numFmtId="0" fontId="34" fillId="9" borderId="0" xfId="0" applyFont="1" applyFill="1" applyAlignment="1">
      <alignment horizontal="center" wrapText="1"/>
    </xf>
    <xf numFmtId="0" fontId="31" fillId="12" borderId="0" xfId="0" applyFont="1" applyFill="1" applyAlignment="1">
      <alignment horizontal="center"/>
    </xf>
    <xf numFmtId="0" fontId="64" fillId="0" borderId="0" xfId="0" applyFont="1"/>
    <xf numFmtId="0" fontId="65" fillId="0" borderId="0" xfId="0" applyFont="1"/>
    <xf numFmtId="165" fontId="64" fillId="0" borderId="0" xfId="0" applyNumberFormat="1" applyFont="1"/>
    <xf numFmtId="165" fontId="63" fillId="0" borderId="0" xfId="0" applyNumberFormat="1" applyFont="1"/>
    <xf numFmtId="165" fontId="65" fillId="0" borderId="0" xfId="0" applyNumberFormat="1" applyFont="1"/>
    <xf numFmtId="0" fontId="36" fillId="7" borderId="0" xfId="1" applyFont="1" applyFill="1"/>
    <xf numFmtId="17" fontId="30" fillId="0" borderId="0" xfId="1" applyNumberFormat="1" applyFont="1" applyAlignment="1">
      <alignment horizontal="center" vertical="center"/>
    </xf>
    <xf numFmtId="17" fontId="31" fillId="13" borderId="0" xfId="1" applyNumberFormat="1" applyFont="1" applyFill="1" applyAlignment="1">
      <alignment horizontal="center" vertical="center"/>
    </xf>
    <xf numFmtId="0" fontId="31" fillId="14" borderId="0" xfId="0" applyFont="1" applyFill="1" applyAlignment="1">
      <alignment horizontal="center"/>
    </xf>
    <xf numFmtId="165" fontId="14" fillId="0" borderId="0" xfId="0" applyNumberFormat="1" applyFont="1"/>
    <xf numFmtId="0" fontId="63" fillId="0" borderId="0" xfId="0" applyFont="1" applyAlignment="1">
      <alignment horizontal="left" indent="1"/>
    </xf>
    <xf numFmtId="17" fontId="30" fillId="6" borderId="0" xfId="1" applyNumberFormat="1" applyFont="1" applyFill="1" applyAlignment="1">
      <alignment horizontal="center"/>
    </xf>
    <xf numFmtId="0" fontId="34" fillId="0" borderId="0" xfId="0" applyFont="1" applyAlignment="1">
      <alignment horizontal="center" wrapText="1"/>
    </xf>
    <xf numFmtId="173" fontId="38" fillId="0" borderId="0" xfId="0" applyNumberFormat="1" applyFont="1"/>
    <xf numFmtId="165" fontId="67" fillId="0" borderId="0" xfId="0" applyNumberFormat="1" applyFont="1"/>
    <xf numFmtId="14" fontId="63" fillId="0" borderId="0" xfId="0" applyNumberFormat="1" applyFont="1"/>
    <xf numFmtId="165" fontId="68" fillId="0" borderId="0" xfId="0" applyNumberFormat="1" applyFont="1"/>
    <xf numFmtId="14" fontId="66" fillId="0" borderId="0" xfId="0" applyNumberFormat="1" applyFont="1"/>
    <xf numFmtId="14" fontId="69" fillId="0" borderId="0" xfId="0" applyNumberFormat="1" applyFont="1"/>
    <xf numFmtId="14" fontId="68" fillId="0" borderId="0" xfId="0" applyNumberFormat="1" applyFont="1"/>
    <xf numFmtId="0" fontId="37" fillId="9" borderId="15" xfId="0" applyFont="1" applyFill="1" applyBorder="1"/>
    <xf numFmtId="0" fontId="31" fillId="14" borderId="15" xfId="0" applyFont="1" applyFill="1" applyBorder="1" applyAlignment="1">
      <alignment horizontal="center"/>
    </xf>
    <xf numFmtId="0" fontId="37" fillId="9" borderId="15" xfId="0" applyFont="1" applyFill="1" applyBorder="1" applyAlignment="1">
      <alignment horizontal="centerContinuous"/>
    </xf>
    <xf numFmtId="0" fontId="37" fillId="9" borderId="16" xfId="0" applyFont="1" applyFill="1" applyBorder="1"/>
    <xf numFmtId="0" fontId="31" fillId="14" borderId="16" xfId="0" applyFont="1" applyFill="1" applyBorder="1" applyAlignment="1">
      <alignment horizontal="center"/>
    </xf>
    <xf numFmtId="0" fontId="31" fillId="14" borderId="15" xfId="0" applyFont="1" applyFill="1" applyBorder="1"/>
    <xf numFmtId="0" fontId="13" fillId="0" borderId="0" xfId="0" applyFont="1"/>
    <xf numFmtId="0" fontId="12" fillId="0" borderId="0" xfId="0" applyFont="1"/>
    <xf numFmtId="9" fontId="16" fillId="0" borderId="0" xfId="2" applyFont="1" applyFill="1" applyBorder="1"/>
    <xf numFmtId="167" fontId="16" fillId="0" borderId="0" xfId="0" applyNumberFormat="1" applyFont="1"/>
    <xf numFmtId="167" fontId="35" fillId="0" borderId="0" xfId="2" applyNumberFormat="1" applyFont="1" applyFill="1" applyBorder="1"/>
    <xf numFmtId="165" fontId="35" fillId="0" borderId="0" xfId="2" applyNumberFormat="1" applyFont="1" applyFill="1" applyBorder="1" applyAlignment="1"/>
    <xf numFmtId="0" fontId="11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174" fontId="60" fillId="0" borderId="0" xfId="4" applyNumberFormat="1"/>
    <xf numFmtId="0" fontId="11" fillId="0" borderId="0" xfId="0" applyFont="1"/>
    <xf numFmtId="0" fontId="36" fillId="0" borderId="0" xfId="0" applyFont="1"/>
    <xf numFmtId="0" fontId="11" fillId="0" borderId="3" xfId="0" applyFont="1" applyBorder="1"/>
    <xf numFmtId="167" fontId="60" fillId="0" borderId="0" xfId="4" applyNumberFormat="1"/>
    <xf numFmtId="0" fontId="38" fillId="0" borderId="0" xfId="0" applyFont="1"/>
    <xf numFmtId="0" fontId="11" fillId="7" borderId="0" xfId="1" applyFont="1" applyFill="1"/>
    <xf numFmtId="165" fontId="11" fillId="0" borderId="0" xfId="0" applyNumberFormat="1" applyFont="1"/>
    <xf numFmtId="165" fontId="36" fillId="0" borderId="2" xfId="0" applyNumberFormat="1" applyFont="1" applyBorder="1"/>
    <xf numFmtId="165" fontId="36" fillId="0" borderId="0" xfId="0" applyNumberFormat="1" applyFont="1"/>
    <xf numFmtId="165" fontId="42" fillId="0" borderId="0" xfId="0" applyNumberFormat="1" applyFont="1"/>
    <xf numFmtId="167" fontId="11" fillId="0" borderId="0" xfId="0" applyNumberFormat="1" applyFont="1"/>
    <xf numFmtId="0" fontId="11" fillId="0" borderId="0" xfId="4" applyFont="1"/>
    <xf numFmtId="174" fontId="11" fillId="0" borderId="0" xfId="4" applyNumberFormat="1" applyFont="1"/>
    <xf numFmtId="165" fontId="36" fillId="8" borderId="7" xfId="0" applyNumberFormat="1" applyFont="1" applyFill="1" applyBorder="1"/>
    <xf numFmtId="164" fontId="11" fillId="0" borderId="0" xfId="0" applyNumberFormat="1" applyFont="1"/>
    <xf numFmtId="164" fontId="36" fillId="8" borderId="8" xfId="0" applyNumberFormat="1" applyFont="1" applyFill="1" applyBorder="1"/>
    <xf numFmtId="165" fontId="70" fillId="0" borderId="0" xfId="0" applyNumberFormat="1" applyFont="1"/>
    <xf numFmtId="0" fontId="70" fillId="0" borderId="0" xfId="0" applyFont="1"/>
    <xf numFmtId="0" fontId="65" fillId="8" borderId="10" xfId="0" applyFont="1" applyFill="1" applyBorder="1"/>
    <xf numFmtId="165" fontId="70" fillId="8" borderId="2" xfId="0" applyNumberFormat="1" applyFont="1" applyFill="1" applyBorder="1"/>
    <xf numFmtId="168" fontId="71" fillId="8" borderId="2" xfId="2" applyNumberFormat="1" applyFont="1" applyFill="1" applyBorder="1"/>
    <xf numFmtId="0" fontId="65" fillId="8" borderId="12" xfId="0" applyFont="1" applyFill="1" applyBorder="1"/>
    <xf numFmtId="165" fontId="70" fillId="8" borderId="3" xfId="0" applyNumberFormat="1" applyFont="1" applyFill="1" applyBorder="1"/>
    <xf numFmtId="168" fontId="71" fillId="8" borderId="3" xfId="2" applyNumberFormat="1" applyFont="1" applyFill="1" applyBorder="1"/>
    <xf numFmtId="168" fontId="71" fillId="8" borderId="13" xfId="2" applyNumberFormat="1" applyFont="1" applyFill="1" applyBorder="1"/>
    <xf numFmtId="168" fontId="71" fillId="8" borderId="12" xfId="2" applyNumberFormat="1" applyFont="1" applyFill="1" applyBorder="1"/>
    <xf numFmtId="168" fontId="71" fillId="8" borderId="18" xfId="2" applyNumberFormat="1" applyFont="1" applyFill="1" applyBorder="1"/>
    <xf numFmtId="0" fontId="72" fillId="0" borderId="0" xfId="0" applyFont="1"/>
    <xf numFmtId="165" fontId="66" fillId="0" borderId="5" xfId="0" applyNumberFormat="1" applyFont="1" applyBorder="1" applyAlignment="1">
      <alignment horizontal="center"/>
    </xf>
    <xf numFmtId="14" fontId="38" fillId="0" borderId="0" xfId="0" applyNumberFormat="1" applyFont="1"/>
    <xf numFmtId="168" fontId="71" fillId="8" borderId="10" xfId="2" applyNumberFormat="1" applyFont="1" applyFill="1" applyBorder="1"/>
    <xf numFmtId="168" fontId="71" fillId="8" borderId="11" xfId="2" applyNumberFormat="1" applyFont="1" applyFill="1" applyBorder="1"/>
    <xf numFmtId="168" fontId="63" fillId="0" borderId="0" xfId="0" applyNumberFormat="1" applyFont="1"/>
    <xf numFmtId="168" fontId="71" fillId="8" borderId="17" xfId="2" applyNumberFormat="1" applyFont="1" applyFill="1" applyBorder="1"/>
    <xf numFmtId="14" fontId="32" fillId="13" borderId="0" xfId="1" applyNumberFormat="1" applyFont="1" applyFill="1" applyAlignment="1">
      <alignment horizontal="center" vertical="center"/>
    </xf>
    <xf numFmtId="173" fontId="38" fillId="8" borderId="5" xfId="0" applyNumberFormat="1" applyFont="1" applyFill="1" applyBorder="1"/>
    <xf numFmtId="0" fontId="35" fillId="8" borderId="5" xfId="0" applyFont="1" applyFill="1" applyBorder="1"/>
    <xf numFmtId="167" fontId="14" fillId="0" borderId="0" xfId="0" applyNumberFormat="1" applyFont="1"/>
    <xf numFmtId="0" fontId="37" fillId="9" borderId="0" xfId="0" applyFont="1" applyFill="1"/>
    <xf numFmtId="0" fontId="63" fillId="0" borderId="2" xfId="0" applyFont="1" applyBorder="1" applyAlignment="1">
      <alignment horizontal="left" indent="1"/>
    </xf>
    <xf numFmtId="165" fontId="68" fillId="0" borderId="2" xfId="0" applyNumberFormat="1" applyFont="1" applyBorder="1"/>
    <xf numFmtId="0" fontId="63" fillId="0" borderId="2" xfId="0" applyFont="1" applyBorder="1"/>
    <xf numFmtId="165" fontId="67" fillId="0" borderId="2" xfId="0" applyNumberFormat="1" applyFont="1" applyBorder="1"/>
    <xf numFmtId="0" fontId="65" fillId="8" borderId="6" xfId="0" applyFont="1" applyFill="1" applyBorder="1"/>
    <xf numFmtId="165" fontId="70" fillId="8" borderId="7" xfId="0" applyNumberFormat="1" applyFont="1" applyFill="1" applyBorder="1"/>
    <xf numFmtId="165" fontId="70" fillId="8" borderId="8" xfId="0" applyNumberFormat="1" applyFont="1" applyFill="1" applyBorder="1"/>
    <xf numFmtId="165" fontId="70" fillId="8" borderId="6" xfId="0" applyNumberFormat="1" applyFont="1" applyFill="1" applyBorder="1"/>
    <xf numFmtId="0" fontId="70" fillId="8" borderId="8" xfId="0" applyFont="1" applyFill="1" applyBorder="1"/>
    <xf numFmtId="165" fontId="70" fillId="8" borderId="5" xfId="0" applyNumberFormat="1" applyFont="1" applyFill="1" applyBorder="1"/>
    <xf numFmtId="0" fontId="63" fillId="0" borderId="0" xfId="0" applyFont="1" applyAlignment="1">
      <alignment horizontal="left" indent="2"/>
    </xf>
    <xf numFmtId="0" fontId="10" fillId="0" borderId="0" xfId="0" applyFont="1"/>
    <xf numFmtId="17" fontId="30" fillId="6" borderId="0" xfId="1" applyNumberFormat="1" applyFont="1" applyFill="1" applyAlignment="1">
      <alignment horizontal="left"/>
    </xf>
    <xf numFmtId="0" fontId="10" fillId="0" borderId="3" xfId="0" applyFont="1" applyBorder="1"/>
    <xf numFmtId="175" fontId="21" fillId="0" borderId="0" xfId="0" applyNumberFormat="1" applyFont="1"/>
    <xf numFmtId="167" fontId="63" fillId="0" borderId="0" xfId="0" applyNumberFormat="1" applyFont="1"/>
    <xf numFmtId="167" fontId="70" fillId="8" borderId="7" xfId="0" applyNumberFormat="1" applyFont="1" applyFill="1" applyBorder="1"/>
    <xf numFmtId="167" fontId="70" fillId="8" borderId="8" xfId="0" applyNumberFormat="1" applyFont="1" applyFill="1" applyBorder="1"/>
    <xf numFmtId="167" fontId="70" fillId="8" borderId="5" xfId="0" applyNumberFormat="1" applyFont="1" applyFill="1" applyBorder="1"/>
    <xf numFmtId="167" fontId="70" fillId="8" borderId="6" xfId="0" applyNumberFormat="1" applyFont="1" applyFill="1" applyBorder="1"/>
    <xf numFmtId="174" fontId="0" fillId="0" borderId="0" xfId="0" applyNumberFormat="1"/>
    <xf numFmtId="0" fontId="9" fillId="0" borderId="0" xfId="4" applyFont="1"/>
    <xf numFmtId="0" fontId="38" fillId="0" borderId="0" xfId="4" applyFont="1"/>
    <xf numFmtId="0" fontId="46" fillId="0" borderId="0" xfId="4" applyFont="1"/>
    <xf numFmtId="0" fontId="35" fillId="0" borderId="0" xfId="4" applyFont="1"/>
    <xf numFmtId="0" fontId="9" fillId="0" borderId="0" xfId="0" applyFont="1"/>
    <xf numFmtId="0" fontId="9" fillId="0" borderId="0" xfId="0" applyFont="1" applyAlignment="1">
      <alignment horizontal="left" indent="1"/>
    </xf>
    <xf numFmtId="0" fontId="35" fillId="0" borderId="0" xfId="0" applyFont="1" applyAlignment="1">
      <alignment horizontal="left" indent="1"/>
    </xf>
    <xf numFmtId="0" fontId="36" fillId="0" borderId="2" xfId="0" applyFont="1" applyBorder="1" applyAlignment="1">
      <alignment horizontal="left" indent="1"/>
    </xf>
    <xf numFmtId="167" fontId="38" fillId="0" borderId="0" xfId="4" applyNumberFormat="1" applyFont="1"/>
    <xf numFmtId="0" fontId="11" fillId="0" borderId="0" xfId="1" applyFont="1"/>
    <xf numFmtId="0" fontId="34" fillId="9" borderId="0" xfId="4" applyFont="1" applyFill="1"/>
    <xf numFmtId="164" fontId="36" fillId="0" borderId="0" xfId="0" applyNumberFormat="1" applyFont="1"/>
    <xf numFmtId="0" fontId="38" fillId="0" borderId="0" xfId="0" quotePrefix="1" applyFont="1" applyAlignment="1">
      <alignment horizontal="right"/>
    </xf>
    <xf numFmtId="164" fontId="38" fillId="0" borderId="0" xfId="0" applyNumberFormat="1" applyFont="1"/>
    <xf numFmtId="165" fontId="36" fillId="8" borderId="2" xfId="0" applyNumberFormat="1" applyFont="1" applyFill="1" applyBorder="1"/>
    <xf numFmtId="168" fontId="50" fillId="8" borderId="12" xfId="0" applyNumberFormat="1" applyFont="1" applyFill="1" applyBorder="1"/>
    <xf numFmtId="168" fontId="50" fillId="8" borderId="13" xfId="0" applyNumberFormat="1" applyFont="1" applyFill="1" applyBorder="1"/>
    <xf numFmtId="164" fontId="36" fillId="8" borderId="11" xfId="0" applyNumberFormat="1" applyFont="1" applyFill="1" applyBorder="1"/>
    <xf numFmtId="165" fontId="73" fillId="8" borderId="3" xfId="0" applyNumberFormat="1" applyFont="1" applyFill="1" applyBorder="1"/>
    <xf numFmtId="167" fontId="73" fillId="8" borderId="13" xfId="0" applyNumberFormat="1" applyFont="1" applyFill="1" applyBorder="1"/>
    <xf numFmtId="167" fontId="73" fillId="8" borderId="12" xfId="0" applyNumberFormat="1" applyFont="1" applyFill="1" applyBorder="1"/>
    <xf numFmtId="164" fontId="73" fillId="8" borderId="13" xfId="0" applyNumberFormat="1" applyFont="1" applyFill="1" applyBorder="1"/>
    <xf numFmtId="0" fontId="8" fillId="0" borderId="0" xfId="0" applyFont="1"/>
    <xf numFmtId="164" fontId="73" fillId="0" borderId="0" xfId="0" applyNumberFormat="1" applyFont="1"/>
    <xf numFmtId="0" fontId="8" fillId="0" borderId="0" xfId="0" applyFont="1" applyAlignment="1">
      <alignment horizontal="left" indent="1"/>
    </xf>
    <xf numFmtId="0" fontId="30" fillId="0" borderId="0" xfId="0" applyFont="1"/>
    <xf numFmtId="168" fontId="50" fillId="8" borderId="3" xfId="0" applyNumberFormat="1" applyFont="1" applyFill="1" applyBorder="1"/>
    <xf numFmtId="9" fontId="0" fillId="0" borderId="0" xfId="5" applyFont="1"/>
    <xf numFmtId="0" fontId="74" fillId="0" borderId="0" xfId="4" applyFont="1"/>
    <xf numFmtId="0" fontId="7" fillId="0" borderId="0" xfId="0" applyFont="1"/>
    <xf numFmtId="0" fontId="7" fillId="0" borderId="3" xfId="0" applyFont="1" applyBorder="1"/>
    <xf numFmtId="0" fontId="34" fillId="9" borderId="0" xfId="4" applyFont="1" applyFill="1" applyAlignment="1">
      <alignment horizontal="center"/>
    </xf>
    <xf numFmtId="176" fontId="38" fillId="0" borderId="0" xfId="0" applyNumberFormat="1" applyFont="1"/>
    <xf numFmtId="176" fontId="7" fillId="0" borderId="0" xfId="0" applyNumberFormat="1" applyFont="1"/>
    <xf numFmtId="0" fontId="75" fillId="8" borderId="8" xfId="0" applyFont="1" applyFill="1" applyBorder="1"/>
    <xf numFmtId="0" fontId="36" fillId="0" borderId="0" xfId="1" applyFont="1"/>
    <xf numFmtId="0" fontId="6" fillId="0" borderId="0" xfId="1" applyFont="1"/>
    <xf numFmtId="165" fontId="71" fillId="8" borderId="3" xfId="0" applyNumberFormat="1" applyFont="1" applyFill="1" applyBorder="1"/>
    <xf numFmtId="165" fontId="71" fillId="8" borderId="13" xfId="0" applyNumberFormat="1" applyFont="1" applyFill="1" applyBorder="1"/>
    <xf numFmtId="165" fontId="71" fillId="8" borderId="18" xfId="0" applyNumberFormat="1" applyFont="1" applyFill="1" applyBorder="1"/>
    <xf numFmtId="165" fontId="71" fillId="8" borderId="12" xfId="0" applyNumberFormat="1" applyFont="1" applyFill="1" applyBorder="1"/>
    <xf numFmtId="0" fontId="75" fillId="0" borderId="0" xfId="0" applyFont="1"/>
    <xf numFmtId="165" fontId="71" fillId="8" borderId="2" xfId="0" applyNumberFormat="1" applyFont="1" applyFill="1" applyBorder="1"/>
    <xf numFmtId="165" fontId="71" fillId="8" borderId="11" xfId="0" applyNumberFormat="1" applyFont="1" applyFill="1" applyBorder="1"/>
    <xf numFmtId="165" fontId="71" fillId="8" borderId="17" xfId="0" applyNumberFormat="1" applyFont="1" applyFill="1" applyBorder="1"/>
    <xf numFmtId="165" fontId="71" fillId="8" borderId="10" xfId="0" applyNumberFormat="1" applyFont="1" applyFill="1" applyBorder="1"/>
    <xf numFmtId="0" fontId="73" fillId="7" borderId="0" xfId="1" applyFont="1" applyFill="1"/>
    <xf numFmtId="165" fontId="71" fillId="8" borderId="7" xfId="0" applyNumberFormat="1" applyFont="1" applyFill="1" applyBorder="1"/>
    <xf numFmtId="165" fontId="71" fillId="8" borderId="8" xfId="0" applyNumberFormat="1" applyFont="1" applyFill="1" applyBorder="1"/>
    <xf numFmtId="165" fontId="71" fillId="8" borderId="5" xfId="0" applyNumberFormat="1" applyFont="1" applyFill="1" applyBorder="1"/>
    <xf numFmtId="165" fontId="71" fillId="8" borderId="6" xfId="0" applyNumberFormat="1" applyFont="1" applyFill="1" applyBorder="1"/>
    <xf numFmtId="176" fontId="39" fillId="0" borderId="0" xfId="0" applyNumberFormat="1" applyFont="1"/>
    <xf numFmtId="0" fontId="5" fillId="0" borderId="0" xfId="0" applyFont="1"/>
    <xf numFmtId="0" fontId="5" fillId="0" borderId="3" xfId="0" applyFont="1" applyBorder="1"/>
    <xf numFmtId="0" fontId="5" fillId="0" borderId="2" xfId="0" applyFont="1" applyBorder="1"/>
    <xf numFmtId="168" fontId="5" fillId="0" borderId="0" xfId="0" applyNumberFormat="1" applyFont="1"/>
    <xf numFmtId="168" fontId="5" fillId="0" borderId="2" xfId="0" applyNumberFormat="1" applyFont="1" applyBorder="1"/>
    <xf numFmtId="0" fontId="5" fillId="15" borderId="0" xfId="0" applyFont="1" applyFill="1"/>
    <xf numFmtId="176" fontId="38" fillId="15" borderId="0" xfId="0" applyNumberFormat="1" applyFont="1" applyFill="1"/>
    <xf numFmtId="0" fontId="5" fillId="16" borderId="0" xfId="0" applyFont="1" applyFill="1"/>
    <xf numFmtId="176" fontId="38" fillId="16" borderId="0" xfId="0" applyNumberFormat="1" applyFont="1" applyFill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167" fontId="47" fillId="0" borderId="9" xfId="0" applyNumberFormat="1" applyFont="1" applyBorder="1"/>
    <xf numFmtId="9" fontId="63" fillId="0" borderId="0" xfId="2" applyFont="1"/>
    <xf numFmtId="167" fontId="70" fillId="8" borderId="2" xfId="0" applyNumberFormat="1" applyFont="1" applyFill="1" applyBorder="1"/>
    <xf numFmtId="167" fontId="70" fillId="8" borderId="11" xfId="0" applyNumberFormat="1" applyFont="1" applyFill="1" applyBorder="1"/>
    <xf numFmtId="177" fontId="70" fillId="8" borderId="3" xfId="0" applyNumberFormat="1" applyFont="1" applyFill="1" applyBorder="1"/>
    <xf numFmtId="177" fontId="70" fillId="8" borderId="13" xfId="0" applyNumberFormat="1" applyFont="1" applyFill="1" applyBorder="1"/>
    <xf numFmtId="167" fontId="70" fillId="8" borderId="17" xfId="0" applyNumberFormat="1" applyFont="1" applyFill="1" applyBorder="1"/>
    <xf numFmtId="177" fontId="70" fillId="8" borderId="18" xfId="0" applyNumberFormat="1" applyFont="1" applyFill="1" applyBorder="1"/>
    <xf numFmtId="167" fontId="70" fillId="8" borderId="10" xfId="0" applyNumberFormat="1" applyFont="1" applyFill="1" applyBorder="1"/>
    <xf numFmtId="177" fontId="70" fillId="8" borderId="12" xfId="0" applyNumberFormat="1" applyFont="1" applyFill="1" applyBorder="1"/>
    <xf numFmtId="0" fontId="0" fillId="0" borderId="2" xfId="0" applyBorder="1"/>
    <xf numFmtId="0" fontId="76" fillId="0" borderId="0" xfId="0" applyFont="1"/>
    <xf numFmtId="0" fontId="3" fillId="14" borderId="0" xfId="0" applyFont="1" applyFill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167" fontId="3" fillId="0" borderId="0" xfId="0" applyNumberFormat="1" applyFont="1"/>
    <xf numFmtId="173" fontId="42" fillId="0" borderId="0" xfId="0" applyNumberFormat="1" applyFont="1"/>
    <xf numFmtId="0" fontId="36" fillId="8" borderId="6" xfId="0" applyFont="1" applyFill="1" applyBorder="1" applyAlignment="1">
      <alignment horizontal="left"/>
    </xf>
    <xf numFmtId="165" fontId="36" fillId="8" borderId="6" xfId="0" applyNumberFormat="1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0" fontId="3" fillId="8" borderId="7" xfId="0" applyFont="1" applyFill="1" applyBorder="1"/>
    <xf numFmtId="0" fontId="36" fillId="8" borderId="7" xfId="0" applyFont="1" applyFill="1" applyBorder="1"/>
    <xf numFmtId="0" fontId="30" fillId="9" borderId="0" xfId="0" applyFont="1" applyFill="1" applyAlignment="1">
      <alignment horizontal="centerContinuous"/>
    </xf>
    <xf numFmtId="0" fontId="36" fillId="14" borderId="0" xfId="0" applyFont="1" applyFill="1" applyAlignment="1">
      <alignment horizontal="center"/>
    </xf>
    <xf numFmtId="0" fontId="36" fillId="14" borderId="19" xfId="0" applyFont="1" applyFill="1" applyBorder="1" applyAlignment="1">
      <alignment horizontal="center"/>
    </xf>
    <xf numFmtId="0" fontId="77" fillId="14" borderId="0" xfId="0" applyFont="1" applyFill="1" applyAlignment="1">
      <alignment horizontal="center"/>
    </xf>
    <xf numFmtId="172" fontId="3" fillId="0" borderId="0" xfId="0" applyNumberFormat="1" applyFont="1"/>
    <xf numFmtId="165" fontId="3" fillId="0" borderId="0" xfId="0" applyNumberFormat="1" applyFont="1"/>
    <xf numFmtId="173" fontId="3" fillId="0" borderId="0" xfId="0" applyNumberFormat="1" applyFont="1"/>
    <xf numFmtId="175" fontId="3" fillId="0" borderId="0" xfId="0" applyNumberFormat="1" applyFont="1"/>
    <xf numFmtId="165" fontId="78" fillId="0" borderId="0" xfId="0" applyNumberFormat="1" applyFont="1"/>
    <xf numFmtId="172" fontId="36" fillId="8" borderId="7" xfId="0" applyNumberFormat="1" applyFont="1" applyFill="1" applyBorder="1"/>
    <xf numFmtId="175" fontId="36" fillId="8" borderId="8" xfId="0" applyNumberFormat="1" applyFont="1" applyFill="1" applyBorder="1"/>
    <xf numFmtId="0" fontId="30" fillId="9" borderId="0" xfId="0" applyFont="1" applyFill="1"/>
    <xf numFmtId="0" fontId="30" fillId="9" borderId="0" xfId="0" applyFont="1" applyFill="1" applyAlignment="1">
      <alignment horizontal="center"/>
    </xf>
    <xf numFmtId="0" fontId="30" fillId="9" borderId="0" xfId="0" applyFont="1" applyFill="1" applyAlignment="1">
      <alignment horizontal="left"/>
    </xf>
    <xf numFmtId="17" fontId="30" fillId="9" borderId="0" xfId="0" applyNumberFormat="1" applyFont="1" applyFill="1" applyAlignment="1">
      <alignment horizontal="center"/>
    </xf>
    <xf numFmtId="0" fontId="36" fillId="14" borderId="0" xfId="0" applyFont="1" applyFill="1"/>
    <xf numFmtId="177" fontId="3" fillId="0" borderId="0" xfId="0" applyNumberFormat="1" applyFont="1"/>
    <xf numFmtId="164" fontId="3" fillId="0" borderId="0" xfId="0" applyNumberFormat="1" applyFont="1"/>
    <xf numFmtId="178" fontId="3" fillId="0" borderId="0" xfId="0" applyNumberFormat="1" applyFont="1"/>
    <xf numFmtId="177" fontId="36" fillId="8" borderId="7" xfId="0" applyNumberFormat="1" applyFont="1" applyFill="1" applyBorder="1"/>
    <xf numFmtId="178" fontId="36" fillId="8" borderId="7" xfId="0" applyNumberFormat="1" applyFont="1" applyFill="1" applyBorder="1"/>
    <xf numFmtId="177" fontId="36" fillId="0" borderId="7" xfId="0" applyNumberFormat="1" applyFont="1" applyBorder="1"/>
    <xf numFmtId="178" fontId="36" fillId="0" borderId="7" xfId="0" applyNumberFormat="1" applyFont="1" applyBorder="1"/>
    <xf numFmtId="0" fontId="30" fillId="0" borderId="0" xfId="0" applyFont="1" applyAlignment="1">
      <alignment horizontal="center"/>
    </xf>
    <xf numFmtId="177" fontId="36" fillId="8" borderId="8" xfId="0" applyNumberFormat="1" applyFont="1" applyFill="1" applyBorder="1"/>
    <xf numFmtId="178" fontId="36" fillId="8" borderId="8" xfId="0" applyNumberFormat="1" applyFont="1" applyFill="1" applyBorder="1"/>
    <xf numFmtId="164" fontId="39" fillId="0" borderId="0" xfId="0" applyNumberFormat="1" applyFont="1"/>
    <xf numFmtId="177" fontId="32" fillId="0" borderId="0" xfId="0" applyNumberFormat="1" applyFont="1"/>
    <xf numFmtId="9" fontId="38" fillId="0" borderId="0" xfId="0" applyNumberFormat="1" applyFont="1"/>
    <xf numFmtId="169" fontId="40" fillId="0" borderId="0" xfId="0" applyNumberFormat="1" applyFont="1"/>
    <xf numFmtId="179" fontId="63" fillId="0" borderId="0" xfId="0" applyNumberFormat="1" applyFont="1"/>
    <xf numFmtId="179" fontId="3" fillId="0" borderId="0" xfId="0" applyNumberFormat="1" applyFont="1"/>
    <xf numFmtId="179" fontId="36" fillId="8" borderId="8" xfId="0" applyNumberFormat="1" applyFont="1" applyFill="1" applyBorder="1"/>
    <xf numFmtId="180" fontId="3" fillId="0" borderId="0" xfId="0" applyNumberFormat="1" applyFont="1"/>
    <xf numFmtId="179" fontId="3" fillId="14" borderId="0" xfId="0" applyNumberFormat="1" applyFont="1" applyFill="1"/>
    <xf numFmtId="0" fontId="36" fillId="0" borderId="0" xfId="0" applyFont="1" applyAlignment="1">
      <alignment horizontal="center"/>
    </xf>
    <xf numFmtId="165" fontId="36" fillId="8" borderId="6" xfId="0" applyNumberFormat="1" applyFont="1" applyFill="1" applyBorder="1"/>
    <xf numFmtId="181" fontId="38" fillId="0" borderId="0" xfId="0" applyNumberFormat="1" applyFont="1"/>
    <xf numFmtId="167" fontId="36" fillId="17" borderId="5" xfId="0" applyNumberFormat="1" applyFont="1" applyFill="1" applyBorder="1"/>
    <xf numFmtId="164" fontId="36" fillId="14" borderId="2" xfId="0" applyNumberFormat="1" applyFont="1" applyFill="1" applyBorder="1" applyAlignment="1">
      <alignment horizontal="center"/>
    </xf>
    <xf numFmtId="167" fontId="3" fillId="0" borderId="3" xfId="0" applyNumberFormat="1" applyFont="1" applyBorder="1"/>
    <xf numFmtId="0" fontId="36" fillId="14" borderId="10" xfId="0" applyFont="1" applyFill="1" applyBorder="1" applyAlignment="1">
      <alignment horizontal="left"/>
    </xf>
    <xf numFmtId="181" fontId="3" fillId="0" borderId="19" xfId="0" applyNumberFormat="1" applyFont="1" applyBorder="1"/>
    <xf numFmtId="181" fontId="3" fillId="0" borderId="12" xfId="0" applyNumberFormat="1" applyFont="1" applyBorder="1"/>
    <xf numFmtId="164" fontId="36" fillId="14" borderId="11" xfId="0" applyNumberFormat="1" applyFont="1" applyFill="1" applyBorder="1" applyAlignment="1">
      <alignment horizontal="center"/>
    </xf>
    <xf numFmtId="167" fontId="3" fillId="0" borderId="15" xfId="0" applyNumberFormat="1" applyFont="1" applyBorder="1"/>
    <xf numFmtId="167" fontId="3" fillId="0" borderId="13" xfId="0" applyNumberFormat="1" applyFont="1" applyBorder="1"/>
    <xf numFmtId="177" fontId="3" fillId="0" borderId="19" xfId="0" applyNumberFormat="1" applyFont="1" applyBorder="1"/>
    <xf numFmtId="177" fontId="3" fillId="0" borderId="12" xfId="0" applyNumberFormat="1" applyFont="1" applyBorder="1"/>
    <xf numFmtId="164" fontId="42" fillId="0" borderId="0" xfId="0" applyNumberFormat="1" applyFont="1"/>
    <xf numFmtId="180" fontId="0" fillId="0" borderId="0" xfId="0" applyNumberFormat="1"/>
    <xf numFmtId="165" fontId="70" fillId="8" borderId="10" xfId="0" applyNumberFormat="1" applyFont="1" applyFill="1" applyBorder="1"/>
    <xf numFmtId="0" fontId="75" fillId="8" borderId="11" xfId="0" applyFont="1" applyFill="1" applyBorder="1"/>
    <xf numFmtId="165" fontId="70" fillId="0" borderId="12" xfId="0" applyNumberFormat="1" applyFont="1" applyBorder="1"/>
    <xf numFmtId="165" fontId="70" fillId="0" borderId="3" xfId="0" applyNumberFormat="1" applyFont="1" applyBorder="1"/>
    <xf numFmtId="0" fontId="75" fillId="0" borderId="13" xfId="0" applyFont="1" applyBorder="1"/>
    <xf numFmtId="0" fontId="79" fillId="0" borderId="0" xfId="0" applyFont="1"/>
    <xf numFmtId="0" fontId="82" fillId="14" borderId="0" xfId="0" applyFont="1" applyFill="1"/>
    <xf numFmtId="0" fontId="83" fillId="0" borderId="0" xfId="0" applyFont="1"/>
    <xf numFmtId="0" fontId="82" fillId="14" borderId="0" xfId="0" applyFont="1" applyFill="1" applyAlignment="1">
      <alignment horizontal="center"/>
    </xf>
    <xf numFmtId="0" fontId="85" fillId="0" borderId="0" xfId="0" applyFont="1" applyAlignment="1">
      <alignment horizontal="center"/>
    </xf>
    <xf numFmtId="17" fontId="81" fillId="0" borderId="0" xfId="0" applyNumberFormat="1" applyFont="1" applyAlignment="1">
      <alignment horizontal="center"/>
    </xf>
    <xf numFmtId="167" fontId="85" fillId="0" borderId="0" xfId="0" applyNumberFormat="1" applyFont="1" applyAlignment="1">
      <alignment horizontal="center"/>
    </xf>
    <xf numFmtId="0" fontId="86" fillId="0" borderId="0" xfId="0" applyFont="1"/>
    <xf numFmtId="0" fontId="87" fillId="0" borderId="0" xfId="0" applyFont="1"/>
    <xf numFmtId="165" fontId="87" fillId="0" borderId="0" xfId="0" applyNumberFormat="1" applyFont="1"/>
    <xf numFmtId="167" fontId="87" fillId="0" borderId="0" xfId="0" applyNumberFormat="1" applyFont="1"/>
    <xf numFmtId="165" fontId="88" fillId="0" borderId="0" xfId="0" applyNumberFormat="1" applyFont="1"/>
    <xf numFmtId="0" fontId="89" fillId="0" borderId="0" xfId="0" applyFont="1"/>
    <xf numFmtId="165" fontId="89" fillId="0" borderId="0" xfId="0" applyNumberFormat="1" applyFont="1"/>
    <xf numFmtId="167" fontId="90" fillId="0" borderId="0" xfId="0" applyNumberFormat="1" applyFont="1"/>
    <xf numFmtId="165" fontId="81" fillId="0" borderId="0" xfId="0" applyNumberFormat="1" applyFont="1"/>
    <xf numFmtId="167" fontId="81" fillId="0" borderId="0" xfId="0" applyNumberFormat="1" applyFont="1"/>
    <xf numFmtId="164" fontId="90" fillId="0" borderId="0" xfId="0" applyNumberFormat="1" applyFont="1"/>
    <xf numFmtId="165" fontId="90" fillId="0" borderId="0" xfId="0" applyNumberFormat="1" applyFont="1"/>
    <xf numFmtId="164" fontId="81" fillId="0" borderId="0" xfId="0" applyNumberFormat="1" applyFont="1"/>
    <xf numFmtId="165" fontId="85" fillId="0" borderId="0" xfId="0" applyNumberFormat="1" applyFont="1"/>
    <xf numFmtId="0" fontId="91" fillId="0" borderId="0" xfId="0" applyFont="1"/>
    <xf numFmtId="0" fontId="83" fillId="14" borderId="0" xfId="0" applyFont="1" applyFill="1"/>
    <xf numFmtId="0" fontId="84" fillId="8" borderId="21" xfId="0" applyFont="1" applyFill="1" applyBorder="1"/>
    <xf numFmtId="168" fontId="81" fillId="0" borderId="0" xfId="0" applyNumberFormat="1" applyFont="1"/>
    <xf numFmtId="165" fontId="82" fillId="8" borderId="20" xfId="0" applyNumberFormat="1" applyFont="1" applyFill="1" applyBorder="1"/>
    <xf numFmtId="167" fontId="82" fillId="8" borderId="20" xfId="0" applyNumberFormat="1" applyFont="1" applyFill="1" applyBorder="1"/>
    <xf numFmtId="164" fontId="82" fillId="8" borderId="20" xfId="0" applyNumberFormat="1" applyFont="1" applyFill="1" applyBorder="1"/>
    <xf numFmtId="168" fontId="82" fillId="8" borderId="23" xfId="0" applyNumberFormat="1" applyFont="1" applyFill="1" applyBorder="1"/>
    <xf numFmtId="168" fontId="82" fillId="8" borderId="20" xfId="0" applyNumberFormat="1" applyFont="1" applyFill="1" applyBorder="1"/>
    <xf numFmtId="167" fontId="82" fillId="8" borderId="23" xfId="0" applyNumberFormat="1" applyFont="1" applyFill="1" applyBorder="1"/>
    <xf numFmtId="0" fontId="85" fillId="0" borderId="22" xfId="0" applyFont="1" applyBorder="1" applyAlignment="1">
      <alignment horizontal="center"/>
    </xf>
    <xf numFmtId="0" fontId="80" fillId="9" borderId="0" xfId="0" applyFont="1" applyFill="1" applyAlignment="1">
      <alignment wrapText="1"/>
    </xf>
    <xf numFmtId="0" fontId="80" fillId="9" borderId="0" xfId="0" applyFont="1" applyFill="1" applyAlignment="1">
      <alignment horizontal="center" wrapText="1"/>
    </xf>
    <xf numFmtId="0" fontId="92" fillId="0" borderId="0" xfId="0" applyFont="1"/>
    <xf numFmtId="0" fontId="83" fillId="0" borderId="2" xfId="0" applyFont="1" applyBorder="1"/>
    <xf numFmtId="1" fontId="85" fillId="0" borderId="0" xfId="0" applyNumberFormat="1" applyFont="1" applyAlignment="1">
      <alignment horizontal="center"/>
    </xf>
    <xf numFmtId="0" fontId="81" fillId="0" borderId="0" xfId="0" applyFont="1"/>
    <xf numFmtId="0" fontId="82" fillId="0" borderId="0" xfId="0" applyFont="1"/>
    <xf numFmtId="0" fontId="80" fillId="9" borderId="0" xfId="0" applyFont="1" applyFill="1"/>
    <xf numFmtId="0" fontId="80" fillId="9" borderId="0" xfId="0" applyFont="1" applyFill="1" applyAlignment="1">
      <alignment horizontal="center"/>
    </xf>
    <xf numFmtId="165" fontId="85" fillId="0" borderId="0" xfId="0" applyNumberFormat="1" applyFont="1" applyAlignment="1">
      <alignment horizontal="center"/>
    </xf>
    <xf numFmtId="165" fontId="81" fillId="0" borderId="0" xfId="0" applyNumberFormat="1" applyFont="1" applyAlignment="1">
      <alignment horizontal="center"/>
    </xf>
    <xf numFmtId="14" fontId="83" fillId="0" borderId="0" xfId="0" applyNumberFormat="1" applyFont="1"/>
    <xf numFmtId="0" fontId="87" fillId="0" borderId="3" xfId="0" applyFont="1" applyBorder="1"/>
    <xf numFmtId="0" fontId="83" fillId="0" borderId="3" xfId="0" applyFont="1" applyBorder="1"/>
    <xf numFmtId="165" fontId="85" fillId="0" borderId="5" xfId="0" applyNumberFormat="1" applyFont="1" applyBorder="1" applyAlignment="1">
      <alignment horizontal="center"/>
    </xf>
    <xf numFmtId="0" fontId="93" fillId="9" borderId="0" xfId="0" applyFont="1" applyFill="1"/>
    <xf numFmtId="0" fontId="93" fillId="9" borderId="0" xfId="0" applyFont="1" applyFill="1" applyAlignment="1">
      <alignment horizontal="center" wrapText="1"/>
    </xf>
    <xf numFmtId="0" fontId="93" fillId="0" borderId="0" xfId="0" applyFont="1" applyAlignment="1">
      <alignment horizontal="center" wrapText="1"/>
    </xf>
    <xf numFmtId="17" fontId="80" fillId="6" borderId="0" xfId="1" applyNumberFormat="1" applyFont="1" applyFill="1" applyAlignment="1">
      <alignment horizontal="center"/>
    </xf>
    <xf numFmtId="17" fontId="80" fillId="0" borderId="0" xfId="1" applyNumberFormat="1" applyFont="1" applyAlignment="1">
      <alignment horizontal="center" vertical="center"/>
    </xf>
    <xf numFmtId="0" fontId="84" fillId="7" borderId="0" xfId="1" applyFont="1" applyFill="1"/>
    <xf numFmtId="0" fontId="83" fillId="7" borderId="0" xfId="1" applyFont="1" applyFill="1"/>
    <xf numFmtId="0" fontId="83" fillId="0" borderId="0" xfId="1" applyFont="1"/>
    <xf numFmtId="165" fontId="83" fillId="0" borderId="0" xfId="0" applyNumberFormat="1" applyFont="1"/>
    <xf numFmtId="0" fontId="83" fillId="0" borderId="0" xfId="0" applyFont="1" applyAlignment="1">
      <alignment horizontal="left" indent="1"/>
    </xf>
    <xf numFmtId="165" fontId="94" fillId="0" borderId="0" xfId="0" applyNumberFormat="1" applyFont="1"/>
    <xf numFmtId="9" fontId="83" fillId="0" borderId="0" xfId="2" applyFont="1"/>
    <xf numFmtId="0" fontId="84" fillId="8" borderId="6" xfId="0" applyFont="1" applyFill="1" applyBorder="1"/>
    <xf numFmtId="165" fontId="95" fillId="8" borderId="7" xfId="0" applyNumberFormat="1" applyFont="1" applyFill="1" applyBorder="1"/>
    <xf numFmtId="165" fontId="95" fillId="8" borderId="8" xfId="0" applyNumberFormat="1" applyFont="1" applyFill="1" applyBorder="1"/>
    <xf numFmtId="165" fontId="95" fillId="8" borderId="5" xfId="0" applyNumberFormat="1" applyFont="1" applyFill="1" applyBorder="1"/>
    <xf numFmtId="165" fontId="95" fillId="8" borderId="6" xfId="0" applyNumberFormat="1" applyFont="1" applyFill="1" applyBorder="1"/>
    <xf numFmtId="0" fontId="96" fillId="8" borderId="8" xfId="0" applyFont="1" applyFill="1" applyBorder="1"/>
    <xf numFmtId="0" fontId="84" fillId="0" borderId="0" xfId="0" applyFont="1"/>
    <xf numFmtId="165" fontId="95" fillId="0" borderId="0" xfId="0" applyNumberFormat="1" applyFont="1"/>
    <xf numFmtId="0" fontId="95" fillId="0" borderId="0" xfId="0" applyFont="1"/>
    <xf numFmtId="165" fontId="97" fillId="8" borderId="7" xfId="0" applyNumberFormat="1" applyFont="1" applyFill="1" applyBorder="1"/>
    <xf numFmtId="165" fontId="97" fillId="8" borderId="8" xfId="0" applyNumberFormat="1" applyFont="1" applyFill="1" applyBorder="1"/>
    <xf numFmtId="165" fontId="97" fillId="8" borderId="5" xfId="0" applyNumberFormat="1" applyFont="1" applyFill="1" applyBorder="1"/>
    <xf numFmtId="165" fontId="97" fillId="8" borderId="6" xfId="0" applyNumberFormat="1" applyFont="1" applyFill="1" applyBorder="1"/>
    <xf numFmtId="0" fontId="84" fillId="8" borderId="10" xfId="0" applyFont="1" applyFill="1" applyBorder="1"/>
    <xf numFmtId="168" fontId="97" fillId="8" borderId="2" xfId="2" applyNumberFormat="1" applyFont="1" applyFill="1" applyBorder="1"/>
    <xf numFmtId="168" fontId="97" fillId="8" borderId="11" xfId="2" applyNumberFormat="1" applyFont="1" applyFill="1" applyBorder="1"/>
    <xf numFmtId="168" fontId="83" fillId="0" borderId="0" xfId="0" applyNumberFormat="1" applyFont="1"/>
    <xf numFmtId="168" fontId="97" fillId="8" borderId="17" xfId="2" applyNumberFormat="1" applyFont="1" applyFill="1" applyBorder="1"/>
    <xf numFmtId="168" fontId="97" fillId="8" borderId="10" xfId="2" applyNumberFormat="1" applyFont="1" applyFill="1" applyBorder="1"/>
    <xf numFmtId="0" fontId="84" fillId="8" borderId="12" xfId="0" applyFont="1" applyFill="1" applyBorder="1"/>
    <xf numFmtId="168" fontId="97" fillId="8" borderId="3" xfId="2" applyNumberFormat="1" applyFont="1" applyFill="1" applyBorder="1"/>
    <xf numFmtId="168" fontId="97" fillId="8" borderId="13" xfId="2" applyNumberFormat="1" applyFont="1" applyFill="1" applyBorder="1"/>
    <xf numFmtId="168" fontId="97" fillId="8" borderId="18" xfId="2" applyNumberFormat="1" applyFont="1" applyFill="1" applyBorder="1"/>
    <xf numFmtId="168" fontId="97" fillId="8" borderId="12" xfId="2" applyNumberFormat="1" applyFont="1" applyFill="1" applyBorder="1"/>
    <xf numFmtId="0" fontId="98" fillId="7" borderId="0" xfId="1" applyFont="1" applyFill="1"/>
    <xf numFmtId="165" fontId="94" fillId="0" borderId="0" xfId="1" applyNumberFormat="1" applyFont="1"/>
    <xf numFmtId="0" fontId="84" fillId="0" borderId="0" xfId="1" applyFont="1"/>
    <xf numFmtId="0" fontId="96" fillId="0" borderId="0" xfId="0" applyFont="1"/>
    <xf numFmtId="165" fontId="97" fillId="8" borderId="2" xfId="0" applyNumberFormat="1" applyFont="1" applyFill="1" applyBorder="1"/>
    <xf numFmtId="165" fontId="97" fillId="8" borderId="11" xfId="0" applyNumberFormat="1" applyFont="1" applyFill="1" applyBorder="1"/>
    <xf numFmtId="165" fontId="97" fillId="8" borderId="17" xfId="0" applyNumberFormat="1" applyFont="1" applyFill="1" applyBorder="1"/>
    <xf numFmtId="165" fontId="97" fillId="8" borderId="10" xfId="0" applyNumberFormat="1" applyFont="1" applyFill="1" applyBorder="1"/>
    <xf numFmtId="165" fontId="97" fillId="8" borderId="3" xfId="0" applyNumberFormat="1" applyFont="1" applyFill="1" applyBorder="1"/>
    <xf numFmtId="165" fontId="97" fillId="8" borderId="13" xfId="0" applyNumberFormat="1" applyFont="1" applyFill="1" applyBorder="1"/>
    <xf numFmtId="165" fontId="97" fillId="8" borderId="18" xfId="0" applyNumberFormat="1" applyFont="1" applyFill="1" applyBorder="1"/>
    <xf numFmtId="165" fontId="97" fillId="8" borderId="12" xfId="0" applyNumberFormat="1" applyFont="1" applyFill="1" applyBorder="1"/>
    <xf numFmtId="165" fontId="90" fillId="0" borderId="0" xfId="1" applyNumberFormat="1" applyFont="1"/>
    <xf numFmtId="165" fontId="95" fillId="8" borderId="10" xfId="0" applyNumberFormat="1" applyFont="1" applyFill="1" applyBorder="1"/>
    <xf numFmtId="165" fontId="95" fillId="8" borderId="2" xfId="0" applyNumberFormat="1" applyFont="1" applyFill="1" applyBorder="1"/>
    <xf numFmtId="0" fontId="96" fillId="8" borderId="11" xfId="0" applyFont="1" applyFill="1" applyBorder="1"/>
    <xf numFmtId="165" fontId="95" fillId="0" borderId="12" xfId="0" applyNumberFormat="1" applyFont="1" applyBorder="1"/>
    <xf numFmtId="165" fontId="95" fillId="0" borderId="3" xfId="0" applyNumberFormat="1" applyFont="1" applyBorder="1"/>
    <xf numFmtId="0" fontId="96" fillId="0" borderId="13" xfId="0" applyFont="1" applyBorder="1"/>
    <xf numFmtId="0" fontId="83" fillId="9" borderId="0" xfId="0" applyFont="1" applyFill="1"/>
    <xf numFmtId="0" fontId="99" fillId="0" borderId="0" xfId="0" applyFont="1"/>
    <xf numFmtId="0" fontId="79" fillId="0" borderId="3" xfId="0" applyFont="1" applyBorder="1"/>
    <xf numFmtId="0" fontId="81" fillId="0" borderId="3" xfId="0" applyFont="1" applyBorder="1"/>
    <xf numFmtId="0" fontId="82" fillId="8" borderId="6" xfId="0" applyFont="1" applyFill="1" applyBorder="1"/>
    <xf numFmtId="0" fontId="82" fillId="8" borderId="0" xfId="0" applyFont="1" applyFill="1"/>
    <xf numFmtId="0" fontId="82" fillId="8" borderId="3" xfId="0" applyFont="1" applyFill="1" applyBorder="1"/>
    <xf numFmtId="0" fontId="82" fillId="0" borderId="2" xfId="0" applyFont="1" applyBorder="1"/>
    <xf numFmtId="167" fontId="82" fillId="8" borderId="7" xfId="0" applyNumberFormat="1" applyFont="1" applyFill="1" applyBorder="1"/>
    <xf numFmtId="167" fontId="82" fillId="0" borderId="2" xfId="0" applyNumberFormat="1" applyFont="1" applyBorder="1"/>
    <xf numFmtId="167" fontId="82" fillId="8" borderId="8" xfId="0" applyNumberFormat="1" applyFont="1" applyFill="1" applyBorder="1"/>
    <xf numFmtId="169" fontId="81" fillId="0" borderId="0" xfId="0" applyNumberFormat="1" applyFont="1"/>
    <xf numFmtId="169" fontId="85" fillId="0" borderId="0" xfId="0" applyNumberFormat="1" applyFont="1"/>
    <xf numFmtId="169" fontId="90" fillId="0" borderId="0" xfId="0" applyNumberFormat="1" applyFont="1"/>
    <xf numFmtId="0" fontId="95" fillId="8" borderId="19" xfId="0" applyFont="1" applyFill="1" applyBorder="1"/>
    <xf numFmtId="0" fontId="95" fillId="8" borderId="12" xfId="0" applyFont="1" applyFill="1" applyBorder="1"/>
    <xf numFmtId="168" fontId="85" fillId="0" borderId="0" xfId="0" applyNumberFormat="1" applyFont="1" applyAlignment="1">
      <alignment horizontal="center"/>
    </xf>
    <xf numFmtId="0" fontId="85" fillId="0" borderId="5" xfId="0" applyFont="1" applyBorder="1" applyAlignment="1">
      <alignment horizontal="center"/>
    </xf>
    <xf numFmtId="0" fontId="30" fillId="9" borderId="0" xfId="0" applyFont="1" applyFill="1" applyAlignment="1">
      <alignment horizontal="center" wrapText="1"/>
    </xf>
    <xf numFmtId="0" fontId="30" fillId="9" borderId="0" xfId="0" applyFont="1" applyFill="1" applyAlignment="1">
      <alignment wrapText="1"/>
    </xf>
    <xf numFmtId="0" fontId="47" fillId="0" borderId="2" xfId="0" applyFont="1" applyBorder="1"/>
    <xf numFmtId="0" fontId="47" fillId="8" borderId="6" xfId="0" applyFont="1" applyFill="1" applyBorder="1"/>
    <xf numFmtId="181" fontId="85" fillId="0" borderId="0" xfId="0" applyNumberFormat="1" applyFont="1" applyAlignment="1">
      <alignment horizontal="right"/>
    </xf>
    <xf numFmtId="0" fontId="47" fillId="0" borderId="0" xfId="0" applyFont="1"/>
    <xf numFmtId="167" fontId="82" fillId="0" borderId="0" xfId="0" applyNumberFormat="1" applyFont="1"/>
    <xf numFmtId="0" fontId="46" fillId="0" borderId="0" xfId="0" applyFont="1"/>
    <xf numFmtId="167" fontId="46" fillId="0" borderId="0" xfId="0" applyNumberFormat="1" applyFont="1"/>
    <xf numFmtId="168" fontId="40" fillId="0" borderId="0" xfId="0" applyNumberFormat="1" applyFont="1"/>
    <xf numFmtId="167" fontId="40" fillId="0" borderId="0" xfId="0" applyNumberFormat="1" applyFont="1" applyAlignment="1">
      <alignment horizontal="right"/>
    </xf>
    <xf numFmtId="165" fontId="40" fillId="0" borderId="0" xfId="0" applyNumberFormat="1" applyFont="1" applyAlignment="1">
      <alignment horizontal="right"/>
    </xf>
    <xf numFmtId="169" fontId="40" fillId="0" borderId="0" xfId="0" applyNumberFormat="1" applyFont="1" applyAlignment="1">
      <alignment horizontal="right"/>
    </xf>
    <xf numFmtId="168" fontId="40" fillId="0" borderId="0" xfId="0" applyNumberFormat="1" applyFont="1" applyAlignment="1">
      <alignment horizontal="right"/>
    </xf>
    <xf numFmtId="182" fontId="46" fillId="0" borderId="0" xfId="0" applyNumberFormat="1" applyFont="1"/>
    <xf numFmtId="182" fontId="40" fillId="0" borderId="0" xfId="0" applyNumberFormat="1" applyFont="1" applyAlignment="1">
      <alignment horizontal="right"/>
    </xf>
    <xf numFmtId="167" fontId="47" fillId="0" borderId="2" xfId="0" applyNumberFormat="1" applyFont="1" applyBorder="1"/>
    <xf numFmtId="167" fontId="47" fillId="8" borderId="7" xfId="0" applyNumberFormat="1" applyFont="1" applyFill="1" applyBorder="1"/>
    <xf numFmtId="0" fontId="49" fillId="0" borderId="0" xfId="0" applyFont="1"/>
    <xf numFmtId="165" fontId="82" fillId="8" borderId="0" xfId="0" applyNumberFormat="1" applyFont="1" applyFill="1"/>
    <xf numFmtId="165" fontId="82" fillId="8" borderId="15" xfId="0" applyNumberFormat="1" applyFont="1" applyFill="1" applyBorder="1"/>
    <xf numFmtId="165" fontId="82" fillId="8" borderId="3" xfId="0" applyNumberFormat="1" applyFont="1" applyFill="1" applyBorder="1"/>
    <xf numFmtId="165" fontId="82" fillId="8" borderId="13" xfId="0" applyNumberFormat="1" applyFont="1" applyFill="1" applyBorder="1"/>
    <xf numFmtId="0" fontId="34" fillId="9" borderId="0" xfId="0" applyFont="1" applyFill="1" applyAlignment="1">
      <alignment horizontal="left"/>
    </xf>
    <xf numFmtId="0" fontId="46" fillId="0" borderId="0" xfId="0" applyFont="1" applyAlignment="1">
      <alignment horizontal="left" indent="1"/>
    </xf>
    <xf numFmtId="0" fontId="81" fillId="0" borderId="0" xfId="0" applyFont="1" applyAlignment="1">
      <alignment horizontal="left" indent="1"/>
    </xf>
    <xf numFmtId="167" fontId="73" fillId="8" borderId="8" xfId="0" applyNumberFormat="1" applyFont="1" applyFill="1" applyBorder="1"/>
    <xf numFmtId="0" fontId="40" fillId="0" borderId="0" xfId="0" applyFont="1"/>
    <xf numFmtId="165" fontId="47" fillId="8" borderId="12" xfId="0" applyNumberFormat="1" applyFont="1" applyFill="1" applyBorder="1"/>
    <xf numFmtId="165" fontId="47" fillId="8" borderId="3" xfId="0" applyNumberFormat="1" applyFont="1" applyFill="1" applyBorder="1"/>
    <xf numFmtId="168" fontId="47" fillId="8" borderId="3" xfId="0" applyNumberFormat="1" applyFont="1" applyFill="1" applyBorder="1"/>
    <xf numFmtId="168" fontId="47" fillId="8" borderId="13" xfId="0" applyNumberFormat="1" applyFont="1" applyFill="1" applyBorder="1"/>
    <xf numFmtId="0" fontId="100" fillId="0" borderId="0" xfId="0" applyFont="1"/>
    <xf numFmtId="0" fontId="49" fillId="0" borderId="3" xfId="0" applyFont="1" applyBorder="1"/>
    <xf numFmtId="0" fontId="46" fillId="0" borderId="3" xfId="0" applyFont="1" applyBorder="1"/>
    <xf numFmtId="0" fontId="47" fillId="14" borderId="0" xfId="0" applyFont="1" applyFill="1"/>
    <xf numFmtId="169" fontId="39" fillId="0" borderId="0" xfId="0" applyNumberFormat="1" applyFont="1"/>
    <xf numFmtId="0" fontId="38" fillId="0" borderId="5" xfId="0" applyFont="1" applyBorder="1" applyAlignment="1">
      <alignment horizontal="center"/>
    </xf>
    <xf numFmtId="168" fontId="39" fillId="0" borderId="0" xfId="0" applyNumberFormat="1" applyFont="1"/>
    <xf numFmtId="0" fontId="46" fillId="0" borderId="0" xfId="0" applyFont="1" applyAlignment="1">
      <alignment horizontal="right"/>
    </xf>
    <xf numFmtId="165" fontId="47" fillId="0" borderId="2" xfId="0" applyNumberFormat="1" applyFont="1" applyBorder="1"/>
    <xf numFmtId="0" fontId="47" fillId="0" borderId="7" xfId="0" applyFont="1" applyBorder="1"/>
    <xf numFmtId="165" fontId="47" fillId="0" borderId="7" xfId="0" applyNumberFormat="1" applyFont="1" applyBorder="1"/>
    <xf numFmtId="165" fontId="38" fillId="0" borderId="0" xfId="0" applyNumberFormat="1" applyFont="1" applyAlignment="1">
      <alignment horizontal="right"/>
    </xf>
    <xf numFmtId="0" fontId="47" fillId="8" borderId="10" xfId="0" applyFont="1" applyFill="1" applyBorder="1"/>
    <xf numFmtId="0" fontId="95" fillId="8" borderId="24" xfId="0" applyFont="1" applyFill="1" applyBorder="1"/>
    <xf numFmtId="0" fontId="82" fillId="8" borderId="9" xfId="0" applyFont="1" applyFill="1" applyBorder="1"/>
    <xf numFmtId="167" fontId="82" fillId="8" borderId="9" xfId="0" applyNumberFormat="1" applyFont="1" applyFill="1" applyBorder="1"/>
    <xf numFmtId="167" fontId="82" fillId="8" borderId="25" xfId="0" applyNumberFormat="1" applyFont="1" applyFill="1" applyBorder="1"/>
    <xf numFmtId="177" fontId="39" fillId="0" borderId="0" xfId="0" applyNumberFormat="1" applyFont="1"/>
    <xf numFmtId="171" fontId="38" fillId="0" borderId="0" xfId="0" applyNumberFormat="1" applyFont="1"/>
    <xf numFmtId="0" fontId="2" fillId="0" borderId="0" xfId="0" applyFont="1"/>
    <xf numFmtId="177" fontId="40" fillId="0" borderId="0" xfId="0" applyNumberFormat="1" applyFont="1"/>
    <xf numFmtId="165" fontId="36" fillId="8" borderId="11" xfId="0" applyNumberFormat="1" applyFont="1" applyFill="1" applyBorder="1"/>
    <xf numFmtId="0" fontId="47" fillId="8" borderId="12" xfId="0" applyFont="1" applyFill="1" applyBorder="1"/>
    <xf numFmtId="167" fontId="2" fillId="0" borderId="0" xfId="0" applyNumberFormat="1" applyFont="1"/>
    <xf numFmtId="0" fontId="47" fillId="8" borderId="19" xfId="0" applyFont="1" applyFill="1" applyBorder="1"/>
    <xf numFmtId="165" fontId="31" fillId="8" borderId="15" xfId="0" applyNumberFormat="1" applyFont="1" applyFill="1" applyBorder="1"/>
    <xf numFmtId="167" fontId="31" fillId="8" borderId="13" xfId="0" applyNumberFormat="1" applyFont="1" applyFill="1" applyBorder="1"/>
    <xf numFmtId="167" fontId="36" fillId="8" borderId="13" xfId="0" applyNumberFormat="1" applyFont="1" applyFill="1" applyBorder="1"/>
    <xf numFmtId="167" fontId="31" fillId="8" borderId="15" xfId="0" applyNumberFormat="1" applyFont="1" applyFill="1" applyBorder="1"/>
    <xf numFmtId="0" fontId="49" fillId="8" borderId="12" xfId="0" applyFont="1" applyFill="1" applyBorder="1"/>
    <xf numFmtId="165" fontId="29" fillId="8" borderId="13" xfId="0" applyNumberFormat="1" applyFont="1" applyFill="1" applyBorder="1"/>
    <xf numFmtId="165" fontId="31" fillId="8" borderId="11" xfId="0" applyNumberFormat="1" applyFont="1" applyFill="1" applyBorder="1"/>
    <xf numFmtId="167" fontId="35" fillId="0" borderId="0" xfId="0" applyNumberFormat="1" applyFont="1" applyAlignment="1">
      <alignment horizontal="right"/>
    </xf>
    <xf numFmtId="167" fontId="47" fillId="8" borderId="8" xfId="0" applyNumberFormat="1" applyFont="1" applyFill="1" applyBorder="1"/>
    <xf numFmtId="165" fontId="47" fillId="18" borderId="2" xfId="0" applyNumberFormat="1" applyFont="1" applyFill="1" applyBorder="1" applyAlignment="1">
      <alignment horizontal="right"/>
    </xf>
    <xf numFmtId="167" fontId="47" fillId="8" borderId="11" xfId="0" applyNumberFormat="1" applyFont="1" applyFill="1" applyBorder="1"/>
    <xf numFmtId="165" fontId="47" fillId="18" borderId="0" xfId="0" applyNumberFormat="1" applyFont="1" applyFill="1" applyAlignment="1">
      <alignment horizontal="right"/>
    </xf>
    <xf numFmtId="180" fontId="46" fillId="0" borderId="0" xfId="0" applyNumberFormat="1" applyFont="1"/>
    <xf numFmtId="0" fontId="36" fillId="0" borderId="2" xfId="0" applyFont="1" applyBorder="1" applyAlignment="1">
      <alignment horizontal="left"/>
    </xf>
    <xf numFmtId="171" fontId="47" fillId="8" borderId="8" xfId="0" applyNumberFormat="1" applyFont="1" applyFill="1" applyBorder="1"/>
    <xf numFmtId="168" fontId="47" fillId="8" borderId="15" xfId="0" applyNumberFormat="1" applyFont="1" applyFill="1" applyBorder="1"/>
    <xf numFmtId="165" fontId="47" fillId="18" borderId="3" xfId="0" applyNumberFormat="1" applyFont="1" applyFill="1" applyBorder="1" applyAlignment="1">
      <alignment horizontal="right"/>
    </xf>
    <xf numFmtId="165" fontId="38" fillId="0" borderId="22" xfId="0" applyNumberFormat="1" applyFont="1" applyBorder="1" applyAlignment="1">
      <alignment horizontal="center"/>
    </xf>
    <xf numFmtId="0" fontId="101" fillId="0" borderId="0" xfId="0" applyFont="1"/>
    <xf numFmtId="0" fontId="2" fillId="0" borderId="3" xfId="0" applyFont="1" applyBorder="1"/>
    <xf numFmtId="0" fontId="2" fillId="14" borderId="0" xfId="0" applyFont="1" applyFill="1"/>
    <xf numFmtId="0" fontId="30" fillId="9" borderId="0" xfId="0" applyFont="1" applyFill="1" applyAlignment="1">
      <alignment horizontal="right"/>
    </xf>
    <xf numFmtId="182" fontId="39" fillId="0" borderId="0" xfId="0" applyNumberFormat="1" applyFont="1"/>
    <xf numFmtId="181" fontId="39" fillId="0" borderId="0" xfId="0" applyNumberFormat="1" applyFont="1"/>
    <xf numFmtId="182" fontId="38" fillId="0" borderId="0" xfId="0" applyNumberFormat="1" applyFont="1"/>
    <xf numFmtId="165" fontId="2" fillId="0" borderId="0" xfId="0" applyNumberFormat="1" applyFont="1"/>
    <xf numFmtId="181" fontId="30" fillId="9" borderId="0" xfId="0" applyNumberFormat="1" applyFont="1" applyFill="1" applyAlignment="1">
      <alignment horizontal="right"/>
    </xf>
    <xf numFmtId="182" fontId="36" fillId="0" borderId="0" xfId="0" applyNumberFormat="1" applyFont="1" applyAlignment="1">
      <alignment horizontal="right"/>
    </xf>
    <xf numFmtId="182" fontId="102" fillId="0" borderId="0" xfId="0" applyNumberFormat="1" applyFont="1" applyAlignment="1">
      <alignment horizontal="right"/>
    </xf>
    <xf numFmtId="165" fontId="36" fillId="17" borderId="0" xfId="0" applyNumberFormat="1" applyFont="1" applyFill="1"/>
    <xf numFmtId="164" fontId="30" fillId="9" borderId="0" xfId="0" applyNumberFormat="1" applyFont="1" applyFill="1" applyAlignment="1">
      <alignment horizontal="right"/>
    </xf>
    <xf numFmtId="177" fontId="36" fillId="0" borderId="0" xfId="0" applyNumberFormat="1" applyFont="1" applyAlignment="1">
      <alignment horizontal="right"/>
    </xf>
    <xf numFmtId="177" fontId="102" fillId="0" borderId="0" xfId="0" applyNumberFormat="1" applyFont="1" applyAlignment="1">
      <alignment horizontal="right"/>
    </xf>
    <xf numFmtId="0" fontId="24" fillId="0" borderId="0" xfId="0" applyFont="1" applyAlignment="1">
      <alignment horizontal="center"/>
    </xf>
    <xf numFmtId="0" fontId="0" fillId="0" borderId="0" xfId="0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30" fillId="9" borderId="0" xfId="0" applyFont="1" applyFill="1" applyAlignment="1">
      <alignment horizontal="center"/>
    </xf>
    <xf numFmtId="0" fontId="36" fillId="14" borderId="0" xfId="0" applyFont="1" applyFill="1" applyAlignment="1">
      <alignment horizontal="center"/>
    </xf>
    <xf numFmtId="0" fontId="30" fillId="3" borderId="0" xfId="1" applyFont="1" applyFill="1"/>
    <xf numFmtId="167" fontId="46" fillId="0" borderId="0" xfId="0" applyNumberFormat="1" applyFont="1" applyAlignment="1">
      <alignment horizontal="right"/>
    </xf>
    <xf numFmtId="171" fontId="46" fillId="0" borderId="0" xfId="0" applyNumberFormat="1" applyFont="1"/>
    <xf numFmtId="171" fontId="40" fillId="0" borderId="0" xfId="0" applyNumberFormat="1" applyFont="1"/>
    <xf numFmtId="177" fontId="46" fillId="0" borderId="0" xfId="0" applyNumberFormat="1" applyFont="1"/>
    <xf numFmtId="168" fontId="46" fillId="18" borderId="0" xfId="0" applyNumberFormat="1" applyFont="1" applyFill="1" applyAlignment="1">
      <alignment horizontal="right"/>
    </xf>
    <xf numFmtId="169" fontId="38" fillId="0" borderId="0" xfId="0" applyNumberFormat="1" applyFont="1"/>
    <xf numFmtId="0" fontId="1" fillId="0" borderId="0" xfId="0" applyFont="1"/>
    <xf numFmtId="0" fontId="1" fillId="0" borderId="0" xfId="0" applyFont="1" applyFill="1"/>
    <xf numFmtId="165" fontId="46" fillId="0" borderId="0" xfId="0" applyNumberFormat="1" applyFont="1" applyFill="1"/>
    <xf numFmtId="0" fontId="36" fillId="0" borderId="2" xfId="0" applyFont="1" applyFill="1" applyBorder="1"/>
    <xf numFmtId="165" fontId="47" fillId="0" borderId="2" xfId="0" applyNumberFormat="1" applyFont="1" applyFill="1" applyBorder="1"/>
    <xf numFmtId="165" fontId="47" fillId="8" borderId="11" xfId="0" applyNumberFormat="1" applyFont="1" applyFill="1" applyBorder="1"/>
    <xf numFmtId="0" fontId="1" fillId="0" borderId="0" xfId="0" applyFont="1" applyAlignment="1">
      <alignment horizontal="left" indent="1"/>
    </xf>
    <xf numFmtId="0" fontId="47" fillId="14" borderId="0" xfId="0" applyFont="1" applyFill="1" applyAlignment="1"/>
    <xf numFmtId="184" fontId="38" fillId="0" borderId="0" xfId="0" applyNumberFormat="1" applyFont="1"/>
    <xf numFmtId="0" fontId="46" fillId="0" borderId="0" xfId="0" applyFont="1" applyFill="1"/>
    <xf numFmtId="0" fontId="36" fillId="0" borderId="0" xfId="0" applyFont="1" applyFill="1" applyBorder="1"/>
    <xf numFmtId="171" fontId="47" fillId="0" borderId="0" xfId="0" applyNumberFormat="1" applyFont="1" applyFill="1" applyBorder="1"/>
    <xf numFmtId="0" fontId="23" fillId="0" borderId="0" xfId="0" applyFont="1" applyFill="1"/>
    <xf numFmtId="0" fontId="0" fillId="0" borderId="0" xfId="0" applyFill="1"/>
    <xf numFmtId="165" fontId="39" fillId="0" borderId="0" xfId="0" applyNumberFormat="1" applyFont="1" applyFill="1"/>
    <xf numFmtId="177" fontId="38" fillId="0" borderId="0" xfId="0" applyNumberFormat="1" applyFont="1"/>
    <xf numFmtId="168" fontId="46" fillId="0" borderId="0" xfId="0" applyNumberFormat="1" applyFont="1"/>
    <xf numFmtId="0" fontId="30" fillId="9" borderId="0" xfId="0" applyFont="1" applyFill="1" applyAlignment="1">
      <alignment horizontal="right" wrapText="1"/>
    </xf>
    <xf numFmtId="168" fontId="38" fillId="0" borderId="0" xfId="0" applyNumberFormat="1" applyFont="1"/>
    <xf numFmtId="0" fontId="47" fillId="8" borderId="7" xfId="0" applyFont="1" applyFill="1" applyBorder="1"/>
    <xf numFmtId="0" fontId="47" fillId="0" borderId="0" xfId="0" applyFont="1" applyFill="1" applyBorder="1"/>
    <xf numFmtId="167" fontId="83" fillId="0" borderId="0" xfId="0" applyNumberFormat="1" applyFont="1"/>
    <xf numFmtId="184" fontId="83" fillId="0" borderId="0" xfId="0" applyNumberFormat="1" applyFont="1"/>
    <xf numFmtId="0" fontId="46" fillId="0" borderId="0" xfId="0" applyFont="1" applyFill="1" applyBorder="1"/>
    <xf numFmtId="0" fontId="81" fillId="0" borderId="0" xfId="0" applyFont="1" applyFill="1"/>
    <xf numFmtId="0" fontId="81" fillId="0" borderId="0" xfId="0" applyFont="1" applyFill="1" applyBorder="1"/>
    <xf numFmtId="167" fontId="81" fillId="0" borderId="0" xfId="0" applyNumberFormat="1" applyFont="1" applyFill="1" applyBorder="1"/>
    <xf numFmtId="165" fontId="81" fillId="0" borderId="0" xfId="0" applyNumberFormat="1" applyFont="1" applyFill="1" applyBorder="1"/>
    <xf numFmtId="0" fontId="80" fillId="9" borderId="0" xfId="0" applyFont="1" applyFill="1" applyAlignment="1">
      <alignment horizontal="right"/>
    </xf>
    <xf numFmtId="0" fontId="82" fillId="0" borderId="0" xfId="0" applyFont="1" applyFill="1" applyBorder="1"/>
    <xf numFmtId="0" fontId="82" fillId="0" borderId="2" xfId="0" applyFont="1" applyFill="1" applyBorder="1"/>
    <xf numFmtId="167" fontId="82" fillId="0" borderId="2" xfId="0" applyNumberFormat="1" applyFont="1" applyFill="1" applyBorder="1"/>
    <xf numFmtId="0" fontId="82" fillId="8" borderId="7" xfId="0" applyFont="1" applyFill="1" applyBorder="1"/>
    <xf numFmtId="0" fontId="82" fillId="8" borderId="10" xfId="0" applyFont="1" applyFill="1" applyBorder="1"/>
    <xf numFmtId="167" fontId="82" fillId="8" borderId="11" xfId="0" applyNumberFormat="1" applyFont="1" applyFill="1" applyBorder="1"/>
    <xf numFmtId="0" fontId="103" fillId="8" borderId="19" xfId="0" applyFont="1" applyFill="1" applyBorder="1"/>
    <xf numFmtId="168" fontId="103" fillId="8" borderId="15" xfId="0" applyNumberFormat="1" applyFont="1" applyFill="1" applyBorder="1"/>
    <xf numFmtId="0" fontId="84" fillId="0" borderId="2" xfId="0" applyFont="1" applyBorder="1"/>
    <xf numFmtId="167" fontId="84" fillId="0" borderId="2" xfId="0" applyNumberFormat="1" applyFont="1" applyBorder="1"/>
    <xf numFmtId="169" fontId="81" fillId="0" borderId="0" xfId="0" applyNumberFormat="1" applyFont="1" applyFill="1" applyBorder="1"/>
    <xf numFmtId="167" fontId="82" fillId="8" borderId="2" xfId="0" applyNumberFormat="1" applyFont="1" applyFill="1" applyBorder="1" applyAlignment="1">
      <alignment horizontal="right"/>
    </xf>
    <xf numFmtId="169" fontId="83" fillId="0" borderId="0" xfId="0" applyNumberFormat="1" applyFont="1"/>
    <xf numFmtId="165" fontId="84" fillId="0" borderId="2" xfId="0" applyNumberFormat="1" applyFont="1" applyBorder="1"/>
    <xf numFmtId="168" fontId="85" fillId="0" borderId="0" xfId="0" applyNumberFormat="1" applyFont="1"/>
    <xf numFmtId="167" fontId="94" fillId="0" borderId="0" xfId="0" applyNumberFormat="1" applyFont="1"/>
    <xf numFmtId="167" fontId="90" fillId="0" borderId="0" xfId="0" applyNumberFormat="1" applyFont="1" applyFill="1" applyBorder="1"/>
    <xf numFmtId="168" fontId="90" fillId="0" borderId="0" xfId="0" applyNumberFormat="1" applyFont="1" applyFill="1" applyBorder="1"/>
    <xf numFmtId="165" fontId="90" fillId="0" borderId="0" xfId="0" applyNumberFormat="1" applyFont="1" applyFill="1" applyBorder="1"/>
    <xf numFmtId="169" fontId="90" fillId="0" borderId="0" xfId="0" applyNumberFormat="1" applyFont="1" applyFill="1" applyBorder="1"/>
    <xf numFmtId="168" fontId="90" fillId="0" borderId="0" xfId="0" applyNumberFormat="1" applyFont="1"/>
    <xf numFmtId="184" fontId="90" fillId="0" borderId="0" xfId="0" applyNumberFormat="1" applyFont="1"/>
    <xf numFmtId="168" fontId="38" fillId="0" borderId="0" xfId="0" applyNumberFormat="1" applyFont="1" applyAlignment="1">
      <alignment horizontal="right"/>
    </xf>
    <xf numFmtId="0" fontId="103" fillId="0" borderId="0" xfId="0" applyFont="1" applyFill="1" applyBorder="1"/>
    <xf numFmtId="169" fontId="82" fillId="8" borderId="0" xfId="0" applyNumberFormat="1" applyFont="1" applyFill="1" applyBorder="1" applyAlignment="1">
      <alignment horizontal="right"/>
    </xf>
    <xf numFmtId="0" fontId="82" fillId="8" borderId="19" xfId="0" applyFont="1" applyFill="1" applyBorder="1"/>
    <xf numFmtId="184" fontId="95" fillId="8" borderId="15" xfId="0" applyNumberFormat="1" applyFont="1" applyFill="1" applyBorder="1"/>
    <xf numFmtId="0" fontId="82" fillId="8" borderId="12" xfId="0" applyFont="1" applyFill="1" applyBorder="1"/>
    <xf numFmtId="169" fontId="82" fillId="8" borderId="3" xfId="0" applyNumberFormat="1" applyFont="1" applyFill="1" applyBorder="1" applyAlignment="1">
      <alignment horizontal="right"/>
    </xf>
    <xf numFmtId="169" fontId="82" fillId="8" borderId="13" xfId="0" applyNumberFormat="1" applyFont="1" applyFill="1" applyBorder="1"/>
    <xf numFmtId="171" fontId="81" fillId="0" borderId="0" xfId="0" applyNumberFormat="1" applyFont="1" applyFill="1" applyBorder="1"/>
    <xf numFmtId="171" fontId="85" fillId="0" borderId="0" xfId="0" applyNumberFormat="1" applyFont="1" applyFill="1" applyBorder="1"/>
    <xf numFmtId="165" fontId="85" fillId="0" borderId="0" xfId="0" applyNumberFormat="1" applyFont="1" applyFill="1" applyBorder="1"/>
    <xf numFmtId="168" fontId="85" fillId="0" borderId="0" xfId="0" applyNumberFormat="1" applyFont="1" applyFill="1" applyBorder="1"/>
    <xf numFmtId="185" fontId="81" fillId="0" borderId="0" xfId="0" applyNumberFormat="1" applyFont="1" applyFill="1" applyBorder="1"/>
    <xf numFmtId="186" fontId="81" fillId="0" borderId="0" xfId="0" applyNumberFormat="1" applyFont="1" applyFill="1" applyBorder="1"/>
    <xf numFmtId="186" fontId="85" fillId="0" borderId="0" xfId="0" applyNumberFormat="1" applyFont="1" applyFill="1" applyBorder="1"/>
    <xf numFmtId="0" fontId="81" fillId="0" borderId="0" xfId="0" applyFont="1" applyFill="1" applyBorder="1" applyAlignment="1">
      <alignment horizontal="left" indent="1"/>
    </xf>
    <xf numFmtId="169" fontId="85" fillId="0" borderId="0" xfId="0" applyNumberFormat="1" applyFont="1" applyFill="1" applyBorder="1"/>
    <xf numFmtId="0" fontId="82" fillId="0" borderId="2" xfId="0" applyFont="1" applyFill="1" applyBorder="1" applyAlignment="1">
      <alignment horizontal="left"/>
    </xf>
    <xf numFmtId="0" fontId="81" fillId="0" borderId="0" xfId="0" applyFont="1" applyFill="1" applyBorder="1" applyAlignment="1"/>
    <xf numFmtId="0" fontId="82" fillId="8" borderId="6" xfId="0" applyFont="1" applyFill="1" applyBorder="1" applyAlignment="1"/>
    <xf numFmtId="171" fontId="82" fillId="8" borderId="8" xfId="0" applyNumberFormat="1" applyFont="1" applyFill="1" applyBorder="1"/>
    <xf numFmtId="167" fontId="81" fillId="0" borderId="0" xfId="0" applyNumberFormat="1" applyFont="1" applyFill="1" applyBorder="1" applyAlignment="1"/>
    <xf numFmtId="165" fontId="81" fillId="0" borderId="0" xfId="0" applyNumberFormat="1" applyFont="1" applyFill="1" applyBorder="1" applyAlignment="1"/>
    <xf numFmtId="165" fontId="85" fillId="0" borderId="0" xfId="0" applyNumberFormat="1" applyFont="1" applyFill="1" applyBorder="1" applyAlignment="1"/>
    <xf numFmtId="168" fontId="85" fillId="0" borderId="0" xfId="0" applyNumberFormat="1" applyFont="1" applyFill="1" applyBorder="1" applyAlignment="1"/>
    <xf numFmtId="169" fontId="85" fillId="0" borderId="0" xfId="0" applyNumberFormat="1" applyFont="1" applyFill="1" applyBorder="1" applyAlignment="1"/>
    <xf numFmtId="167" fontId="90" fillId="0" borderId="0" xfId="0" applyNumberFormat="1" applyFont="1" applyFill="1" applyBorder="1" applyAlignment="1"/>
    <xf numFmtId="168" fontId="90" fillId="0" borderId="0" xfId="0" applyNumberFormat="1" applyFont="1" applyFill="1" applyBorder="1" applyAlignment="1"/>
    <xf numFmtId="0" fontId="82" fillId="0" borderId="0" xfId="0" applyFont="1" applyFill="1" applyBorder="1" applyAlignment="1"/>
    <xf numFmtId="0" fontId="79" fillId="0" borderId="0" xfId="0" applyFont="1" applyFill="1" applyBorder="1" applyAlignment="1"/>
    <xf numFmtId="167" fontId="79" fillId="0" borderId="0" xfId="0" applyNumberFormat="1" applyFont="1" applyFill="1" applyBorder="1" applyAlignment="1"/>
    <xf numFmtId="165" fontId="90" fillId="0" borderId="0" xfId="0" applyNumberFormat="1" applyFont="1" applyFill="1" applyBorder="1" applyAlignment="1"/>
    <xf numFmtId="0" fontId="80" fillId="9" borderId="0" xfId="0" applyFont="1" applyFill="1" applyBorder="1" applyAlignment="1"/>
    <xf numFmtId="0" fontId="80" fillId="9" borderId="0" xfId="0" applyFont="1" applyFill="1" applyBorder="1" applyAlignment="1">
      <alignment horizontal="right"/>
    </xf>
    <xf numFmtId="1" fontId="81" fillId="0" borderId="0" xfId="0" applyNumberFormat="1" applyFont="1" applyFill="1" applyBorder="1" applyAlignment="1"/>
    <xf numFmtId="1" fontId="85" fillId="0" borderId="0" xfId="0" applyNumberFormat="1" applyFont="1" applyFill="1" applyBorder="1" applyAlignment="1"/>
    <xf numFmtId="0" fontId="82" fillId="0" borderId="2" xfId="0" applyFont="1" applyFill="1" applyBorder="1" applyAlignment="1"/>
    <xf numFmtId="167" fontId="82" fillId="0" borderId="2" xfId="0" applyNumberFormat="1" applyFont="1" applyFill="1" applyBorder="1" applyAlignment="1"/>
    <xf numFmtId="169" fontId="82" fillId="0" borderId="0" xfId="0" applyNumberFormat="1" applyFont="1" applyFill="1" applyBorder="1" applyAlignment="1"/>
    <xf numFmtId="0" fontId="23" fillId="0" borderId="0" xfId="0" applyFont="1" applyBorder="1"/>
    <xf numFmtId="0" fontId="46" fillId="0" borderId="0" xfId="0" applyFont="1" applyBorder="1"/>
    <xf numFmtId="180" fontId="46" fillId="0" borderId="0" xfId="0" applyNumberFormat="1" applyFont="1" applyBorder="1"/>
    <xf numFmtId="0" fontId="82" fillId="8" borderId="10" xfId="0" applyFont="1" applyFill="1" applyBorder="1" applyAlignment="1"/>
    <xf numFmtId="0" fontId="82" fillId="8" borderId="12" xfId="0" applyFont="1" applyFill="1" applyBorder="1" applyAlignment="1"/>
    <xf numFmtId="169" fontId="82" fillId="8" borderId="13" xfId="0" applyNumberFormat="1" applyFont="1" applyFill="1" applyBorder="1" applyAlignment="1"/>
    <xf numFmtId="167" fontId="82" fillId="8" borderId="11" xfId="0" applyNumberFormat="1" applyFont="1" applyFill="1" applyBorder="1" applyAlignment="1"/>
    <xf numFmtId="0" fontId="82" fillId="8" borderId="19" xfId="0" applyFont="1" applyFill="1" applyBorder="1" applyAlignment="1"/>
    <xf numFmtId="171" fontId="82" fillId="8" borderId="15" xfId="0" applyNumberFormat="1" applyFont="1" applyFill="1" applyBorder="1" applyAlignment="1"/>
    <xf numFmtId="0" fontId="81" fillId="0" borderId="2" xfId="0" applyFont="1" applyFill="1" applyBorder="1" applyAlignment="1"/>
    <xf numFmtId="168" fontId="50" fillId="0" borderId="2" xfId="0" applyNumberFormat="1" applyFont="1" applyBorder="1"/>
    <xf numFmtId="167" fontId="82" fillId="8" borderId="8" xfId="0" applyNumberFormat="1" applyFont="1" applyFill="1" applyBorder="1" applyAlignment="1"/>
    <xf numFmtId="169" fontId="95" fillId="8" borderId="15" xfId="0" applyNumberFormat="1" applyFont="1" applyFill="1" applyBorder="1"/>
    <xf numFmtId="169" fontId="47" fillId="8" borderId="15" xfId="0" applyNumberFormat="1" applyFont="1" applyFill="1" applyBorder="1"/>
    <xf numFmtId="167" fontId="38" fillId="0" borderId="0" xfId="0" applyNumberFormat="1" applyFont="1" applyFill="1" applyBorder="1" applyAlignment="1"/>
    <xf numFmtId="168" fontId="38" fillId="0" borderId="0" xfId="0" applyNumberFormat="1" applyFont="1" applyFill="1" applyBorder="1" applyAlignment="1"/>
    <xf numFmtId="168" fontId="46" fillId="0" borderId="0" xfId="0" applyNumberFormat="1" applyFont="1" applyFill="1" applyBorder="1" applyAlignment="1"/>
    <xf numFmtId="165" fontId="46" fillId="0" borderId="0" xfId="0" applyNumberFormat="1" applyFont="1" applyFill="1" applyBorder="1" applyAlignment="1"/>
    <xf numFmtId="165" fontId="81" fillId="0" borderId="2" xfId="0" applyNumberFormat="1" applyFont="1" applyFill="1" applyBorder="1" applyAlignment="1"/>
    <xf numFmtId="0" fontId="46" fillId="0" borderId="0" xfId="0" applyFont="1" applyFill="1" applyBorder="1" applyAlignment="1"/>
    <xf numFmtId="165" fontId="38" fillId="0" borderId="0" xfId="0" applyNumberFormat="1" applyFont="1" applyFill="1" applyBorder="1" applyAlignment="1"/>
    <xf numFmtId="0" fontId="46" fillId="8" borderId="12" xfId="0" applyFont="1" applyFill="1" applyBorder="1"/>
    <xf numFmtId="165" fontId="32" fillId="8" borderId="13" xfId="0" applyNumberFormat="1" applyFont="1" applyFill="1" applyBorder="1"/>
    <xf numFmtId="167" fontId="40" fillId="0" borderId="0" xfId="0" applyNumberFormat="1" applyFont="1" applyFill="1" applyBorder="1" applyAlignment="1"/>
    <xf numFmtId="0" fontId="46" fillId="0" borderId="2" xfId="0" applyFont="1" applyFill="1" applyBorder="1" applyAlignment="1"/>
    <xf numFmtId="165" fontId="46" fillId="0" borderId="2" xfId="0" applyNumberFormat="1" applyFont="1" applyFill="1" applyBorder="1" applyAlignment="1"/>
    <xf numFmtId="0" fontId="47" fillId="8" borderId="6" xfId="0" applyFont="1" applyFill="1" applyBorder="1" applyAlignment="1"/>
    <xf numFmtId="167" fontId="47" fillId="8" borderId="8" xfId="0" applyNumberFormat="1" applyFont="1" applyFill="1" applyBorder="1" applyAlignment="1"/>
    <xf numFmtId="0" fontId="47" fillId="0" borderId="0" xfId="0" applyFont="1" applyFill="1" applyBorder="1" applyAlignment="1"/>
    <xf numFmtId="169" fontId="38" fillId="0" borderId="0" xfId="0" applyNumberFormat="1" applyFont="1" applyFill="1" applyBorder="1" applyAlignment="1"/>
    <xf numFmtId="167" fontId="46" fillId="0" borderId="0" xfId="0" applyNumberFormat="1" applyFont="1" applyFill="1" applyBorder="1" applyAlignment="1"/>
    <xf numFmtId="0" fontId="46" fillId="8" borderId="19" xfId="0" applyFont="1" applyFill="1" applyBorder="1"/>
    <xf numFmtId="168" fontId="46" fillId="8" borderId="15" xfId="0" applyNumberFormat="1" applyFont="1" applyFill="1" applyBorder="1"/>
    <xf numFmtId="169" fontId="47" fillId="8" borderId="0" xfId="0" applyNumberFormat="1" applyFont="1" applyFill="1" applyBorder="1" applyAlignment="1">
      <alignment horizontal="right"/>
    </xf>
    <xf numFmtId="184" fontId="102" fillId="8" borderId="15" xfId="0" applyNumberFormat="1" applyFont="1" applyFill="1" applyBorder="1"/>
    <xf numFmtId="169" fontId="102" fillId="8" borderId="15" xfId="0" applyNumberFormat="1" applyFont="1" applyFill="1" applyBorder="1"/>
    <xf numFmtId="0" fontId="30" fillId="9" borderId="0" xfId="0" applyFont="1" applyFill="1" applyBorder="1" applyAlignment="1"/>
    <xf numFmtId="0" fontId="30" fillId="9" borderId="0" xfId="0" applyFont="1" applyFill="1" applyBorder="1" applyAlignment="1">
      <alignment horizontal="right"/>
    </xf>
    <xf numFmtId="165" fontId="40" fillId="0" borderId="0" xfId="0" applyNumberFormat="1" applyFont="1" applyFill="1" applyBorder="1" applyAlignment="1"/>
    <xf numFmtId="0" fontId="47" fillId="0" borderId="2" xfId="0" applyFont="1" applyFill="1" applyBorder="1" applyAlignment="1"/>
    <xf numFmtId="167" fontId="47" fillId="0" borderId="2" xfId="0" applyNumberFormat="1" applyFont="1" applyFill="1" applyBorder="1" applyAlignment="1"/>
    <xf numFmtId="0" fontId="47" fillId="8" borderId="10" xfId="0" applyFont="1" applyFill="1" applyBorder="1" applyAlignment="1"/>
    <xf numFmtId="167" fontId="47" fillId="8" borderId="11" xfId="0" applyNumberFormat="1" applyFont="1" applyFill="1" applyBorder="1" applyAlignment="1"/>
    <xf numFmtId="0" fontId="47" fillId="8" borderId="19" xfId="0" applyFont="1" applyFill="1" applyBorder="1" applyAlignment="1"/>
    <xf numFmtId="171" fontId="47" fillId="8" borderId="15" xfId="0" applyNumberFormat="1" applyFont="1" applyFill="1" applyBorder="1" applyAlignment="1"/>
    <xf numFmtId="0" fontId="47" fillId="8" borderId="12" xfId="0" applyFont="1" applyFill="1" applyBorder="1" applyAlignment="1"/>
    <xf numFmtId="169" fontId="47" fillId="8" borderId="13" xfId="0" applyNumberFormat="1" applyFont="1" applyFill="1" applyBorder="1" applyAlignment="1"/>
    <xf numFmtId="168" fontId="47" fillId="0" borderId="2" xfId="0" applyNumberFormat="1" applyFont="1" applyFill="1" applyBorder="1" applyAlignment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90">
    <dxf>
      <font>
        <color rgb="FF000000"/>
      </font>
    </dxf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</dxfs>
  <tableStyles count="0" defaultTableStyle="TableStyleMedium2" defaultPivotStyle="PivotStyleLight16"/>
  <colors>
    <mruColors>
      <color rgb="FFFFFFCC"/>
      <color rgb="FFFFE1E1"/>
      <color rgb="FFFFC1C1"/>
      <color rgb="FF7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0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625" t="s">
        <v>0</v>
      </c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6"/>
      <c r="P24" s="626"/>
      <c r="Q24" s="626"/>
    </row>
    <row r="25" spans="2:17" ht="25.5">
      <c r="B25" s="627" t="s">
        <v>1942</v>
      </c>
      <c r="C25" s="626"/>
      <c r="D25" s="626"/>
      <c r="E25" s="626"/>
      <c r="F25" s="626"/>
      <c r="G25" s="626"/>
      <c r="H25" s="626"/>
      <c r="I25" s="626"/>
      <c r="J25" s="626"/>
      <c r="K25" s="626"/>
      <c r="L25" s="626"/>
      <c r="M25" s="626"/>
      <c r="N25" s="626"/>
      <c r="O25" s="626"/>
      <c r="P25" s="626"/>
      <c r="Q25" s="626"/>
    </row>
    <row r="26" spans="2:17" ht="23.25">
      <c r="B26" s="628" t="str">
        <f ca="1">"As of "&amp;TEXT(TODAY(),"mm/dd/yy")</f>
        <v>As of 09/24/26</v>
      </c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1665-7FF2-41CB-B1A7-A1C671586FB2}">
  <sheetPr>
    <pageSetUpPr fitToPage="1"/>
  </sheetPr>
  <dimension ref="A1:H69"/>
  <sheetViews>
    <sheetView showGridLines="0" view="pageBreakPreview" topLeftCell="A9" zoomScale="130" zoomScaleNormal="100" zoomScaleSheetLayoutView="130" workbookViewId="0"/>
  </sheetViews>
  <sheetFormatPr defaultRowHeight="15"/>
  <cols>
    <col min="1" max="1" width="1.28515625" customWidth="1"/>
    <col min="2" max="2" width="47.5703125" customWidth="1"/>
    <col min="3" max="5" width="14" customWidth="1"/>
    <col min="6" max="6" width="8.7109375" customWidth="1"/>
    <col min="7" max="7" width="11.85546875" customWidth="1"/>
    <col min="8" max="8" width="11" customWidth="1"/>
  </cols>
  <sheetData>
    <row r="1" spans="1:8">
      <c r="A1" s="452"/>
      <c r="B1" s="452"/>
      <c r="C1" s="452"/>
      <c r="D1" s="452"/>
      <c r="E1" s="452"/>
      <c r="F1" s="452"/>
      <c r="G1" s="452"/>
      <c r="H1" s="452"/>
    </row>
    <row r="2" spans="1:8" ht="16.5">
      <c r="A2" s="452"/>
      <c r="B2" s="518" t="str">
        <f>Cover!$B$24</f>
        <v>Keystone Bookkeepers</v>
      </c>
      <c r="C2" s="452"/>
      <c r="D2" s="452"/>
      <c r="E2" s="452"/>
      <c r="F2" s="452"/>
      <c r="G2" s="452"/>
      <c r="H2" s="452"/>
    </row>
    <row r="3" spans="1:8">
      <c r="A3" s="452"/>
      <c r="B3" s="519" t="s">
        <v>1998</v>
      </c>
      <c r="C3" s="520"/>
      <c r="D3" s="520"/>
      <c r="E3" s="520"/>
      <c r="F3" s="452"/>
      <c r="G3" s="452" t="s">
        <v>276</v>
      </c>
      <c r="H3" s="534">
        <v>1</v>
      </c>
    </row>
    <row r="4" spans="1:8">
      <c r="A4" s="452"/>
      <c r="B4" s="452"/>
      <c r="C4" s="452"/>
      <c r="D4" s="452"/>
      <c r="E4" s="452"/>
      <c r="F4" s="452"/>
      <c r="G4" s="452"/>
      <c r="H4" s="452"/>
    </row>
    <row r="5" spans="1:8">
      <c r="B5" s="370" t="s">
        <v>1999</v>
      </c>
      <c r="C5" s="371" t="s">
        <v>2025</v>
      </c>
    </row>
    <row r="6" spans="1:8">
      <c r="A6" s="452"/>
      <c r="B6" s="542" t="s">
        <v>2028</v>
      </c>
      <c r="C6" s="47">
        <f>'Revenue Analysis'!$E$16</f>
        <v>2942.9432999999999</v>
      </c>
      <c r="D6" s="542"/>
      <c r="E6" s="542"/>
      <c r="F6" s="452"/>
      <c r="G6" s="452"/>
      <c r="H6" s="452"/>
    </row>
    <row r="7" spans="1:8">
      <c r="A7" s="452"/>
      <c r="B7" s="559" t="s">
        <v>2035</v>
      </c>
      <c r="C7" s="549">
        <f>IFERROR($C$8/$C$6,0)</f>
        <v>1.0193876314232762</v>
      </c>
      <c r="D7" s="542"/>
      <c r="E7" s="542"/>
      <c r="F7" s="452"/>
      <c r="G7" s="452"/>
      <c r="H7" s="452"/>
    </row>
    <row r="8" spans="1:8">
      <c r="A8" s="452"/>
      <c r="B8" s="521" t="s">
        <v>2029</v>
      </c>
      <c r="C8" s="561">
        <v>3000</v>
      </c>
      <c r="D8" s="453"/>
      <c r="E8" s="453"/>
      <c r="F8" s="452"/>
      <c r="G8" s="452"/>
      <c r="H8" s="452"/>
    </row>
    <row r="9" spans="1:8">
      <c r="A9" s="452"/>
      <c r="B9" s="560" t="s">
        <v>2000</v>
      </c>
      <c r="C9" s="435">
        <v>500</v>
      </c>
      <c r="D9" s="452"/>
      <c r="E9" s="452"/>
      <c r="F9" s="452"/>
      <c r="G9" s="452"/>
      <c r="H9" s="452"/>
    </row>
    <row r="10" spans="1:8">
      <c r="A10" s="452"/>
      <c r="B10" s="537" t="s">
        <v>2024</v>
      </c>
      <c r="C10" s="526">
        <f>C8-C9</f>
        <v>2500</v>
      </c>
      <c r="D10" s="453"/>
      <c r="E10" s="453"/>
      <c r="F10" s="452"/>
      <c r="G10" s="452"/>
      <c r="H10" s="452"/>
    </row>
    <row r="11" spans="1:8" ht="3.95" customHeight="1">
      <c r="A11" s="452"/>
      <c r="B11" s="540"/>
      <c r="C11" s="541"/>
      <c r="D11" s="453"/>
      <c r="E11" s="453"/>
      <c r="F11" s="452"/>
      <c r="G11" s="452"/>
      <c r="H11" s="452"/>
    </row>
    <row r="12" spans="1:8">
      <c r="A12" s="452"/>
      <c r="B12" s="452" t="s">
        <v>2043</v>
      </c>
      <c r="C12" s="435">
        <v>60000</v>
      </c>
      <c r="D12" s="452"/>
      <c r="E12" s="452"/>
      <c r="F12" s="452"/>
      <c r="G12" s="452"/>
      <c r="H12" s="452"/>
    </row>
    <row r="13" spans="1:8">
      <c r="A13" s="452"/>
      <c r="B13" s="559" t="s">
        <v>2044</v>
      </c>
      <c r="C13" s="83">
        <f>$C$8</f>
        <v>3000</v>
      </c>
      <c r="D13" s="542"/>
      <c r="E13" s="542"/>
      <c r="F13" s="452"/>
      <c r="G13" s="452"/>
      <c r="H13" s="452"/>
    </row>
    <row r="14" spans="1:8">
      <c r="A14" s="452"/>
      <c r="B14" s="559" t="s">
        <v>2045</v>
      </c>
      <c r="C14" s="83">
        <f>$C$9</f>
        <v>500</v>
      </c>
      <c r="D14" s="542"/>
      <c r="E14" s="542"/>
      <c r="F14" s="452"/>
      <c r="G14" s="452"/>
      <c r="H14" s="452"/>
    </row>
    <row r="15" spans="1:8">
      <c r="A15" s="452"/>
      <c r="B15" s="537" t="s">
        <v>2001</v>
      </c>
      <c r="C15" s="551">
        <f>C12+C13-C14</f>
        <v>62500</v>
      </c>
      <c r="D15" s="540"/>
      <c r="E15" s="540"/>
      <c r="F15" s="452"/>
      <c r="G15" s="452"/>
      <c r="H15" s="452"/>
    </row>
    <row r="16" spans="1:8">
      <c r="A16" s="452"/>
      <c r="B16" s="452" t="s">
        <v>2002</v>
      </c>
      <c r="C16" s="528">
        <f>IFERROR($C$10/$C$15,0)</f>
        <v>0.04</v>
      </c>
      <c r="D16" s="452"/>
      <c r="E16" s="452"/>
      <c r="F16" s="452"/>
      <c r="G16" s="452"/>
      <c r="H16" s="452"/>
    </row>
    <row r="17" spans="1:8">
      <c r="A17" s="452"/>
      <c r="B17" s="452" t="s">
        <v>2003</v>
      </c>
      <c r="C17" s="433">
        <f>$C$8</f>
        <v>3000</v>
      </c>
      <c r="D17" s="452"/>
      <c r="E17" s="452"/>
      <c r="F17" s="452"/>
      <c r="G17" s="452"/>
      <c r="H17" s="452"/>
    </row>
    <row r="18" spans="1:8">
      <c r="A18" s="452"/>
      <c r="B18" s="542" t="s">
        <v>2051</v>
      </c>
      <c r="C18" s="543">
        <f>(1-$C$16)*$C$15</f>
        <v>60000</v>
      </c>
      <c r="D18" s="540"/>
      <c r="E18" s="540"/>
      <c r="F18" s="452"/>
      <c r="G18" s="452"/>
      <c r="H18" s="452"/>
    </row>
    <row r="19" spans="1:8" ht="3.95" customHeight="1">
      <c r="A19" s="452"/>
      <c r="B19" s="553"/>
      <c r="C19" s="154"/>
      <c r="D19" s="542"/>
      <c r="E19" s="542"/>
      <c r="F19" s="452"/>
      <c r="G19" s="452"/>
      <c r="H19" s="452"/>
    </row>
    <row r="20" spans="1:8">
      <c r="A20" s="452"/>
      <c r="B20" s="542" t="s">
        <v>2043</v>
      </c>
      <c r="C20" s="86">
        <f>$C$12</f>
        <v>60000</v>
      </c>
      <c r="D20" s="542"/>
      <c r="E20" s="542"/>
      <c r="F20" s="452"/>
      <c r="G20" s="452"/>
      <c r="H20" s="452"/>
    </row>
    <row r="21" spans="1:8">
      <c r="A21" s="452"/>
      <c r="B21" s="559" t="s">
        <v>2045</v>
      </c>
      <c r="C21" s="83">
        <f>$C$14</f>
        <v>500</v>
      </c>
      <c r="D21" s="542"/>
      <c r="E21" s="542"/>
      <c r="F21" s="452"/>
      <c r="G21" s="452"/>
      <c r="H21" s="452"/>
    </row>
    <row r="22" spans="1:8">
      <c r="A22" s="452"/>
      <c r="B22" s="537" t="s">
        <v>2052</v>
      </c>
      <c r="C22" s="551">
        <f>C20-C21</f>
        <v>59500</v>
      </c>
      <c r="D22" s="540"/>
      <c r="E22" s="540"/>
      <c r="F22" s="452"/>
      <c r="G22" s="452"/>
      <c r="H22" s="452"/>
    </row>
    <row r="23" spans="1:8" ht="3.95" customHeight="1">
      <c r="A23" s="452"/>
      <c r="B23" s="452"/>
      <c r="C23" s="433"/>
      <c r="D23" s="452"/>
      <c r="E23" s="452"/>
      <c r="F23" s="452"/>
      <c r="G23" s="452"/>
      <c r="H23" s="452"/>
    </row>
    <row r="24" spans="1:8">
      <c r="A24" s="452"/>
      <c r="B24" s="370" t="s">
        <v>2004</v>
      </c>
      <c r="C24" s="371" t="s">
        <v>2025</v>
      </c>
      <c r="D24" s="371" t="s">
        <v>2026</v>
      </c>
      <c r="E24" s="371" t="s">
        <v>2027</v>
      </c>
      <c r="F24" s="452"/>
      <c r="G24" s="452"/>
      <c r="H24" s="452"/>
    </row>
    <row r="25" spans="1:8">
      <c r="A25" s="452"/>
      <c r="B25" s="452" t="s">
        <v>2005</v>
      </c>
      <c r="C25" s="539">
        <v>1</v>
      </c>
      <c r="D25" s="539">
        <v>2</v>
      </c>
      <c r="E25" s="539">
        <v>3</v>
      </c>
      <c r="F25" s="452"/>
      <c r="G25" s="452"/>
      <c r="H25" s="452"/>
    </row>
    <row r="26" spans="1:8">
      <c r="A26" s="452"/>
      <c r="B26" s="452" t="s">
        <v>2006</v>
      </c>
      <c r="C26" s="431">
        <f>$C$17*C$25</f>
        <v>3000</v>
      </c>
      <c r="D26" s="431">
        <f>$C$17*D$25</f>
        <v>6000</v>
      </c>
      <c r="E26" s="431">
        <f>$C$17*E$25</f>
        <v>9000</v>
      </c>
      <c r="F26" s="452"/>
      <c r="G26" s="452"/>
      <c r="H26" s="452"/>
    </row>
    <row r="27" spans="1:8">
      <c r="A27" s="452"/>
      <c r="B27" s="452" t="s">
        <v>2007</v>
      </c>
      <c r="C27" s="529">
        <v>1</v>
      </c>
      <c r="D27" s="530">
        <f>$C$27</f>
        <v>1</v>
      </c>
      <c r="E27" s="530">
        <f>$C$27</f>
        <v>1</v>
      </c>
      <c r="F27" s="452"/>
      <c r="G27" s="452"/>
      <c r="H27" s="452"/>
    </row>
    <row r="28" spans="1:8">
      <c r="A28" s="452"/>
      <c r="B28" s="524" t="s">
        <v>2008</v>
      </c>
      <c r="C28" s="526">
        <f>C26*$C$27</f>
        <v>3000</v>
      </c>
      <c r="D28" s="526">
        <f>D26*$C$27</f>
        <v>6000</v>
      </c>
      <c r="E28" s="526">
        <f>E26*$C$27</f>
        <v>9000</v>
      </c>
      <c r="F28" s="452"/>
      <c r="G28" s="452"/>
      <c r="H28" s="452"/>
    </row>
    <row r="29" spans="1:8">
      <c r="A29" s="452"/>
      <c r="B29" s="560" t="s">
        <v>2009</v>
      </c>
      <c r="C29" s="433">
        <f>$C$28</f>
        <v>3000</v>
      </c>
      <c r="D29" s="433">
        <f>$C$28</f>
        <v>3000</v>
      </c>
      <c r="E29" s="433">
        <f>$C$28</f>
        <v>3000</v>
      </c>
      <c r="F29" s="452"/>
      <c r="G29" s="452"/>
      <c r="H29" s="452"/>
    </row>
    <row r="30" spans="1:8">
      <c r="A30" s="452"/>
      <c r="B30" s="521" t="s">
        <v>2010</v>
      </c>
      <c r="C30" s="525">
        <f>C28-C29</f>
        <v>0</v>
      </c>
      <c r="D30" s="525">
        <f>D28-D29</f>
        <v>3000</v>
      </c>
      <c r="E30" s="527">
        <f>E28-E29</f>
        <v>6000</v>
      </c>
      <c r="F30" s="452"/>
      <c r="G30" s="452"/>
      <c r="H30" s="452"/>
    </row>
    <row r="31" spans="1:8" ht="3.95" customHeight="1">
      <c r="A31" s="452"/>
      <c r="B31" s="452"/>
      <c r="C31" s="452"/>
      <c r="D31" s="452"/>
      <c r="E31" s="452"/>
      <c r="F31" s="452"/>
      <c r="G31" s="452"/>
      <c r="H31" s="452"/>
    </row>
    <row r="32" spans="1:8" ht="32.25" customHeight="1">
      <c r="A32" s="452"/>
      <c r="B32" s="536" t="s">
        <v>2076</v>
      </c>
      <c r="C32" s="535" t="s">
        <v>2075</v>
      </c>
      <c r="D32" s="535" t="str">
        <f>D$24</f>
        <v>2.0x Valuation</v>
      </c>
      <c r="E32" s="535" t="str">
        <f>E$24</f>
        <v>3.0x Valuation</v>
      </c>
      <c r="F32" s="452"/>
      <c r="G32" s="452"/>
      <c r="H32" s="452"/>
    </row>
    <row r="33" spans="1:8">
      <c r="A33" s="452"/>
      <c r="B33" s="452" t="s">
        <v>2012</v>
      </c>
      <c r="C33" s="533">
        <v>0.5</v>
      </c>
      <c r="D33" s="431">
        <f t="shared" ref="D33:E35" si="0">$C$22*(1+(D$25-1)*$C33)+$C$17*D$25</f>
        <v>95250</v>
      </c>
      <c r="E33" s="431">
        <f t="shared" si="0"/>
        <v>128000</v>
      </c>
      <c r="F33" s="452"/>
      <c r="G33" s="431"/>
      <c r="H33" s="452"/>
    </row>
    <row r="34" spans="1:8">
      <c r="A34" s="452"/>
      <c r="B34" s="452" t="s">
        <v>2013</v>
      </c>
      <c r="C34" s="533">
        <v>1</v>
      </c>
      <c r="D34" s="430">
        <f t="shared" si="0"/>
        <v>125000</v>
      </c>
      <c r="E34" s="430">
        <f t="shared" si="0"/>
        <v>187500</v>
      </c>
      <c r="F34" s="452"/>
      <c r="G34" s="431"/>
      <c r="H34" s="452"/>
    </row>
    <row r="35" spans="1:8">
      <c r="A35" s="452"/>
      <c r="B35" s="452" t="s">
        <v>2014</v>
      </c>
      <c r="C35" s="533">
        <v>1.5</v>
      </c>
      <c r="D35" s="430">
        <f t="shared" si="0"/>
        <v>154750</v>
      </c>
      <c r="E35" s="430">
        <f t="shared" si="0"/>
        <v>247000</v>
      </c>
      <c r="F35" s="452"/>
      <c r="G35" s="452"/>
      <c r="H35" s="452"/>
    </row>
    <row r="36" spans="1:8" ht="3.95" customHeight="1">
      <c r="A36" s="452"/>
      <c r="B36" s="452"/>
      <c r="C36" s="452"/>
      <c r="D36" s="452"/>
      <c r="E36" s="452"/>
      <c r="F36" s="452"/>
      <c r="G36" s="452"/>
      <c r="H36" s="452"/>
    </row>
    <row r="37" spans="1:8">
      <c r="A37" s="452"/>
      <c r="B37" s="370" t="s">
        <v>2077</v>
      </c>
      <c r="C37" s="371"/>
      <c r="D37" s="371" t="str">
        <f>+D$32</f>
        <v>2.0x Valuation</v>
      </c>
      <c r="E37" s="371" t="str">
        <f>+E$32</f>
        <v>3.0x Valuation</v>
      </c>
      <c r="F37" s="452"/>
      <c r="G37" s="452"/>
      <c r="H37" s="452"/>
    </row>
    <row r="38" spans="1:8">
      <c r="A38" s="452"/>
      <c r="B38" s="562" t="str">
        <f>$B33</f>
        <v>Topkey Grows Half as Fast as Keystone</v>
      </c>
      <c r="C38" s="542"/>
      <c r="D38" s="543">
        <f t="shared" ref="D38:E40" si="1">$C$9+$C$16*D33</f>
        <v>4310</v>
      </c>
      <c r="E38" s="543">
        <f t="shared" si="1"/>
        <v>5620</v>
      </c>
      <c r="F38" s="452"/>
      <c r="G38" s="452"/>
      <c r="H38" s="452"/>
    </row>
    <row r="39" spans="1:8">
      <c r="A39" s="452"/>
      <c r="B39" s="562" t="str">
        <f>$B34</f>
        <v>Topkey Keeps Pace with Keystone</v>
      </c>
      <c r="C39" s="542"/>
      <c r="D39" s="154">
        <f t="shared" si="1"/>
        <v>5500</v>
      </c>
      <c r="E39" s="154">
        <f t="shared" si="1"/>
        <v>8000</v>
      </c>
      <c r="F39" s="452"/>
      <c r="G39" s="452"/>
      <c r="H39" s="452"/>
    </row>
    <row r="40" spans="1:8">
      <c r="A40" s="452"/>
      <c r="B40" s="562" t="str">
        <f>$B35</f>
        <v>Topkey Outgrows Keystone</v>
      </c>
      <c r="C40" s="542"/>
      <c r="D40" s="154">
        <f t="shared" si="1"/>
        <v>6690</v>
      </c>
      <c r="E40" s="154">
        <f t="shared" si="1"/>
        <v>10380</v>
      </c>
      <c r="F40" s="452"/>
      <c r="G40" s="452"/>
      <c r="H40" s="452"/>
    </row>
    <row r="41" spans="1:8" ht="3.95" customHeight="1">
      <c r="A41" s="452"/>
      <c r="B41" s="452"/>
      <c r="C41" s="452"/>
      <c r="D41" s="452"/>
      <c r="E41" s="452"/>
      <c r="F41" s="452"/>
      <c r="G41" s="452"/>
      <c r="H41" s="452"/>
    </row>
    <row r="42" spans="1:8">
      <c r="A42" s="452"/>
      <c r="B42" s="558" t="s">
        <v>2079</v>
      </c>
      <c r="C42" s="76"/>
      <c r="D42" s="371" t="str">
        <f>+D$32</f>
        <v>2.0x Valuation</v>
      </c>
      <c r="E42" s="371" t="str">
        <f>+E$32</f>
        <v>3.0x Valuation</v>
      </c>
      <c r="F42" s="452"/>
      <c r="G42" s="452"/>
      <c r="H42" s="452"/>
    </row>
    <row r="43" spans="1:8">
      <c r="A43" s="452"/>
      <c r="B43" s="580" t="str">
        <f>$B33</f>
        <v>Topkey Grows Half as Fast as Keystone</v>
      </c>
      <c r="C43" s="581"/>
      <c r="D43" s="582">
        <f t="shared" ref="D43:E45" si="2">D38-D$28</f>
        <v>-1690</v>
      </c>
      <c r="E43" s="583">
        <f t="shared" si="2"/>
        <v>-3380</v>
      </c>
      <c r="F43" s="452"/>
      <c r="G43" s="452"/>
      <c r="H43" s="452"/>
    </row>
    <row r="44" spans="1:8">
      <c r="A44" s="452"/>
      <c r="B44" s="531" t="str">
        <f>$B34</f>
        <v>Topkey Keeps Pace with Keystone</v>
      </c>
      <c r="C44" s="522"/>
      <c r="D44" s="554">
        <f t="shared" si="2"/>
        <v>-500</v>
      </c>
      <c r="E44" s="555">
        <f t="shared" si="2"/>
        <v>-1000</v>
      </c>
      <c r="F44" s="452"/>
      <c r="G44" s="452"/>
      <c r="H44" s="452"/>
    </row>
    <row r="45" spans="1:8">
      <c r="A45" s="452"/>
      <c r="B45" s="532" t="str">
        <f>$B35</f>
        <v>Topkey Outgrows Keystone</v>
      </c>
      <c r="C45" s="523"/>
      <c r="D45" s="556">
        <f t="shared" si="2"/>
        <v>690</v>
      </c>
      <c r="E45" s="557">
        <f t="shared" si="2"/>
        <v>1380</v>
      </c>
      <c r="F45" s="452"/>
      <c r="G45" s="452"/>
      <c r="H45" s="452"/>
    </row>
    <row r="46" spans="1:8" ht="3.95" customHeight="1">
      <c r="A46" s="452"/>
      <c r="B46" s="452"/>
      <c r="C46" s="452"/>
      <c r="D46" s="452"/>
      <c r="E46" s="452"/>
      <c r="F46" s="452"/>
      <c r="G46" s="452"/>
      <c r="H46" s="452"/>
    </row>
    <row r="47" spans="1:8">
      <c r="A47" s="452"/>
      <c r="B47" s="558" t="s">
        <v>2078</v>
      </c>
      <c r="C47" s="76"/>
      <c r="D47" s="371" t="str">
        <f>+D$32</f>
        <v>2.0x Valuation</v>
      </c>
      <c r="E47" s="371" t="str">
        <f>+E$32</f>
        <v>3.0x Valuation</v>
      </c>
      <c r="F47" s="452"/>
      <c r="G47" s="452"/>
      <c r="H47" s="452"/>
    </row>
    <row r="48" spans="1:8">
      <c r="A48" s="452"/>
      <c r="B48" s="542" t="s">
        <v>2053</v>
      </c>
      <c r="C48" s="542"/>
      <c r="D48" s="86">
        <f>D$28</f>
        <v>6000</v>
      </c>
      <c r="E48" s="86">
        <f>E$28</f>
        <v>9000</v>
      </c>
      <c r="F48" s="452"/>
      <c r="G48" s="452"/>
      <c r="H48" s="452"/>
    </row>
    <row r="49" spans="1:8">
      <c r="A49" s="452"/>
      <c r="B49" s="559" t="s">
        <v>2057</v>
      </c>
      <c r="C49" s="542"/>
      <c r="D49" s="83">
        <f>$C$9</f>
        <v>500</v>
      </c>
      <c r="E49" s="83">
        <f>$C$9</f>
        <v>500</v>
      </c>
      <c r="F49" s="452"/>
      <c r="G49" s="452"/>
      <c r="H49" s="452"/>
    </row>
    <row r="50" spans="1:8">
      <c r="A50" s="452"/>
      <c r="B50" s="537" t="s">
        <v>2058</v>
      </c>
      <c r="C50" s="537"/>
      <c r="D50" s="575">
        <f>D48-D49</f>
        <v>5500</v>
      </c>
      <c r="E50" s="575">
        <f>E48-E49</f>
        <v>8500</v>
      </c>
      <c r="F50" s="452"/>
      <c r="G50" s="452"/>
      <c r="H50" s="452"/>
    </row>
    <row r="51" spans="1:8">
      <c r="A51" s="452"/>
      <c r="B51" s="542" t="s">
        <v>2054</v>
      </c>
      <c r="C51" s="542"/>
      <c r="D51" s="154">
        <f>IFERROR(D50/$C$16,0)</f>
        <v>137500</v>
      </c>
      <c r="E51" s="154">
        <f>IFERROR(E50/$C$16,0)</f>
        <v>212500</v>
      </c>
      <c r="F51" s="452"/>
      <c r="G51" s="452"/>
      <c r="H51" s="452"/>
    </row>
    <row r="52" spans="1:8">
      <c r="A52" s="452"/>
      <c r="B52" s="559" t="s">
        <v>2055</v>
      </c>
      <c r="C52" s="542"/>
      <c r="D52" s="154">
        <f>$C$17*D$25</f>
        <v>6000</v>
      </c>
      <c r="E52" s="154">
        <f>$C$17*E$25</f>
        <v>9000</v>
      </c>
      <c r="F52" s="452"/>
      <c r="G52" s="452"/>
      <c r="H52" s="452"/>
    </row>
    <row r="53" spans="1:8">
      <c r="A53" s="452"/>
      <c r="B53" s="576" t="s">
        <v>2059</v>
      </c>
      <c r="C53" s="576"/>
      <c r="D53" s="577">
        <f>D51-D52</f>
        <v>131500</v>
      </c>
      <c r="E53" s="577">
        <f>E51-E52</f>
        <v>203500</v>
      </c>
      <c r="F53" s="452"/>
      <c r="G53" s="452"/>
      <c r="H53" s="452"/>
    </row>
    <row r="54" spans="1:8">
      <c r="A54" s="452"/>
      <c r="B54" s="563" t="s">
        <v>2056</v>
      </c>
      <c r="C54" s="564"/>
      <c r="D54" s="565">
        <f>IFERROR((D53/$C$22-1)/(D$25-1),0)</f>
        <v>1.2100840336134455</v>
      </c>
      <c r="E54" s="566">
        <f>IFERROR((E53/$C$22-1)/(E$25-1),0)</f>
        <v>1.2100840336134453</v>
      </c>
      <c r="F54" s="452"/>
      <c r="G54" s="452"/>
      <c r="H54" s="452"/>
    </row>
    <row r="55" spans="1:8">
      <c r="A55" s="452"/>
      <c r="B55" s="542"/>
      <c r="C55" s="542"/>
      <c r="D55" s="542"/>
      <c r="E55" s="542"/>
      <c r="F55" s="452"/>
      <c r="G55" s="452"/>
      <c r="H55" s="452"/>
    </row>
    <row r="56" spans="1:8">
      <c r="A56" s="452"/>
      <c r="B56" s="416" t="s">
        <v>2015</v>
      </c>
      <c r="C56" s="416"/>
      <c r="D56" s="416"/>
      <c r="E56" s="416"/>
      <c r="F56" s="452"/>
      <c r="G56" s="452"/>
      <c r="H56" s="452"/>
    </row>
    <row r="57" spans="1:8">
      <c r="A57" s="452"/>
      <c r="B57" s="447" t="s">
        <v>2016</v>
      </c>
      <c r="C57" s="447" t="s">
        <v>1197</v>
      </c>
      <c r="D57" s="447" t="s">
        <v>287</v>
      </c>
      <c r="E57" s="452"/>
      <c r="F57" s="452"/>
      <c r="G57" s="452"/>
      <c r="H57" s="452"/>
    </row>
    <row r="58" spans="1:8">
      <c r="A58" s="452"/>
      <c r="B58" s="542" t="s">
        <v>2030</v>
      </c>
      <c r="C58" s="545">
        <f>$C$6</f>
        <v>2942.9432999999999</v>
      </c>
      <c r="D58" s="542" t="s">
        <v>2031</v>
      </c>
      <c r="E58" s="452"/>
      <c r="F58" s="452"/>
      <c r="G58" s="452"/>
      <c r="H58" s="452"/>
    </row>
    <row r="59" spans="1:8">
      <c r="A59" s="452"/>
      <c r="B59" s="542" t="s">
        <v>2032</v>
      </c>
      <c r="C59" s="550">
        <f>$C$7</f>
        <v>1.0193876314232762</v>
      </c>
      <c r="D59" s="542" t="s">
        <v>2036</v>
      </c>
      <c r="E59" s="452"/>
      <c r="F59" s="452"/>
      <c r="G59" s="452"/>
      <c r="H59" s="452"/>
    </row>
    <row r="60" spans="1:8">
      <c r="A60" s="452"/>
      <c r="B60" s="542" t="s">
        <v>2033</v>
      </c>
      <c r="C60" s="545">
        <f>$C$8</f>
        <v>3000</v>
      </c>
      <c r="D60" s="542" t="s">
        <v>2037</v>
      </c>
      <c r="E60" s="452"/>
      <c r="F60" s="452"/>
      <c r="G60" s="452"/>
      <c r="H60" s="452"/>
    </row>
    <row r="61" spans="1:8">
      <c r="A61" s="452"/>
      <c r="B61" s="542" t="s">
        <v>2017</v>
      </c>
      <c r="C61" s="545">
        <f>$C$9</f>
        <v>500</v>
      </c>
      <c r="D61" s="542" t="s">
        <v>2018</v>
      </c>
      <c r="E61" s="452"/>
      <c r="F61" s="452"/>
      <c r="G61" s="452"/>
      <c r="H61" s="452"/>
    </row>
    <row r="62" spans="1:8">
      <c r="A62" s="452"/>
      <c r="B62" s="542" t="s">
        <v>2046</v>
      </c>
      <c r="C62" s="546">
        <f>$C$12</f>
        <v>60000</v>
      </c>
      <c r="D62" s="542" t="s">
        <v>2047</v>
      </c>
      <c r="E62" s="452"/>
      <c r="F62" s="452"/>
      <c r="G62" s="452"/>
      <c r="H62" s="452"/>
    </row>
    <row r="63" spans="1:8">
      <c r="A63" s="452"/>
      <c r="B63" s="542" t="s">
        <v>2020</v>
      </c>
      <c r="C63" s="547">
        <f>$C$27</f>
        <v>1</v>
      </c>
      <c r="D63" s="542" t="s">
        <v>2021</v>
      </c>
      <c r="E63" s="452"/>
      <c r="F63" s="452"/>
      <c r="G63" s="452"/>
      <c r="H63" s="452"/>
    </row>
    <row r="64" spans="1:8">
      <c r="A64" s="452"/>
      <c r="B64" s="542" t="s">
        <v>2038</v>
      </c>
      <c r="C64" s="548">
        <f>$C$33</f>
        <v>0.5</v>
      </c>
      <c r="D64" s="542" t="s">
        <v>2039</v>
      </c>
      <c r="E64" s="452"/>
      <c r="F64" s="452"/>
      <c r="G64" s="452"/>
      <c r="H64" s="452"/>
    </row>
    <row r="65" spans="1:8">
      <c r="A65" s="452"/>
      <c r="B65" s="542" t="s">
        <v>2040</v>
      </c>
      <c r="C65" s="548">
        <f>$C$34</f>
        <v>1</v>
      </c>
      <c r="D65" s="542" t="s">
        <v>2041</v>
      </c>
      <c r="E65" s="452"/>
      <c r="F65" s="452"/>
      <c r="G65" s="452"/>
      <c r="H65" s="452"/>
    </row>
    <row r="66" spans="1:8">
      <c r="A66" s="452"/>
      <c r="B66" s="542" t="s">
        <v>2042</v>
      </c>
      <c r="C66" s="548">
        <f>$C$35</f>
        <v>1.5</v>
      </c>
      <c r="D66" s="542" t="s">
        <v>2022</v>
      </c>
      <c r="E66" s="452"/>
      <c r="F66" s="452"/>
      <c r="G66" s="452"/>
      <c r="H66" s="452"/>
    </row>
    <row r="67" spans="1:8">
      <c r="A67" s="452"/>
      <c r="B67" s="542" t="s">
        <v>2034</v>
      </c>
      <c r="C67" s="574" t="str">
        <f>D$25&amp;"x / "&amp;E$25&amp;"x"</f>
        <v>2x / 3x</v>
      </c>
      <c r="D67" s="542" t="s">
        <v>2023</v>
      </c>
      <c r="E67" s="452"/>
      <c r="F67" s="452"/>
      <c r="G67" s="452"/>
      <c r="H67" s="452"/>
    </row>
    <row r="68" spans="1:8">
      <c r="B68" s="542" t="s">
        <v>2048</v>
      </c>
      <c r="C68" s="545">
        <f>$C$22</f>
        <v>59500</v>
      </c>
      <c r="D68" s="542" t="s">
        <v>2049</v>
      </c>
    </row>
    <row r="69" spans="1:8">
      <c r="B69" s="542" t="s">
        <v>2019</v>
      </c>
      <c r="C69" s="545">
        <f>$C$15</f>
        <v>62500</v>
      </c>
      <c r="D69" s="542" t="s">
        <v>2050</v>
      </c>
    </row>
  </sheetData>
  <conditionalFormatting sqref="B6:E23 B25:E31 B33:E36 B38:E41 B43:E46 B48:E54">
    <cfRule type="expression" dxfId="89" priority="1">
      <formula>$H$3=1</formula>
    </cfRule>
  </conditionalFormatting>
  <pageMargins left="0.7" right="0.7" top="0.75" bottom="0.75" header="0.3" footer="0.3"/>
  <pageSetup scale="9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0BF-C87D-4061-B811-03B8C6B41CB1}">
  <dimension ref="A1:H184"/>
  <sheetViews>
    <sheetView showGridLines="0" tabSelected="1" view="pageBreakPreview" topLeftCell="A90" zoomScale="145" zoomScaleNormal="100" zoomScaleSheetLayoutView="145" workbookViewId="0">
      <selection activeCell="G18" sqref="G18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9" t="s">
        <v>2060</v>
      </c>
      <c r="C3" s="569"/>
      <c r="D3" s="569"/>
      <c r="E3" s="542"/>
      <c r="G3" s="542" t="s">
        <v>276</v>
      </c>
      <c r="H3" s="609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2090</v>
      </c>
      <c r="C5" s="371" t="s">
        <v>1197</v>
      </c>
      <c r="D5" s="542"/>
      <c r="E5" s="542"/>
      <c r="F5" s="370" t="s">
        <v>2141</v>
      </c>
      <c r="G5" s="2"/>
    </row>
    <row r="6" spans="1:8">
      <c r="A6" s="542"/>
      <c r="B6" s="570" t="s">
        <v>2086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2065</v>
      </c>
      <c r="C7" s="578">
        <v>5</v>
      </c>
      <c r="D7" s="542"/>
      <c r="E7" s="542"/>
      <c r="F7" s="542" t="s">
        <v>2142</v>
      </c>
    </row>
    <row r="8" spans="1:8" s="2" customFormat="1" ht="14.25">
      <c r="A8" s="542"/>
      <c r="B8" s="542" t="s">
        <v>2135</v>
      </c>
      <c r="C8" s="599">
        <v>261</v>
      </c>
      <c r="D8" s="542"/>
      <c r="E8" s="542"/>
      <c r="F8" s="85" t="s">
        <v>2143</v>
      </c>
    </row>
    <row r="9" spans="1:8" s="2" customFormat="1" ht="14.25">
      <c r="A9" s="542"/>
      <c r="B9" s="542" t="s">
        <v>2098</v>
      </c>
      <c r="C9" s="632">
        <f>C8*12</f>
        <v>3132</v>
      </c>
      <c r="D9" s="542"/>
      <c r="E9" s="542"/>
      <c r="F9" s="85"/>
    </row>
    <row r="10" spans="1:8" s="2" customFormat="1" ht="14.25">
      <c r="A10" s="542"/>
      <c r="B10" s="542" t="s">
        <v>2096</v>
      </c>
      <c r="C10" s="633">
        <f>IFERROR(C156/C9,0)</f>
        <v>19.157088122605366</v>
      </c>
      <c r="D10" s="542"/>
      <c r="E10" s="542"/>
      <c r="F10" s="542" t="s">
        <v>2439</v>
      </c>
    </row>
    <row r="11" spans="1:8" s="2" customFormat="1" ht="14.25">
      <c r="A11" s="542"/>
      <c r="B11" s="542" t="s">
        <v>2097</v>
      </c>
      <c r="C11" s="634">
        <f>C10</f>
        <v>19.157088122605366</v>
      </c>
      <c r="D11" s="542"/>
      <c r="E11" s="542"/>
      <c r="F11" s="542" t="s">
        <v>2144</v>
      </c>
    </row>
    <row r="12" spans="1:8" s="2" customFormat="1" ht="14.25">
      <c r="A12" s="542"/>
      <c r="B12" s="542" t="s">
        <v>2136</v>
      </c>
      <c r="C12" s="115">
        <v>325</v>
      </c>
      <c r="D12" s="542"/>
      <c r="E12" s="542"/>
      <c r="F12" s="85" t="s">
        <v>2145</v>
      </c>
    </row>
    <row r="13" spans="1:8" s="2" customFormat="1" ht="14.25">
      <c r="A13" s="542"/>
      <c r="B13" s="542" t="s">
        <v>2088</v>
      </c>
      <c r="C13" s="635">
        <f>C9/C12</f>
        <v>9.6369230769230771</v>
      </c>
      <c r="D13" s="542"/>
      <c r="E13" s="542"/>
      <c r="F13" s="542"/>
    </row>
    <row r="14" spans="1:8" s="2" customFormat="1" ht="14.25">
      <c r="A14" s="542"/>
      <c r="B14" s="542" t="s">
        <v>2089</v>
      </c>
      <c r="C14" s="115">
        <v>130</v>
      </c>
      <c r="D14" s="542"/>
      <c r="E14" s="542"/>
      <c r="F14" s="85" t="s">
        <v>2157</v>
      </c>
    </row>
    <row r="15" spans="1:8" s="2" customFormat="1" ht="14.25">
      <c r="A15" s="542"/>
      <c r="B15" s="579" t="s">
        <v>2093</v>
      </c>
      <c r="C15" s="598">
        <f>C14*$C$7</f>
        <v>650</v>
      </c>
      <c r="D15" s="542"/>
      <c r="E15" s="542"/>
      <c r="F15" s="542"/>
    </row>
    <row r="16" spans="1:8" s="2" customFormat="1" ht="14.25">
      <c r="A16" s="542"/>
      <c r="B16" s="589" t="s">
        <v>2095</v>
      </c>
      <c r="C16" s="593">
        <f>C15*C13</f>
        <v>6264</v>
      </c>
      <c r="D16" s="542"/>
      <c r="E16" s="542"/>
      <c r="F16" s="542"/>
    </row>
    <row r="17" spans="1:7" ht="3.95" customHeight="1">
      <c r="A17" s="542"/>
      <c r="B17" s="542"/>
      <c r="C17" s="578"/>
      <c r="D17" s="542"/>
      <c r="E17" s="542"/>
      <c r="F17" s="542"/>
      <c r="G17" s="2"/>
    </row>
    <row r="18" spans="1:7">
      <c r="A18" s="542"/>
      <c r="B18" s="645" t="s">
        <v>2091</v>
      </c>
      <c r="C18" s="570"/>
      <c r="D18" s="542"/>
      <c r="E18" s="542"/>
      <c r="F18" s="542"/>
      <c r="G18" s="2"/>
    </row>
    <row r="19" spans="1:7" ht="15" customHeight="1">
      <c r="A19" s="542"/>
      <c r="B19" s="542" t="s">
        <v>2032</v>
      </c>
      <c r="C19" s="646">
        <v>1</v>
      </c>
      <c r="D19" s="542"/>
      <c r="E19" s="542"/>
      <c r="F19" s="542" t="s">
        <v>2147</v>
      </c>
      <c r="G19" s="2"/>
    </row>
    <row r="20" spans="1:7" ht="15" customHeight="1">
      <c r="A20" s="542"/>
      <c r="B20" s="542" t="s">
        <v>2158</v>
      </c>
      <c r="C20" s="646">
        <v>1.25</v>
      </c>
      <c r="D20" s="542"/>
      <c r="E20" s="542"/>
      <c r="F20" s="542" t="s">
        <v>2159</v>
      </c>
      <c r="G20" s="2"/>
    </row>
    <row r="21" spans="1:7">
      <c r="A21" s="542"/>
      <c r="B21" s="542" t="s">
        <v>2083</v>
      </c>
      <c r="C21" s="584">
        <f>+'Steady-State Staffing'!AB8</f>
        <v>16.631472994350275</v>
      </c>
      <c r="D21" s="2"/>
      <c r="E21" s="542"/>
      <c r="F21" s="542" t="s">
        <v>2148</v>
      </c>
      <c r="G21" s="2"/>
    </row>
    <row r="22" spans="1:7">
      <c r="A22" s="542"/>
      <c r="B22" s="542" t="s">
        <v>2178</v>
      </c>
      <c r="C22" s="286">
        <v>3</v>
      </c>
      <c r="D22" s="2"/>
      <c r="E22" s="542"/>
      <c r="F22" s="542" t="s">
        <v>2440</v>
      </c>
      <c r="G22" s="2"/>
    </row>
    <row r="23" spans="1:7">
      <c r="A23" s="542"/>
      <c r="B23" s="579" t="s">
        <v>2082</v>
      </c>
      <c r="C23" s="643">
        <f>C22*12</f>
        <v>36</v>
      </c>
      <c r="D23" s="542"/>
      <c r="E23" s="542"/>
      <c r="F23" s="542" t="s">
        <v>2179</v>
      </c>
      <c r="G23" s="2"/>
    </row>
    <row r="24" spans="1:7">
      <c r="A24" s="542"/>
      <c r="B24" s="591" t="s">
        <v>2093</v>
      </c>
      <c r="C24" s="592">
        <f>C23*$C$7</f>
        <v>180</v>
      </c>
      <c r="D24" s="542"/>
      <c r="E24" s="542"/>
      <c r="F24" s="542"/>
      <c r="G24" s="2"/>
    </row>
    <row r="25" spans="1:7">
      <c r="A25" s="542"/>
      <c r="B25" s="589" t="s">
        <v>2095</v>
      </c>
      <c r="C25" s="594">
        <f>C24*C21</f>
        <v>2993.6651389830495</v>
      </c>
      <c r="D25" s="542"/>
      <c r="E25" s="542"/>
      <c r="F25" s="542"/>
      <c r="G25" s="2"/>
    </row>
    <row r="26" spans="1:7" ht="3.95" customHeight="1">
      <c r="A26" s="542"/>
      <c r="B26" s="2"/>
      <c r="C26" s="2"/>
      <c r="D26" s="542"/>
      <c r="E26" s="542"/>
      <c r="F26" s="542"/>
      <c r="G26" s="2"/>
    </row>
    <row r="27" spans="1:7" ht="12.75" customHeight="1">
      <c r="A27" s="542"/>
      <c r="B27" s="570" t="s">
        <v>2092</v>
      </c>
      <c r="C27" s="570"/>
      <c r="D27" s="542"/>
      <c r="E27" s="542"/>
      <c r="F27" s="542"/>
      <c r="G27" s="2"/>
    </row>
    <row r="28" spans="1:7" ht="12.75" customHeight="1">
      <c r="A28" s="542"/>
      <c r="B28" s="542" t="s">
        <v>2087</v>
      </c>
      <c r="C28" s="646">
        <v>3</v>
      </c>
      <c r="D28" s="542"/>
      <c r="E28" s="542"/>
      <c r="F28" s="542" t="s">
        <v>2149</v>
      </c>
      <c r="G28" s="2"/>
    </row>
    <row r="29" spans="1:7" ht="12.75" customHeight="1">
      <c r="A29" s="542"/>
      <c r="B29" s="542" t="s">
        <v>2137</v>
      </c>
      <c r="C29" s="46">
        <v>240</v>
      </c>
      <c r="D29" s="542"/>
      <c r="E29" s="542"/>
      <c r="F29" s="542" t="s">
        <v>2326</v>
      </c>
      <c r="G29" s="2"/>
    </row>
    <row r="30" spans="1:7" ht="3.95" customHeight="1">
      <c r="A30" s="542"/>
      <c r="B30" s="542"/>
      <c r="C30" s="585"/>
      <c r="D30" s="542"/>
      <c r="E30" s="542"/>
      <c r="F30" s="542"/>
      <c r="G30" s="2"/>
    </row>
    <row r="31" spans="1:7" s="586" customFormat="1" ht="12.75" customHeight="1">
      <c r="A31" s="542"/>
      <c r="B31" s="638" t="str">
        <f>+B21</f>
        <v>Avg. Revenue Per Client</v>
      </c>
      <c r="C31" s="587">
        <f>+C21</f>
        <v>16.631472994350275</v>
      </c>
      <c r="D31" s="542"/>
      <c r="E31" s="542"/>
      <c r="F31" s="542"/>
      <c r="G31" s="638"/>
    </row>
    <row r="32" spans="1:7" s="586" customFormat="1" ht="12.75" customHeight="1">
      <c r="A32" s="542"/>
      <c r="B32" s="644" t="s">
        <v>2304</v>
      </c>
      <c r="C32" s="653">
        <v>0</v>
      </c>
      <c r="D32" s="542"/>
      <c r="E32" s="542"/>
      <c r="F32" s="542" t="s">
        <v>2325</v>
      </c>
      <c r="G32" s="638"/>
    </row>
    <row r="33" spans="1:7" s="586" customFormat="1" ht="12.75" customHeight="1">
      <c r="A33" s="542"/>
      <c r="B33" s="60" t="s">
        <v>2085</v>
      </c>
      <c r="C33" s="383">
        <f>+C31+C32</f>
        <v>16.631472994350275</v>
      </c>
      <c r="D33" s="542"/>
      <c r="E33" s="542"/>
      <c r="F33" s="542"/>
      <c r="G33" s="638"/>
    </row>
    <row r="34" spans="1:7" s="586" customFormat="1" ht="3.95" customHeight="1">
      <c r="A34" s="542"/>
      <c r="B34" s="638"/>
      <c r="C34" s="638"/>
      <c r="D34" s="542"/>
      <c r="E34" s="542"/>
      <c r="F34" s="542"/>
      <c r="G34" s="638"/>
    </row>
    <row r="35" spans="1:7" s="586" customFormat="1" ht="12.75" customHeight="1">
      <c r="A35" s="542"/>
      <c r="B35" s="638" t="str">
        <f>+B23</f>
        <v>Annual Net Client Wins</v>
      </c>
      <c r="C35" s="83">
        <f>+C23</f>
        <v>36</v>
      </c>
      <c r="D35" s="542"/>
      <c r="E35" s="542"/>
      <c r="F35" s="542"/>
      <c r="G35" s="638"/>
    </row>
    <row r="36" spans="1:7" s="586" customFormat="1" ht="12.75" customHeight="1">
      <c r="A36" s="542"/>
      <c r="B36" s="644" t="s">
        <v>2084</v>
      </c>
      <c r="C36" s="115">
        <v>12</v>
      </c>
      <c r="D36" s="542"/>
      <c r="E36" s="542"/>
      <c r="F36" s="85" t="s">
        <v>2146</v>
      </c>
      <c r="G36" s="638"/>
    </row>
    <row r="37" spans="1:7" s="586" customFormat="1" ht="12.75" customHeight="1">
      <c r="A37" s="542"/>
      <c r="B37" s="104" t="s">
        <v>2094</v>
      </c>
      <c r="C37" s="588">
        <f>SUM(C35:C36)</f>
        <v>48</v>
      </c>
      <c r="D37" s="542"/>
      <c r="E37" s="542"/>
      <c r="F37" s="542"/>
      <c r="G37" s="638"/>
    </row>
    <row r="38" spans="1:7">
      <c r="A38" s="542"/>
      <c r="B38" s="591" t="s">
        <v>2093</v>
      </c>
      <c r="C38" s="592">
        <f>C37*$C$7</f>
        <v>240</v>
      </c>
      <c r="D38" s="542"/>
      <c r="E38" s="542"/>
      <c r="F38" s="542"/>
      <c r="G38" s="2"/>
    </row>
    <row r="39" spans="1:7">
      <c r="A39" s="542"/>
      <c r="B39" s="591" t="s">
        <v>2095</v>
      </c>
      <c r="C39" s="595">
        <f>C38*C33</f>
        <v>3991.5535186440661</v>
      </c>
      <c r="D39" s="542"/>
      <c r="E39" s="542"/>
      <c r="F39" s="542"/>
      <c r="G39" s="2"/>
    </row>
    <row r="40" spans="1:7">
      <c r="A40" s="542"/>
      <c r="B40" s="749" t="s">
        <v>2099</v>
      </c>
      <c r="C40" s="750">
        <f>C39-C25</f>
        <v>997.88837966101664</v>
      </c>
      <c r="D40" s="542"/>
      <c r="E40" s="542"/>
      <c r="F40" s="542"/>
      <c r="G40" s="2"/>
    </row>
    <row r="41" spans="1:7" s="586" customFormat="1" ht="3.95" customHeight="1">
      <c r="A41" s="542"/>
      <c r="B41" s="638"/>
      <c r="C41" s="638"/>
      <c r="D41" s="542"/>
      <c r="E41" s="542"/>
      <c r="F41" s="542"/>
      <c r="G41" s="638"/>
    </row>
    <row r="42" spans="1:7" s="586" customFormat="1" ht="15" customHeight="1">
      <c r="A42" s="542"/>
      <c r="B42" s="570" t="s">
        <v>2413</v>
      </c>
      <c r="C42" s="570"/>
      <c r="D42" s="542"/>
      <c r="E42" s="542"/>
      <c r="F42" s="452"/>
      <c r="G42" s="638"/>
    </row>
    <row r="43" spans="1:7" s="586" customFormat="1" ht="15" customHeight="1">
      <c r="A43" s="542"/>
      <c r="B43" s="747" t="s">
        <v>2328</v>
      </c>
      <c r="C43" s="748">
        <v>3</v>
      </c>
      <c r="D43" s="747"/>
      <c r="E43" s="542"/>
      <c r="F43" s="452" t="s">
        <v>2433</v>
      </c>
      <c r="G43" s="638"/>
    </row>
    <row r="44" spans="1:7" s="586" customFormat="1" ht="15" customHeight="1">
      <c r="A44" s="542"/>
      <c r="B44" s="747" t="s">
        <v>2329</v>
      </c>
      <c r="C44" s="751">
        <f>C152</f>
        <v>2998.5410200000001</v>
      </c>
      <c r="D44" s="747"/>
      <c r="E44" s="542"/>
      <c r="F44" s="452" t="s">
        <v>2445</v>
      </c>
      <c r="G44" s="638"/>
    </row>
    <row r="45" spans="1:7" s="586" customFormat="1" ht="15" customHeight="1">
      <c r="A45" s="542"/>
      <c r="B45" s="747" t="s">
        <v>2428</v>
      </c>
      <c r="C45" s="745">
        <f>C44+C39*(C43-(C54-1)/2/12)/C7</f>
        <v>5326.9472392090383</v>
      </c>
      <c r="D45" s="747"/>
      <c r="E45" s="542"/>
      <c r="F45" s="452" t="s">
        <v>2429</v>
      </c>
      <c r="G45" s="638"/>
    </row>
    <row r="46" spans="1:7" s="586" customFormat="1" ht="15" customHeight="1">
      <c r="A46" s="542"/>
      <c r="B46" s="747" t="s">
        <v>2330</v>
      </c>
      <c r="C46" s="743">
        <v>1</v>
      </c>
      <c r="D46" s="747"/>
      <c r="E46" s="542"/>
      <c r="F46" s="452" t="s">
        <v>2336</v>
      </c>
      <c r="G46" s="638"/>
    </row>
    <row r="47" spans="1:7" s="586" customFormat="1" ht="15" customHeight="1">
      <c r="A47" s="542"/>
      <c r="B47" s="752" t="s">
        <v>2430</v>
      </c>
      <c r="C47" s="753">
        <f>C45*C46</f>
        <v>5326.9472392090383</v>
      </c>
      <c r="D47" s="747"/>
      <c r="E47" s="542"/>
      <c r="F47" s="452"/>
      <c r="G47" s="638"/>
    </row>
    <row r="48" spans="1:7" s="586" customFormat="1" ht="15" customHeight="1">
      <c r="A48" s="542"/>
      <c r="B48" s="747" t="s">
        <v>2331</v>
      </c>
      <c r="C48" s="743">
        <v>0.8</v>
      </c>
      <c r="D48" s="747"/>
      <c r="E48" s="542"/>
      <c r="F48" s="452" t="s">
        <v>2419</v>
      </c>
      <c r="G48" s="638"/>
    </row>
    <row r="49" spans="1:7" s="586" customFormat="1" ht="15" customHeight="1">
      <c r="A49" s="542"/>
      <c r="B49" s="747" t="s">
        <v>2414</v>
      </c>
      <c r="C49" s="742">
        <v>500</v>
      </c>
      <c r="D49" s="747"/>
      <c r="E49" s="542"/>
      <c r="F49" s="452" t="s">
        <v>2420</v>
      </c>
      <c r="G49" s="638"/>
    </row>
    <row r="50" spans="1:7" s="586" customFormat="1" ht="15" customHeight="1">
      <c r="A50" s="542"/>
      <c r="B50" s="747" t="s">
        <v>2415</v>
      </c>
      <c r="C50" s="743">
        <v>0.5</v>
      </c>
      <c r="D50" s="747"/>
      <c r="E50" s="542"/>
      <c r="F50" s="452" t="s">
        <v>2421</v>
      </c>
      <c r="G50" s="638"/>
    </row>
    <row r="51" spans="1:7" s="586" customFormat="1" ht="15" customHeight="1">
      <c r="A51" s="542"/>
      <c r="B51" s="747" t="s">
        <v>2416</v>
      </c>
      <c r="C51" s="743">
        <v>1.5</v>
      </c>
      <c r="D51" s="747"/>
      <c r="E51" s="542"/>
      <c r="F51" s="452" t="s">
        <v>2425</v>
      </c>
      <c r="G51" s="638"/>
    </row>
    <row r="52" spans="1:7" s="586" customFormat="1" ht="15" customHeight="1">
      <c r="A52" s="542"/>
      <c r="B52" s="747" t="s">
        <v>2417</v>
      </c>
      <c r="C52" s="744">
        <f>IF(C46&lt;C48,0,MIN(C51,C50+(1-C50)*(C46-C48)/(1-C48)))</f>
        <v>1</v>
      </c>
      <c r="D52" s="747"/>
      <c r="E52" s="542"/>
      <c r="F52" s="452" t="s">
        <v>2422</v>
      </c>
      <c r="G52" s="638"/>
    </row>
    <row r="53" spans="1:7" s="586" customFormat="1" ht="15" customHeight="1">
      <c r="A53" s="542"/>
      <c r="B53" s="747" t="s">
        <v>2418</v>
      </c>
      <c r="C53" s="745">
        <f>C49*C51</f>
        <v>750</v>
      </c>
      <c r="D53" s="747"/>
      <c r="E53" s="542"/>
      <c r="F53" s="452" t="s">
        <v>2423</v>
      </c>
      <c r="G53" s="638"/>
    </row>
    <row r="54" spans="1:7" s="586" customFormat="1" ht="15" customHeight="1">
      <c r="A54" s="542"/>
      <c r="B54" s="747" t="s">
        <v>2426</v>
      </c>
      <c r="C54" s="748">
        <v>3</v>
      </c>
      <c r="D54" s="747"/>
      <c r="E54" s="542"/>
      <c r="F54" s="452" t="s">
        <v>2427</v>
      </c>
      <c r="G54" s="638"/>
    </row>
    <row r="55" spans="1:7" s="586" customFormat="1" ht="15" customHeight="1">
      <c r="A55" s="542"/>
      <c r="B55" s="754" t="s">
        <v>2332</v>
      </c>
      <c r="C55" s="755">
        <f>C49*C52</f>
        <v>500</v>
      </c>
      <c r="D55" s="756"/>
      <c r="E55" s="542"/>
      <c r="F55" s="452" t="s">
        <v>2446</v>
      </c>
      <c r="G55" s="638"/>
    </row>
    <row r="56" spans="1:7" s="586" customFormat="1" ht="15" customHeight="1">
      <c r="A56" s="542"/>
      <c r="B56" s="747" t="s">
        <v>2333</v>
      </c>
      <c r="C56" s="743">
        <v>0.7</v>
      </c>
      <c r="D56" s="747"/>
      <c r="E56" s="542"/>
      <c r="F56" s="452" t="s">
        <v>2337</v>
      </c>
      <c r="G56" s="638"/>
    </row>
    <row r="57" spans="1:7" s="586" customFormat="1" ht="15" customHeight="1">
      <c r="A57" s="542"/>
      <c r="B57" s="747" t="s">
        <v>2334</v>
      </c>
      <c r="C57" s="757">
        <v>0.15</v>
      </c>
      <c r="D57" s="747"/>
      <c r="E57" s="542"/>
      <c r="F57" s="452" t="s">
        <v>2337</v>
      </c>
      <c r="G57" s="638"/>
    </row>
    <row r="58" spans="1:7" s="586" customFormat="1" ht="15" customHeight="1">
      <c r="A58" s="542"/>
      <c r="B58" s="747" t="s">
        <v>2335</v>
      </c>
      <c r="C58" s="758">
        <f>C55*C56/(1+C57)^C43</f>
        <v>230.13068135119593</v>
      </c>
      <c r="D58" s="747"/>
      <c r="E58" s="542"/>
      <c r="F58" s="452" t="s">
        <v>2338</v>
      </c>
      <c r="G58" s="638"/>
    </row>
    <row r="59" spans="1:7" s="586" customFormat="1" ht="3.95" customHeight="1">
      <c r="A59" s="542"/>
      <c r="B59" s="638"/>
      <c r="C59" s="638"/>
      <c r="D59" s="542"/>
      <c r="E59" s="542"/>
      <c r="F59" s="542"/>
      <c r="G59" s="638"/>
    </row>
    <row r="60" spans="1:7">
      <c r="A60" s="542"/>
      <c r="B60" s="370" t="s">
        <v>2004</v>
      </c>
      <c r="C60" s="371" t="str">
        <f>C$151</f>
        <v>Today</v>
      </c>
      <c r="D60" s="371" t="str">
        <f>"Year "&amp;$C$7</f>
        <v>Year 5</v>
      </c>
      <c r="E60" s="542"/>
      <c r="F60" s="542"/>
      <c r="G60" s="2"/>
    </row>
    <row r="61" spans="1:7">
      <c r="A61" s="542"/>
      <c r="B61" s="542" t="s">
        <v>2006</v>
      </c>
      <c r="C61" s="166">
        <f>ROUND(C152*C19,-1)</f>
        <v>3000</v>
      </c>
      <c r="D61" s="543">
        <f>(C152+C25)*$C$20</f>
        <v>7490.2576987288121</v>
      </c>
      <c r="E61" s="542"/>
      <c r="F61" s="542" t="s">
        <v>2155</v>
      </c>
      <c r="G61" s="2"/>
    </row>
    <row r="62" spans="1:7">
      <c r="A62" s="542"/>
      <c r="B62" s="542" t="s">
        <v>2007</v>
      </c>
      <c r="C62" s="573">
        <f>'Offer Overview'!$C$27</f>
        <v>1</v>
      </c>
      <c r="D62" s="544">
        <f>$C$62</f>
        <v>1</v>
      </c>
      <c r="E62" s="542"/>
      <c r="F62" s="542"/>
      <c r="G62" s="2"/>
    </row>
    <row r="63" spans="1:7">
      <c r="A63" s="542"/>
      <c r="B63" s="538" t="s">
        <v>2066</v>
      </c>
      <c r="C63" s="552">
        <f>C61*C62</f>
        <v>3000</v>
      </c>
      <c r="D63" s="600">
        <f>D61*D62</f>
        <v>7490.2576987288121</v>
      </c>
      <c r="E63" s="542"/>
      <c r="F63" s="542"/>
      <c r="G63" s="2"/>
    </row>
    <row r="64" spans="1:7" ht="3.95" customHeight="1">
      <c r="A64" s="542"/>
      <c r="B64" s="542"/>
      <c r="C64" s="542"/>
      <c r="D64" s="542"/>
      <c r="E64" s="542"/>
      <c r="F64" s="542"/>
      <c r="G64" s="2"/>
    </row>
    <row r="65" spans="1:7">
      <c r="A65" s="542"/>
      <c r="B65" s="370" t="s">
        <v>2011</v>
      </c>
      <c r="C65" s="371" t="str">
        <f>C$151</f>
        <v>Today</v>
      </c>
      <c r="D65" s="371" t="str">
        <f>D$60</f>
        <v>Year 5</v>
      </c>
      <c r="E65" s="542"/>
      <c r="F65" s="542"/>
      <c r="G65" s="2"/>
    </row>
    <row r="66" spans="1:7">
      <c r="A66" s="542"/>
      <c r="B66" s="542" t="s">
        <v>2067</v>
      </c>
      <c r="C66" s="86">
        <f>C159</f>
        <v>59500</v>
      </c>
      <c r="D66" s="543">
        <f>(C9+C16)*C11-C154-$C$55</f>
        <v>179000.00000000003</v>
      </c>
      <c r="E66" s="542"/>
      <c r="F66" s="542"/>
      <c r="G66" s="2"/>
    </row>
    <row r="67" spans="1:7">
      <c r="A67" s="542"/>
      <c r="B67" s="542" t="s">
        <v>2068</v>
      </c>
      <c r="C67" s="83">
        <f>C61</f>
        <v>3000</v>
      </c>
      <c r="D67" s="154">
        <f>(C39+C152)*C28</f>
        <v>20970.2836159322</v>
      </c>
      <c r="E67" s="542"/>
      <c r="F67" s="542" t="s">
        <v>2156</v>
      </c>
      <c r="G67" s="2"/>
    </row>
    <row r="68" spans="1:7">
      <c r="A68" s="542"/>
      <c r="B68" s="537" t="s">
        <v>2069</v>
      </c>
      <c r="C68" s="551">
        <f>C66+C67</f>
        <v>62500</v>
      </c>
      <c r="D68" s="551">
        <f>D66+D67</f>
        <v>199970.28361593222</v>
      </c>
      <c r="E68" s="542"/>
      <c r="F68" s="154"/>
      <c r="G68" s="2"/>
    </row>
    <row r="69" spans="1:7">
      <c r="A69" s="542"/>
      <c r="B69" s="542" t="s">
        <v>2070</v>
      </c>
      <c r="C69" s="154">
        <f>C68*$C$158</f>
        <v>2500</v>
      </c>
      <c r="D69" s="154">
        <f>D68*$C$158</f>
        <v>7998.811344637289</v>
      </c>
      <c r="E69" s="542"/>
      <c r="F69" s="542"/>
      <c r="G69" s="2"/>
    </row>
    <row r="70" spans="1:7">
      <c r="A70" s="542"/>
      <c r="B70" s="542" t="s">
        <v>2071</v>
      </c>
      <c r="C70" s="83">
        <f>$C$154</f>
        <v>500</v>
      </c>
      <c r="D70" s="83">
        <f>$C$154</f>
        <v>500</v>
      </c>
      <c r="E70" s="542"/>
      <c r="F70" s="542"/>
      <c r="G70" s="2"/>
    </row>
    <row r="71" spans="1:7" ht="15" customHeight="1">
      <c r="A71" s="542"/>
      <c r="B71" s="542" t="s">
        <v>2339</v>
      </c>
      <c r="C71" s="83"/>
      <c r="D71" s="83">
        <f>$C$55</f>
        <v>500</v>
      </c>
      <c r="E71" s="542"/>
      <c r="F71" s="452"/>
      <c r="G71" s="2"/>
    </row>
    <row r="72" spans="1:7">
      <c r="A72" s="542"/>
      <c r="B72" s="538" t="s">
        <v>2072</v>
      </c>
      <c r="C72" s="552">
        <f>C69+C70+C71</f>
        <v>3000</v>
      </c>
      <c r="D72" s="600">
        <f>D69+D70+D71</f>
        <v>8998.8113446372881</v>
      </c>
      <c r="E72" s="542"/>
      <c r="F72" s="452"/>
      <c r="G72" s="2"/>
    </row>
    <row r="73" spans="1:7" ht="3.95" customHeight="1">
      <c r="A73" s="542"/>
      <c r="B73" s="542"/>
      <c r="C73" s="542"/>
      <c r="D73" s="542"/>
      <c r="E73" s="542"/>
      <c r="F73" s="452"/>
      <c r="G73" s="2"/>
    </row>
    <row r="74" spans="1:7">
      <c r="A74" s="542"/>
      <c r="B74" s="370" t="s">
        <v>2080</v>
      </c>
      <c r="C74" s="371" t="str">
        <f>C$151</f>
        <v>Today</v>
      </c>
      <c r="D74" s="371" t="str">
        <f>D$60</f>
        <v>Year 5</v>
      </c>
      <c r="E74" s="542"/>
      <c r="F74" s="452"/>
      <c r="G74" s="2"/>
    </row>
    <row r="75" spans="1:7">
      <c r="A75" s="542"/>
      <c r="B75" s="579" t="s">
        <v>2081</v>
      </c>
      <c r="C75" s="601">
        <f>C72-C63</f>
        <v>0</v>
      </c>
      <c r="D75" s="602">
        <f>D72-D63</f>
        <v>1508.553645908476</v>
      </c>
      <c r="E75" s="542"/>
      <c r="F75" s="452"/>
      <c r="G75" s="2"/>
    </row>
    <row r="76" spans="1:7">
      <c r="A76" s="542"/>
      <c r="B76" s="759" t="s">
        <v>285</v>
      </c>
      <c r="C76" s="636">
        <f>IFERROR(C72/C63-1,0)</f>
        <v>0</v>
      </c>
      <c r="D76" s="760">
        <f>IFERROR(D72/D63-1,0)</f>
        <v>0.20140210211519105</v>
      </c>
      <c r="E76" s="542"/>
      <c r="F76" s="452"/>
      <c r="G76" s="2"/>
    </row>
    <row r="77" spans="1:7" ht="15" customHeight="1">
      <c r="A77" s="542"/>
      <c r="B77" s="591" t="s">
        <v>2434</v>
      </c>
      <c r="C77" s="761"/>
      <c r="D77" s="762">
        <f>IFERROR(D72/C153,0)</f>
        <v>2.9996037815457628</v>
      </c>
      <c r="E77" s="542"/>
      <c r="F77" s="542" t="s">
        <v>2436</v>
      </c>
      <c r="G77" s="2"/>
    </row>
    <row r="78" spans="1:7" ht="15" customHeight="1">
      <c r="A78" s="542"/>
      <c r="B78" s="591" t="s">
        <v>2435</v>
      </c>
      <c r="C78" s="761"/>
      <c r="D78" s="763">
        <f>IFERROR(IRR(D179:D184),0)</f>
        <v>0.28698779433501165</v>
      </c>
      <c r="E78" s="542"/>
      <c r="F78" s="542" t="s">
        <v>2437</v>
      </c>
      <c r="G78" s="2"/>
    </row>
    <row r="79" spans="1:7">
      <c r="A79" s="542"/>
      <c r="B79" s="591" t="s">
        <v>2073</v>
      </c>
      <c r="C79" s="603"/>
      <c r="D79" s="607">
        <f>IFERROR((((D63-$C$154-$C$55)/$C$158-D67+$C$55)/$C$159)^(1/C$7)-1,0)</f>
        <v>0.18966141007237036</v>
      </c>
      <c r="E79" s="542"/>
      <c r="F79" s="452"/>
      <c r="G79" s="2"/>
    </row>
    <row r="80" spans="1:7">
      <c r="A80" s="542"/>
      <c r="B80" s="589" t="s">
        <v>2100</v>
      </c>
      <c r="C80" s="608"/>
      <c r="D80" s="566">
        <f>IFERROR(((D66+$C$55)/$C$159)^(1/$C$7)-1,0)</f>
        <v>0.24712359925968785</v>
      </c>
      <c r="E80" s="542"/>
      <c r="F80" s="452"/>
      <c r="G80" s="2"/>
    </row>
    <row r="81" spans="1:7" ht="3.95" customHeight="1">
      <c r="A81" s="542"/>
      <c r="B81" s="542"/>
      <c r="C81" s="542"/>
      <c r="D81" s="542"/>
      <c r="E81" s="542"/>
      <c r="F81" s="452"/>
      <c r="G81" s="2"/>
    </row>
    <row r="82" spans="1:7" ht="15" customHeight="1">
      <c r="A82" s="542"/>
      <c r="B82" s="764" t="s">
        <v>2365</v>
      </c>
      <c r="C82" s="765" t="s">
        <v>1197</v>
      </c>
      <c r="D82" s="765"/>
      <c r="E82" s="542"/>
      <c r="F82" s="452"/>
      <c r="G82" s="2"/>
    </row>
    <row r="83" spans="1:7" ht="15" customHeight="1">
      <c r="A83" s="542"/>
      <c r="B83" s="747" t="s">
        <v>2341</v>
      </c>
      <c r="C83" s="751">
        <f>C154</f>
        <v>500</v>
      </c>
      <c r="D83" s="747"/>
      <c r="E83" s="542"/>
      <c r="F83" s="452" t="s">
        <v>2441</v>
      </c>
      <c r="G83" s="2"/>
    </row>
    <row r="84" spans="1:7" ht="15" customHeight="1">
      <c r="A84" s="542"/>
      <c r="B84" s="747" t="s">
        <v>2342</v>
      </c>
      <c r="C84" s="766">
        <f>C155</f>
        <v>2500</v>
      </c>
      <c r="D84" s="747"/>
      <c r="E84" s="542"/>
      <c r="F84" s="452" t="s">
        <v>2442</v>
      </c>
      <c r="G84" s="2"/>
    </row>
    <row r="85" spans="1:7" ht="15" customHeight="1">
      <c r="A85" s="542"/>
      <c r="B85" s="747" t="s">
        <v>2339</v>
      </c>
      <c r="C85" s="766">
        <f>C55</f>
        <v>500</v>
      </c>
      <c r="D85" s="747"/>
      <c r="E85" s="542"/>
      <c r="F85" s="452" t="s">
        <v>2371</v>
      </c>
      <c r="G85" s="2"/>
    </row>
    <row r="86" spans="1:7" ht="15" customHeight="1">
      <c r="A86" s="542"/>
      <c r="B86" s="767" t="s">
        <v>2343</v>
      </c>
      <c r="C86" s="768">
        <f>SUM(C83:C85)</f>
        <v>3500</v>
      </c>
      <c r="D86" s="756"/>
      <c r="E86" s="542"/>
      <c r="F86" s="452" t="s">
        <v>2372</v>
      </c>
      <c r="G86" s="2"/>
    </row>
    <row r="87" spans="1:7" ht="15" customHeight="1">
      <c r="A87" s="542"/>
      <c r="B87" s="747" t="s">
        <v>2344</v>
      </c>
      <c r="C87" s="743">
        <v>1</v>
      </c>
      <c r="D87" s="747"/>
      <c r="E87" s="542"/>
      <c r="F87" s="452" t="s">
        <v>2366</v>
      </c>
      <c r="G87" s="2"/>
    </row>
    <row r="88" spans="1:7" ht="15" customHeight="1">
      <c r="A88" s="542"/>
      <c r="B88" s="747" t="s">
        <v>2345</v>
      </c>
      <c r="C88" s="751">
        <f>D67</f>
        <v>20970.2836159322</v>
      </c>
      <c r="D88" s="747"/>
      <c r="E88" s="542"/>
      <c r="F88" s="452" t="s">
        <v>2374</v>
      </c>
      <c r="G88" s="2"/>
    </row>
    <row r="89" spans="1:7" ht="15" customHeight="1">
      <c r="A89" s="542"/>
      <c r="B89" s="769" t="s">
        <v>2346</v>
      </c>
      <c r="C89" s="770">
        <f>C87*C88</f>
        <v>20970.2836159322</v>
      </c>
      <c r="D89" s="756"/>
      <c r="E89" s="542"/>
      <c r="F89" s="452" t="s">
        <v>2367</v>
      </c>
      <c r="G89" s="2"/>
    </row>
    <row r="90" spans="1:7" ht="15" customHeight="1">
      <c r="A90" s="542"/>
      <c r="B90" s="771" t="s">
        <v>2347</v>
      </c>
      <c r="C90" s="772">
        <f>IFERROR(C89/C86,0)</f>
        <v>5.9915096045520571</v>
      </c>
      <c r="D90" s="756"/>
      <c r="E90" s="542"/>
      <c r="F90" s="452" t="s">
        <v>2355</v>
      </c>
      <c r="G90" s="2"/>
    </row>
    <row r="91" spans="1:7" ht="15" customHeight="1">
      <c r="A91" s="542"/>
      <c r="B91" s="773" t="s">
        <v>2350</v>
      </c>
      <c r="C91" s="774">
        <f>IFERROR(IRR(D171:D176),0)</f>
        <v>0.46004303835621663</v>
      </c>
      <c r="D91" s="756"/>
      <c r="E91" s="542"/>
      <c r="F91" s="452" t="s">
        <v>2443</v>
      </c>
      <c r="G91" s="2"/>
    </row>
    <row r="92" spans="1:7" ht="3.95" customHeight="1">
      <c r="A92" s="542"/>
      <c r="B92" s="747"/>
      <c r="C92" s="747"/>
      <c r="D92" s="747"/>
      <c r="E92" s="542"/>
      <c r="F92" s="452"/>
      <c r="G92" s="2"/>
    </row>
    <row r="93" spans="1:7">
      <c r="A93" s="542"/>
      <c r="B93" s="536" t="s">
        <v>2162</v>
      </c>
      <c r="C93" s="535" t="str">
        <f>D$60</f>
        <v>Year 5</v>
      </c>
      <c r="D93" s="2"/>
      <c r="E93" s="542"/>
      <c r="F93" s="452"/>
      <c r="G93" s="2"/>
    </row>
    <row r="94" spans="1:7">
      <c r="A94" s="542"/>
      <c r="B94" s="638" t="s">
        <v>2160</v>
      </c>
      <c r="C94" s="543">
        <f>+C25+C152</f>
        <v>5992.20615898305</v>
      </c>
      <c r="D94" s="542"/>
      <c r="E94" s="542"/>
      <c r="F94" s="452"/>
      <c r="G94" s="2"/>
    </row>
    <row r="95" spans="1:7" s="586" customFormat="1" ht="12">
      <c r="A95" s="542"/>
      <c r="B95" s="644" t="s">
        <v>2103</v>
      </c>
      <c r="C95" s="637">
        <v>0.15</v>
      </c>
      <c r="D95" s="604"/>
      <c r="E95" s="542"/>
      <c r="F95" s="452" t="s">
        <v>2152</v>
      </c>
      <c r="G95" s="638"/>
    </row>
    <row r="96" spans="1:7" s="586" customFormat="1" ht="12">
      <c r="A96" s="542"/>
      <c r="B96" s="605" t="s">
        <v>2104</v>
      </c>
      <c r="C96" s="125">
        <f>C95*C94</f>
        <v>898.83092384745748</v>
      </c>
      <c r="D96" s="542"/>
      <c r="E96" s="542"/>
      <c r="F96" s="452"/>
      <c r="G96" s="638"/>
    </row>
    <row r="97" spans="1:7">
      <c r="A97" s="542"/>
      <c r="B97" s="638" t="s">
        <v>2102</v>
      </c>
      <c r="C97" s="83">
        <f>+D63</f>
        <v>7490.2576987288121</v>
      </c>
      <c r="D97" s="542"/>
      <c r="E97" s="542"/>
      <c r="F97" s="452"/>
      <c r="G97" s="2"/>
    </row>
    <row r="98" spans="1:7">
      <c r="A98" s="542"/>
      <c r="B98" s="60" t="s">
        <v>2105</v>
      </c>
      <c r="C98" s="606">
        <f>C97/C96</f>
        <v>8.3333333333333339</v>
      </c>
      <c r="D98" s="542"/>
      <c r="E98" s="542"/>
      <c r="F98" s="452"/>
      <c r="G98" s="2"/>
    </row>
    <row r="99" spans="1:7" s="651" customFormat="1" ht="3.95" customHeight="1">
      <c r="A99" s="647"/>
      <c r="B99" s="648"/>
      <c r="C99" s="649"/>
      <c r="D99" s="647"/>
      <c r="E99" s="647"/>
      <c r="F99" s="662"/>
      <c r="G99" s="650"/>
    </row>
    <row r="100" spans="1:7">
      <c r="A100" s="542"/>
      <c r="B100" s="536" t="s">
        <v>2163</v>
      </c>
      <c r="C100" s="535" t="str">
        <f>D$60</f>
        <v>Year 5</v>
      </c>
      <c r="D100" s="2"/>
      <c r="E100" s="542"/>
      <c r="F100" s="452"/>
      <c r="G100" s="2"/>
    </row>
    <row r="101" spans="1:7">
      <c r="A101" s="542"/>
      <c r="B101" s="638" t="s">
        <v>2101</v>
      </c>
      <c r="C101" s="543">
        <f>+C39+C152</f>
        <v>6990.0945386440662</v>
      </c>
      <c r="D101" s="542"/>
      <c r="E101" s="542"/>
      <c r="F101" s="452"/>
      <c r="G101" s="2"/>
    </row>
    <row r="102" spans="1:7" s="586" customFormat="1" ht="12">
      <c r="A102" s="542"/>
      <c r="B102" s="644" t="s">
        <v>2103</v>
      </c>
      <c r="C102" s="637">
        <v>0.2</v>
      </c>
      <c r="D102" s="542"/>
      <c r="E102" s="542"/>
      <c r="F102" s="452" t="s">
        <v>2161</v>
      </c>
      <c r="G102" s="638"/>
    </row>
    <row r="103" spans="1:7" s="586" customFormat="1" ht="12">
      <c r="A103" s="542"/>
      <c r="B103" s="605" t="s">
        <v>2104</v>
      </c>
      <c r="C103" s="125">
        <f>C102*C101</f>
        <v>1398.0189077288132</v>
      </c>
      <c r="D103" s="542"/>
      <c r="E103" s="542"/>
      <c r="F103" s="452"/>
      <c r="G103" s="638"/>
    </row>
    <row r="104" spans="1:7">
      <c r="A104" s="542"/>
      <c r="B104" s="638" t="s">
        <v>2102</v>
      </c>
      <c r="C104" s="83">
        <f>D67</f>
        <v>20970.2836159322</v>
      </c>
      <c r="D104" s="542"/>
      <c r="E104" s="542"/>
      <c r="F104" s="452"/>
      <c r="G104" s="2"/>
    </row>
    <row r="105" spans="1:7">
      <c r="A105" s="542"/>
      <c r="B105" s="60" t="s">
        <v>2105</v>
      </c>
      <c r="C105" s="606">
        <f>C104/C103</f>
        <v>15</v>
      </c>
      <c r="D105" s="542"/>
      <c r="E105" s="542"/>
      <c r="F105" s="452"/>
      <c r="G105" s="2"/>
    </row>
    <row r="106" spans="1:7" s="651" customFormat="1" ht="3.95" customHeight="1">
      <c r="A106" s="647"/>
      <c r="B106" s="648"/>
      <c r="C106" s="649"/>
      <c r="D106" s="647"/>
      <c r="E106" s="647"/>
      <c r="F106" s="662"/>
      <c r="G106" s="650"/>
    </row>
    <row r="107" spans="1:7">
      <c r="A107" s="542"/>
      <c r="B107" s="370" t="s">
        <v>2226</v>
      </c>
      <c r="C107" s="655" t="str">
        <f>"Year "&amp;$C$7</f>
        <v>Year 5</v>
      </c>
      <c r="D107" s="655" t="s">
        <v>1861</v>
      </c>
      <c r="E107" s="542"/>
      <c r="F107" s="452"/>
      <c r="G107" s="2"/>
    </row>
    <row r="108" spans="1:7" ht="15" customHeight="1">
      <c r="A108" s="542"/>
      <c r="B108" s="747" t="s">
        <v>2180</v>
      </c>
      <c r="C108" s="758">
        <f>D66*$C$158</f>
        <v>7160.0000000000009</v>
      </c>
      <c r="D108" s="744">
        <f>IFERROR(C108/C$112,0)</f>
        <v>0.79566064069860731</v>
      </c>
      <c r="E108" s="542"/>
      <c r="F108" s="452" t="s">
        <v>2380</v>
      </c>
      <c r="G108" s="2"/>
    </row>
    <row r="109" spans="1:7" ht="15" customHeight="1">
      <c r="A109" s="542"/>
      <c r="B109" s="747" t="s">
        <v>2181</v>
      </c>
      <c r="C109" s="745">
        <f>D67*$C$158</f>
        <v>838.81134463728802</v>
      </c>
      <c r="D109" s="744">
        <f>IFERROR(C109/C$112,0)</f>
        <v>9.3213571494324701E-2</v>
      </c>
      <c r="E109" s="542"/>
      <c r="F109" s="452" t="s">
        <v>2375</v>
      </c>
      <c r="G109" s="2"/>
    </row>
    <row r="110" spans="1:7" ht="15" customHeight="1">
      <c r="A110" s="542"/>
      <c r="B110" s="747" t="s">
        <v>2071</v>
      </c>
      <c r="C110" s="766">
        <f>D70</f>
        <v>500</v>
      </c>
      <c r="D110" s="744">
        <f>IFERROR(C110/C$112,0)</f>
        <v>5.5562893903534027E-2</v>
      </c>
      <c r="E110" s="542"/>
      <c r="F110" s="452" t="s">
        <v>2381</v>
      </c>
      <c r="G110" s="2"/>
    </row>
    <row r="111" spans="1:7" ht="15" customHeight="1">
      <c r="A111" s="542"/>
      <c r="B111" s="747" t="s">
        <v>2339</v>
      </c>
      <c r="C111" s="766">
        <f>D71</f>
        <v>500</v>
      </c>
      <c r="D111" s="744">
        <f>IFERROR(C111/C$112,0)</f>
        <v>5.5562893903534027E-2</v>
      </c>
      <c r="E111" s="542"/>
      <c r="F111" s="452" t="s">
        <v>2382</v>
      </c>
      <c r="G111" s="2"/>
    </row>
    <row r="112" spans="1:7" ht="15" customHeight="1">
      <c r="A112" s="542"/>
      <c r="B112" s="767" t="s">
        <v>2072</v>
      </c>
      <c r="C112" s="768">
        <f>SUM(C108:C111)</f>
        <v>8998.8113446372881</v>
      </c>
      <c r="D112" s="775">
        <f>SUM(D108:D111)</f>
        <v>1</v>
      </c>
      <c r="E112" s="542"/>
      <c r="F112" s="452" t="s">
        <v>2383</v>
      </c>
      <c r="G112" s="2"/>
    </row>
    <row r="113" spans="1:7" ht="15" customHeight="1">
      <c r="A113" s="542"/>
      <c r="B113" s="542" t="s">
        <v>2182</v>
      </c>
      <c r="C113" s="543">
        <f>(C39+C152)*$C$158</f>
        <v>279.60378154576267</v>
      </c>
      <c r="D113" s="542"/>
      <c r="E113" s="542"/>
      <c r="F113" s="452" t="s">
        <v>2208</v>
      </c>
      <c r="G113" s="2"/>
    </row>
    <row r="114" spans="1:7" ht="3.95" customHeight="1">
      <c r="A114" s="542"/>
      <c r="B114" s="542"/>
      <c r="C114" s="542"/>
      <c r="D114" s="542"/>
      <c r="E114" s="542"/>
      <c r="F114" s="452"/>
      <c r="G114" s="2"/>
    </row>
    <row r="115" spans="1:7">
      <c r="A115" s="542"/>
      <c r="B115" s="370" t="s">
        <v>2227</v>
      </c>
      <c r="C115" s="655" t="str">
        <f>C$151</f>
        <v>Today</v>
      </c>
      <c r="D115" s="655"/>
      <c r="E115" s="542"/>
      <c r="F115" s="452"/>
      <c r="G115" s="2"/>
    </row>
    <row r="116" spans="1:7">
      <c r="A116" s="542"/>
      <c r="B116" s="542" t="s">
        <v>2183</v>
      </c>
      <c r="C116" s="633">
        <f>IFERROR(C153/C152,0)</f>
        <v>1.0004865632953721</v>
      </c>
      <c r="D116" s="542"/>
      <c r="E116" s="542"/>
      <c r="F116" s="452" t="s">
        <v>2209</v>
      </c>
      <c r="G116" s="2"/>
    </row>
    <row r="117" spans="1:7" ht="15" customHeight="1">
      <c r="A117" s="542"/>
      <c r="B117" s="542" t="s">
        <v>2384</v>
      </c>
      <c r="C117" s="633">
        <f>IFERROR((C153+C55)/C152,0)</f>
        <v>1.1672343238446008</v>
      </c>
      <c r="D117" s="542"/>
      <c r="E117" s="542"/>
      <c r="F117" s="452" t="s">
        <v>2385</v>
      </c>
      <c r="G117" s="2"/>
    </row>
    <row r="118" spans="1:7">
      <c r="A118" s="542"/>
      <c r="B118" s="542" t="s">
        <v>2184</v>
      </c>
      <c r="C118" s="634">
        <f>C10</f>
        <v>19.157088122605366</v>
      </c>
      <c r="D118" s="542"/>
      <c r="E118" s="542"/>
      <c r="F118" s="452" t="s">
        <v>2210</v>
      </c>
      <c r="G118" s="2"/>
    </row>
    <row r="119" spans="1:7">
      <c r="A119" s="542"/>
      <c r="B119" s="538" t="s">
        <v>2225</v>
      </c>
      <c r="C119" s="606">
        <f>IFERROR(C118/C116,0)</f>
        <v>19.147771519795661</v>
      </c>
      <c r="D119" s="658"/>
      <c r="E119" s="542"/>
      <c r="F119" s="452" t="s">
        <v>2211</v>
      </c>
      <c r="G119" s="2"/>
    </row>
    <row r="120" spans="1:7">
      <c r="A120" s="542"/>
      <c r="B120" s="542" t="s">
        <v>2185</v>
      </c>
      <c r="C120" s="86">
        <f>C152</f>
        <v>2998.5410200000001</v>
      </c>
      <c r="D120" s="542"/>
      <c r="E120" s="542"/>
      <c r="F120" s="452"/>
      <c r="G120" s="2"/>
    </row>
    <row r="121" spans="1:7">
      <c r="A121" s="542"/>
      <c r="B121" s="542" t="s">
        <v>2186</v>
      </c>
      <c r="C121" s="543">
        <f>(C9+C152)*$C$158</f>
        <v>245.22164080000002</v>
      </c>
      <c r="D121" s="542"/>
      <c r="E121" s="542"/>
      <c r="F121" s="452" t="s">
        <v>2212</v>
      </c>
      <c r="G121" s="2"/>
    </row>
    <row r="122" spans="1:7" ht="3.95" customHeight="1">
      <c r="A122" s="542"/>
      <c r="B122" s="542"/>
      <c r="C122" s="542"/>
      <c r="D122" s="542"/>
      <c r="E122" s="542"/>
      <c r="F122" s="452"/>
      <c r="G122" s="2"/>
    </row>
    <row r="123" spans="1:7">
      <c r="A123" s="542"/>
      <c r="B123" s="370" t="s">
        <v>2228</v>
      </c>
      <c r="C123" s="655" t="s">
        <v>2187</v>
      </c>
      <c r="D123" s="655" t="s">
        <v>2188</v>
      </c>
      <c r="E123" s="542"/>
      <c r="F123" s="452"/>
      <c r="G123" s="2"/>
    </row>
    <row r="124" spans="1:7">
      <c r="A124" s="542"/>
      <c r="B124" s="542" t="s">
        <v>2189</v>
      </c>
      <c r="C124" s="543">
        <f>(D63-D70-D71)/$C$158-D67</f>
        <v>141286.15885228812</v>
      </c>
      <c r="D124" s="86">
        <f>D66</f>
        <v>179000.00000000003</v>
      </c>
      <c r="E124" s="542"/>
      <c r="F124" s="452" t="s">
        <v>2213</v>
      </c>
      <c r="G124" s="2"/>
    </row>
    <row r="125" spans="1:7">
      <c r="A125" s="542"/>
      <c r="B125" s="542" t="s">
        <v>2190</v>
      </c>
      <c r="C125" s="633">
        <f>IFERROR((C124+$C$154+$C$55)/(C9+C16),0)</f>
        <v>15.143269354223937</v>
      </c>
      <c r="D125" s="634">
        <f>C11</f>
        <v>19.157088122605366</v>
      </c>
      <c r="E125" s="542"/>
      <c r="F125" s="452" t="s">
        <v>2214</v>
      </c>
      <c r="G125" s="2"/>
    </row>
    <row r="126" spans="1:7">
      <c r="A126" s="542"/>
      <c r="B126" s="542" t="s">
        <v>2191</v>
      </c>
      <c r="C126" s="154">
        <f>IFERROR(((C124+$C$154+$C$55)/C11-C9)/C13/C7,0)</f>
        <v>89.143338756645448</v>
      </c>
      <c r="D126" s="83">
        <f>C14</f>
        <v>130</v>
      </c>
      <c r="E126" s="542"/>
      <c r="F126" s="452" t="s">
        <v>2215</v>
      </c>
      <c r="G126" s="2"/>
    </row>
    <row r="127" spans="1:7">
      <c r="A127" s="542"/>
      <c r="B127" s="542" t="s">
        <v>2192</v>
      </c>
      <c r="C127" s="654">
        <f>IFERROR(1-(D63-D70-D71)/D69,0)</f>
        <v>0.18859722787684818</v>
      </c>
      <c r="D127" s="542"/>
      <c r="E127" s="542"/>
      <c r="F127" s="452" t="s">
        <v>2216</v>
      </c>
      <c r="G127" s="2"/>
    </row>
    <row r="128" spans="1:7">
      <c r="A128" s="542"/>
      <c r="B128" s="542" t="s">
        <v>2193</v>
      </c>
      <c r="C128" s="388">
        <f>D79</f>
        <v>0.18966141007237036</v>
      </c>
      <c r="D128" s="388">
        <f>D80</f>
        <v>0.24712359925968785</v>
      </c>
      <c r="E128" s="542"/>
      <c r="F128" s="452" t="s">
        <v>2444</v>
      </c>
      <c r="G128" s="2"/>
    </row>
    <row r="129" spans="1:7" ht="3.95" customHeight="1">
      <c r="A129" s="542"/>
      <c r="B129" s="542"/>
      <c r="C129" s="542"/>
      <c r="D129" s="542"/>
      <c r="E129" s="542"/>
      <c r="F129" s="452"/>
      <c r="G129" s="2"/>
    </row>
    <row r="130" spans="1:7">
      <c r="A130" s="542"/>
      <c r="B130" s="370" t="s">
        <v>2229</v>
      </c>
      <c r="C130" s="655" t="s">
        <v>2194</v>
      </c>
      <c r="D130" s="655" t="str">
        <f>"Year "&amp;$C$7&amp;" Delta"</f>
        <v>Year 5 Delta</v>
      </c>
      <c r="E130" s="542"/>
      <c r="F130" s="452"/>
      <c r="G130" s="2"/>
    </row>
    <row r="131" spans="1:7">
      <c r="A131" s="542"/>
      <c r="B131" s="542" t="s">
        <v>2195</v>
      </c>
      <c r="C131" s="585">
        <v>12</v>
      </c>
      <c r="D131" s="543">
        <f>((C9+C16)*C131-$C$154-$C$55+D67)*$C$158+D70+D71-D63</f>
        <v>-1181.366354091524</v>
      </c>
      <c r="E131" s="542"/>
      <c r="F131" s="452" t="s">
        <v>2217</v>
      </c>
      <c r="G131" s="2"/>
    </row>
    <row r="132" spans="1:7">
      <c r="A132" s="542"/>
      <c r="B132" s="542" t="s">
        <v>2196</v>
      </c>
      <c r="C132" s="82">
        <v>90</v>
      </c>
      <c r="D132" s="154">
        <f>((C9+C132*C7*C13)*C11-$C$154-$C$55+D67)*$C$158+D70+D71-D63</f>
        <v>31.630568985398895</v>
      </c>
      <c r="E132" s="542"/>
      <c r="F132" s="452" t="s">
        <v>2218</v>
      </c>
      <c r="G132" s="2"/>
    </row>
    <row r="133" spans="1:7">
      <c r="A133" s="542"/>
      <c r="B133" s="542" t="s">
        <v>2197</v>
      </c>
      <c r="C133" s="656">
        <v>0.15</v>
      </c>
      <c r="D133" s="154">
        <f>D69*(1-C133)+D70+D71-D63</f>
        <v>308.73194421288372</v>
      </c>
      <c r="E133" s="542"/>
      <c r="F133" s="452" t="s">
        <v>2219</v>
      </c>
      <c r="G133" s="2"/>
    </row>
    <row r="134" spans="1:7" ht="15" customHeight="1">
      <c r="A134" s="542"/>
      <c r="B134" s="542" t="s">
        <v>2386</v>
      </c>
      <c r="C134" s="654"/>
      <c r="D134" s="154">
        <f>D75-$C$55*(1-$C$158)</f>
        <v>1028.553645908476</v>
      </c>
      <c r="E134" s="542"/>
      <c r="F134" s="452" t="s">
        <v>2387</v>
      </c>
      <c r="G134" s="2"/>
    </row>
    <row r="135" spans="1:7">
      <c r="A135" s="542"/>
      <c r="B135" s="538" t="s">
        <v>2388</v>
      </c>
      <c r="C135" s="657"/>
      <c r="D135" s="600">
        <f>((C9+C132*C7*C13)*C131-$C$154+D67)*$C$158*(1-C133)+D70-D63</f>
        <v>-3247.0729788640401</v>
      </c>
      <c r="E135" s="542"/>
      <c r="F135" s="452" t="s">
        <v>2389</v>
      </c>
      <c r="G135" s="2"/>
    </row>
    <row r="136" spans="1:7" ht="3.95" customHeight="1">
      <c r="A136" s="542"/>
      <c r="B136" s="542"/>
      <c r="C136" s="542"/>
      <c r="D136" s="542"/>
      <c r="E136" s="542"/>
      <c r="F136" s="452"/>
      <c r="G136" s="2"/>
    </row>
    <row r="137" spans="1:7">
      <c r="A137" s="542"/>
      <c r="B137" s="370" t="s">
        <v>2265</v>
      </c>
      <c r="C137" s="655" t="str">
        <f>C$151</f>
        <v>Today</v>
      </c>
      <c r="D137" s="535" t="str">
        <f>D$60</f>
        <v>Year 5</v>
      </c>
      <c r="E137" s="542"/>
      <c r="F137" s="452"/>
      <c r="G137" s="2"/>
    </row>
    <row r="138" spans="1:7">
      <c r="A138" s="542"/>
      <c r="B138" s="542" t="s">
        <v>2390</v>
      </c>
      <c r="C138" s="86">
        <f>C154</f>
        <v>500</v>
      </c>
      <c r="D138" s="154">
        <f>C154+C55</f>
        <v>1000</v>
      </c>
      <c r="E138" s="542"/>
      <c r="F138" s="452" t="s">
        <v>2360</v>
      </c>
      <c r="G138" s="2"/>
    </row>
    <row r="139" spans="1:7">
      <c r="A139" s="542"/>
      <c r="B139" s="542" t="s">
        <v>2198</v>
      </c>
      <c r="C139" s="654">
        <f>IFERROR(C154/C153,0)</f>
        <v>0.16666666666666666</v>
      </c>
      <c r="D139" s="654">
        <f>IFERROR((C154+C55)/(C153+C55),0)</f>
        <v>0.2857142857142857</v>
      </c>
      <c r="E139" s="542"/>
      <c r="F139" s="452" t="s">
        <v>2391</v>
      </c>
      <c r="G139" s="2"/>
    </row>
    <row r="140" spans="1:7">
      <c r="A140" s="542"/>
      <c r="B140" s="542" t="s">
        <v>2199</v>
      </c>
      <c r="C140" s="654">
        <f>IFERROR(C155/C153,0)</f>
        <v>0.83333333333333337</v>
      </c>
      <c r="D140" s="654">
        <f>IFERROR(C155/(C153+C55),0)</f>
        <v>0.7142857142857143</v>
      </c>
      <c r="E140" s="542"/>
      <c r="F140" s="452"/>
      <c r="G140" s="2"/>
    </row>
    <row r="141" spans="1:7">
      <c r="A141" s="542"/>
      <c r="B141" s="542" t="s">
        <v>2064</v>
      </c>
      <c r="C141" s="388">
        <f>C158</f>
        <v>0.04</v>
      </c>
      <c r="D141" s="542"/>
      <c r="E141" s="542"/>
      <c r="F141" s="452"/>
      <c r="G141" s="2"/>
    </row>
    <row r="142" spans="1:7">
      <c r="A142" s="542"/>
      <c r="B142" s="542" t="s">
        <v>2200</v>
      </c>
      <c r="C142" s="654">
        <f>IFERROR(C69/C72,0)</f>
        <v>0.83333333333333337</v>
      </c>
      <c r="D142" s="654">
        <f>IFERROR(D69/D72,0)</f>
        <v>0.88887421219293206</v>
      </c>
      <c r="E142" s="542"/>
      <c r="F142" s="452" t="s">
        <v>2220</v>
      </c>
      <c r="G142" s="2"/>
    </row>
    <row r="143" spans="1:7" ht="3.95" customHeight="1">
      <c r="A143" s="542"/>
      <c r="B143" s="542"/>
      <c r="C143" s="542"/>
      <c r="D143" s="542"/>
      <c r="E143" s="542"/>
      <c r="F143" s="452"/>
      <c r="G143" s="2"/>
    </row>
    <row r="144" spans="1:7">
      <c r="A144" s="542"/>
      <c r="B144" s="370" t="s">
        <v>2270</v>
      </c>
      <c r="C144" s="655" t="s">
        <v>2201</v>
      </c>
      <c r="D144" s="535" t="s">
        <v>2202</v>
      </c>
      <c r="E144" s="542"/>
      <c r="F144" s="452"/>
      <c r="G144" s="2"/>
    </row>
    <row r="145" spans="1:7">
      <c r="A145" s="542"/>
      <c r="B145" s="542" t="s">
        <v>2204</v>
      </c>
      <c r="C145" s="542"/>
      <c r="D145" s="542"/>
      <c r="E145" s="542"/>
      <c r="F145" s="452" t="s">
        <v>2221</v>
      </c>
      <c r="G145" s="2"/>
    </row>
    <row r="146" spans="1:7">
      <c r="A146" s="542"/>
      <c r="B146" s="542" t="s">
        <v>2205</v>
      </c>
      <c r="C146" s="542"/>
      <c r="D146" s="542"/>
      <c r="E146" s="542"/>
      <c r="F146" s="452" t="s">
        <v>2222</v>
      </c>
      <c r="G146" s="2"/>
    </row>
    <row r="147" spans="1:7">
      <c r="A147" s="542"/>
      <c r="B147" s="542" t="s">
        <v>2206</v>
      </c>
      <c r="C147" s="542"/>
      <c r="D147" s="542"/>
      <c r="E147" s="542"/>
      <c r="F147" s="452" t="s">
        <v>2223</v>
      </c>
      <c r="G147" s="2"/>
    </row>
    <row r="148" spans="1:7">
      <c r="A148" s="542"/>
      <c r="B148" s="542" t="s">
        <v>2207</v>
      </c>
      <c r="C148" s="542"/>
      <c r="D148" s="542"/>
      <c r="E148" s="542"/>
      <c r="F148" s="452" t="s">
        <v>2224</v>
      </c>
      <c r="G148" s="2"/>
    </row>
    <row r="149" spans="1:7" ht="15" customHeight="1">
      <c r="A149" s="542"/>
      <c r="B149" s="542" t="s">
        <v>2392</v>
      </c>
      <c r="C149" s="86">
        <f>C55</f>
        <v>500</v>
      </c>
      <c r="D149" s="542"/>
      <c r="E149" s="542"/>
      <c r="F149" s="452" t="s">
        <v>2393</v>
      </c>
      <c r="G149" s="2"/>
    </row>
    <row r="150" spans="1:7">
      <c r="A150" s="542"/>
      <c r="B150" s="2"/>
      <c r="C150" s="2"/>
      <c r="D150" s="542"/>
      <c r="E150" s="542"/>
      <c r="F150" s="452"/>
      <c r="G150" s="2"/>
    </row>
    <row r="151" spans="1:7">
      <c r="B151" s="536" t="s">
        <v>2061</v>
      </c>
      <c r="C151" s="535" t="s">
        <v>2025</v>
      </c>
      <c r="D151" s="2"/>
      <c r="E151" s="2"/>
      <c r="F151" s="452"/>
      <c r="G151" s="2"/>
    </row>
    <row r="152" spans="1:7">
      <c r="B152" s="638" t="s">
        <v>2138</v>
      </c>
      <c r="C152" s="47">
        <f>'P&amp;L Overview'!K16</f>
        <v>2998.5410200000001</v>
      </c>
      <c r="D152" s="2"/>
      <c r="E152" s="2"/>
      <c r="F152" s="452" t="s">
        <v>2153</v>
      </c>
      <c r="G152" s="2"/>
    </row>
    <row r="153" spans="1:7">
      <c r="B153" s="542" t="s">
        <v>2062</v>
      </c>
      <c r="C153" s="53">
        <f>'Offer Overview'!$C$17</f>
        <v>3000</v>
      </c>
      <c r="D153" s="2"/>
      <c r="E153" s="2"/>
      <c r="F153" s="452"/>
      <c r="G153" s="2"/>
    </row>
    <row r="154" spans="1:7">
      <c r="B154" s="542" t="s">
        <v>2063</v>
      </c>
      <c r="C154" s="53">
        <f>'Offer Overview'!$C$9</f>
        <v>500</v>
      </c>
      <c r="D154" s="2"/>
      <c r="E154" s="2"/>
      <c r="F154" s="452"/>
      <c r="G154" s="2"/>
    </row>
    <row r="155" spans="1:7">
      <c r="B155" s="542" t="s">
        <v>2024</v>
      </c>
      <c r="C155" s="53">
        <f>'Offer Overview'!$C$10</f>
        <v>2500</v>
      </c>
      <c r="D155" s="2"/>
      <c r="E155" s="2"/>
      <c r="F155" s="452"/>
      <c r="G155" s="2"/>
    </row>
    <row r="156" spans="1:7">
      <c r="B156" s="542" t="s">
        <v>2043</v>
      </c>
      <c r="C156" s="53">
        <f>'Offer Overview'!$C$12</f>
        <v>60000</v>
      </c>
      <c r="D156" s="2"/>
      <c r="E156" s="2"/>
      <c r="F156" s="452"/>
      <c r="G156" s="2"/>
    </row>
    <row r="157" spans="1:7">
      <c r="B157" s="542" t="s">
        <v>2001</v>
      </c>
      <c r="C157" s="53">
        <f>'Offer Overview'!$C$15</f>
        <v>62500</v>
      </c>
      <c r="D157" s="2"/>
      <c r="E157" s="2"/>
      <c r="F157" s="452"/>
      <c r="G157" s="2"/>
    </row>
    <row r="158" spans="1:7">
      <c r="B158" s="542" t="s">
        <v>2064</v>
      </c>
      <c r="C158" s="571">
        <f>'Offer Overview'!$C$16</f>
        <v>0.04</v>
      </c>
      <c r="D158" s="2"/>
      <c r="E158" s="2"/>
      <c r="F158" s="452"/>
      <c r="G158" s="2"/>
    </row>
    <row r="159" spans="1:7">
      <c r="B159" s="542" t="s">
        <v>2052</v>
      </c>
      <c r="C159" s="53">
        <f>'Offer Overview'!$C$22</f>
        <v>59500</v>
      </c>
      <c r="D159" s="2"/>
      <c r="E159" s="2"/>
      <c r="F159" s="452"/>
      <c r="G159" s="2"/>
    </row>
    <row r="160" spans="1:7">
      <c r="B160" s="542" t="s">
        <v>2139</v>
      </c>
      <c r="C160" s="154">
        <f>C68-C157</f>
        <v>0</v>
      </c>
      <c r="D160" s="2"/>
      <c r="E160" s="2"/>
      <c r="F160" s="452" t="s">
        <v>2154</v>
      </c>
      <c r="G160" s="2"/>
    </row>
    <row r="161" spans="2:8">
      <c r="B161" s="542" t="s">
        <v>2140</v>
      </c>
      <c r="C161" s="154">
        <f>C69-C155</f>
        <v>0</v>
      </c>
      <c r="D161" s="2"/>
      <c r="E161" s="2"/>
      <c r="F161" s="452" t="s">
        <v>2154</v>
      </c>
      <c r="G161" s="2"/>
    </row>
    <row r="162" spans="2:8">
      <c r="B162" s="2"/>
      <c r="C162" s="2"/>
      <c r="D162" s="2"/>
      <c r="E162" s="2"/>
      <c r="F162" s="452"/>
      <c r="G162" s="2"/>
    </row>
    <row r="163" spans="2:8">
      <c r="B163" s="370" t="s">
        <v>2164</v>
      </c>
      <c r="C163" s="370" t="s">
        <v>1197</v>
      </c>
      <c r="D163" s="2"/>
      <c r="E163" s="2"/>
      <c r="F163" s="452"/>
      <c r="G163" s="2"/>
    </row>
    <row r="164" spans="2:8">
      <c r="B164" s="639" t="s">
        <v>2165</v>
      </c>
      <c r="C164" s="652">
        <f>'Client Retention'!H22</f>
        <v>151</v>
      </c>
      <c r="D164" s="2"/>
      <c r="E164" s="2"/>
      <c r="F164" s="452" t="s">
        <v>2168</v>
      </c>
      <c r="G164" s="2"/>
    </row>
    <row r="165" spans="2:8">
      <c r="B165" s="639" t="s">
        <v>1314</v>
      </c>
      <c r="C165" s="652">
        <f>'Client Retention'!H23</f>
        <v>83</v>
      </c>
      <c r="D165" s="2"/>
      <c r="E165" s="2"/>
      <c r="F165" s="452"/>
      <c r="G165" s="2"/>
    </row>
    <row r="166" spans="2:8">
      <c r="B166" s="639" t="s">
        <v>1532</v>
      </c>
      <c r="C166" s="652">
        <f>'Client Retention'!H27</f>
        <v>-57</v>
      </c>
      <c r="D166" s="2"/>
      <c r="E166" s="2"/>
      <c r="F166" s="452"/>
      <c r="G166" s="2"/>
    </row>
    <row r="167" spans="2:8">
      <c r="B167" s="639" t="s">
        <v>2166</v>
      </c>
      <c r="C167" s="640">
        <f>SUM(C164:C166)</f>
        <v>177</v>
      </c>
      <c r="D167" s="2"/>
      <c r="E167" s="2"/>
      <c r="F167" s="417" t="s">
        <v>2169</v>
      </c>
      <c r="G167" s="2"/>
      <c r="H167" s="542"/>
    </row>
    <row r="168" spans="2:8">
      <c r="B168" s="641" t="s">
        <v>2167</v>
      </c>
      <c r="C168" s="642">
        <f>C167-C164</f>
        <v>26</v>
      </c>
      <c r="D168" s="2"/>
      <c r="E168" s="2"/>
      <c r="F168" s="417" t="s">
        <v>2170</v>
      </c>
      <c r="G168" s="2"/>
      <c r="H168" s="542"/>
    </row>
    <row r="169" spans="2:8">
      <c r="F169" s="417"/>
    </row>
    <row r="170" spans="2:8" ht="15" customHeight="1">
      <c r="B170" s="721" t="s">
        <v>2368</v>
      </c>
      <c r="C170" s="722" t="s">
        <v>1242</v>
      </c>
      <c r="D170" s="722" t="s">
        <v>2349</v>
      </c>
      <c r="F170" s="417"/>
    </row>
    <row r="171" spans="2:8" ht="15" customHeight="1">
      <c r="B171" s="707" t="str">
        <f>"Year "&amp;C171</f>
        <v>Year 0</v>
      </c>
      <c r="C171" s="724">
        <v>0</v>
      </c>
      <c r="D171" s="710">
        <f>-IF(C171=0,$C$83+$C$84,0)-IF(C171=$C$43,$C$85,0)+IF(C171=$C$7,$C$89,0)</f>
        <v>-3000</v>
      </c>
      <c r="F171" s="417" t="s">
        <v>2373</v>
      </c>
    </row>
    <row r="172" spans="2:8" ht="15" customHeight="1">
      <c r="B172" s="707" t="str">
        <f>"Year "&amp;C172</f>
        <v>Year 1</v>
      </c>
      <c r="C172" s="723">
        <f>C171+1</f>
        <v>1</v>
      </c>
      <c r="D172" s="711">
        <f>-IF(C172=0,$C$83+$C$84,0)-IF(C172=$C$43,$C$85,0)+IF(C172=$C$7,$C$89,0)</f>
        <v>0</v>
      </c>
      <c r="F172" s="417"/>
    </row>
    <row r="173" spans="2:8" ht="15" customHeight="1">
      <c r="B173" s="707" t="str">
        <f>"Year "&amp;C173</f>
        <v>Year 2</v>
      </c>
      <c r="C173" s="723">
        <f>C172+1</f>
        <v>2</v>
      </c>
      <c r="D173" s="711">
        <f>-IF(C173=0,$C$83+$C$84,0)-IF(C173=$C$43,$C$85,0)+IF(C173=$C$7,$C$89,0)</f>
        <v>0</v>
      </c>
      <c r="F173" s="417"/>
    </row>
    <row r="174" spans="2:8" ht="15" customHeight="1">
      <c r="B174" s="707" t="str">
        <f>"Year "&amp;C174</f>
        <v>Year 3</v>
      </c>
      <c r="C174" s="723">
        <f>C173+1</f>
        <v>3</v>
      </c>
      <c r="D174" s="711">
        <f>-IF(C174=0,$C$83+$C$84,0)-IF(C174=$C$43,$C$85,0)+IF(C174=$C$7,$C$89,0)</f>
        <v>-500</v>
      </c>
      <c r="F174" s="417"/>
    </row>
    <row r="175" spans="2:8" ht="15" customHeight="1">
      <c r="B175" s="707" t="str">
        <f>"Year "&amp;C175</f>
        <v>Year 4</v>
      </c>
      <c r="C175" s="723">
        <f>C174+1</f>
        <v>4</v>
      </c>
      <c r="D175" s="711">
        <f>-IF(C175=0,$C$83+$C$84,0)-IF(C175=$C$43,$C$85,0)+IF(C175=$C$7,$C$89,0)</f>
        <v>0</v>
      </c>
      <c r="F175" s="417"/>
    </row>
    <row r="176" spans="2:8" ht="15" customHeight="1">
      <c r="B176" s="707" t="str">
        <f>"Year "&amp;C176</f>
        <v>Year 5</v>
      </c>
      <c r="C176" s="723">
        <f>C175+1</f>
        <v>5</v>
      </c>
      <c r="D176" s="711">
        <f>-IF(C176=0,$C$83+$C$84,0)-IF(C176=$C$43,$C$85,0)+IF(C176=$C$7,$C$89,0)</f>
        <v>20970.2836159322</v>
      </c>
      <c r="F176" s="417"/>
    </row>
    <row r="178" spans="2:6" ht="15" customHeight="1">
      <c r="B178" s="721" t="s">
        <v>2395</v>
      </c>
      <c r="C178" s="722" t="s">
        <v>1242</v>
      </c>
      <c r="D178" s="722" t="s">
        <v>2349</v>
      </c>
    </row>
    <row r="179" spans="2:6" ht="15" customHeight="1">
      <c r="B179" s="707" t="str">
        <f>"Year "&amp;C179</f>
        <v>Year 0</v>
      </c>
      <c r="C179" s="724">
        <v>0</v>
      </c>
      <c r="D179" s="710">
        <f>IF(C179=0,$C$154-$C$153,0)+IF(C179=$C$43,$C$55,0)+IF(C179=$C$7,$D$69,0)</f>
        <v>-2500</v>
      </c>
      <c r="F179" s="638" t="s">
        <v>2438</v>
      </c>
    </row>
    <row r="180" spans="2:6" ht="15" customHeight="1">
      <c r="B180" s="707" t="str">
        <f>"Year "&amp;C180</f>
        <v>Year 1</v>
      </c>
      <c r="C180" s="723">
        <f>C179+1</f>
        <v>1</v>
      </c>
      <c r="D180" s="711">
        <f>IF(C180=0,$C$154-$C$153,0)+IF(C180=$C$43,$C$55,0)+IF(C180=$C$7,$D$69,0)</f>
        <v>0</v>
      </c>
    </row>
    <row r="181" spans="2:6" ht="15" customHeight="1">
      <c r="B181" s="707" t="str">
        <f>"Year "&amp;C181</f>
        <v>Year 2</v>
      </c>
      <c r="C181" s="723">
        <f>C180+1</f>
        <v>2</v>
      </c>
      <c r="D181" s="711">
        <f>IF(C181=0,$C$154-$C$153,0)+IF(C181=$C$43,$C$55,0)+IF(C181=$C$7,$D$69,0)</f>
        <v>0</v>
      </c>
    </row>
    <row r="182" spans="2:6" ht="15" customHeight="1">
      <c r="B182" s="707" t="str">
        <f>"Year "&amp;C182</f>
        <v>Year 3</v>
      </c>
      <c r="C182" s="723">
        <f>C181+1</f>
        <v>3</v>
      </c>
      <c r="D182" s="711">
        <f>IF(C182=0,$C$154-$C$153,0)+IF(C182=$C$43,$C$55,0)+IF(C182=$C$7,$D$69,0)</f>
        <v>500</v>
      </c>
    </row>
    <row r="183" spans="2:6" ht="15" customHeight="1">
      <c r="B183" s="707" t="str">
        <f>"Year "&amp;C183</f>
        <v>Year 4</v>
      </c>
      <c r="C183" s="723">
        <f>C182+1</f>
        <v>4</v>
      </c>
      <c r="D183" s="711">
        <f>IF(C183=0,$C$154-$C$153,0)+IF(C183=$C$43,$C$55,0)+IF(C183=$C$7,$D$69,0)</f>
        <v>0</v>
      </c>
    </row>
    <row r="184" spans="2:6" ht="15" customHeight="1">
      <c r="B184" s="707" t="str">
        <f>"Year "&amp;C184</f>
        <v>Year 5</v>
      </c>
      <c r="C184" s="723">
        <f>C183+1</f>
        <v>5</v>
      </c>
      <c r="D184" s="711">
        <f>IF(C184=0,$C$154-$C$153,0)+IF(C184=$C$43,$C$55,0)+IF(C184=$C$7,$D$69,0)</f>
        <v>7998.811344637289</v>
      </c>
    </row>
  </sheetData>
  <conditionalFormatting sqref="B6:D41 B61:D64 B66:D73 B75:D76 B83:D92 B94:D99 B101:D106 B108:D114 B116:D122 B124:D129 B131:D136 B138:D143 B145:D149 B59:D59 B79:D81">
    <cfRule type="expression" dxfId="84" priority="3">
      <formula>$H$3=1</formula>
    </cfRule>
  </conditionalFormatting>
  <conditionalFormatting sqref="B42:D58">
    <cfRule type="expression" dxfId="83" priority="2">
      <formula>$H$3=1</formula>
    </cfRule>
  </conditionalFormatting>
  <conditionalFormatting sqref="B77:D78">
    <cfRule type="expression" dxfId="0" priority="1">
      <formula>$H$3=1</formula>
    </cfRule>
  </conditionalFormatting>
  <pageMargins left="0.7" right="0.7" top="0.75" bottom="0.75" header="0.3" footer="0.3"/>
  <pageSetup scale="90" orientation="portrait" horizontalDpi="1200" verticalDpi="1200" r:id="rId1"/>
  <rowBreaks count="2" manualBreakCount="2">
    <brk id="40" min="1" max="3" man="1"/>
    <brk id="106" min="1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994B-420B-4E09-9602-3EF4EFE0ABDD}">
  <dimension ref="A1:H235"/>
  <sheetViews>
    <sheetView showGridLines="0" view="pageBreakPreview" zoomScale="145" zoomScaleNormal="100" zoomScaleSheetLayoutView="145" workbookViewId="0">
      <selection activeCell="G18" sqref="G18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8" t="s">
        <v>2246</v>
      </c>
      <c r="C3" s="569"/>
      <c r="D3" s="569"/>
      <c r="E3" s="542"/>
      <c r="G3" s="542" t="s">
        <v>276</v>
      </c>
      <c r="H3" s="609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2090</v>
      </c>
      <c r="C5" s="371" t="s">
        <v>1197</v>
      </c>
      <c r="D5" s="542"/>
      <c r="E5" s="542"/>
      <c r="F5" s="370" t="s">
        <v>2141</v>
      </c>
      <c r="G5" s="2"/>
    </row>
    <row r="6" spans="1:8">
      <c r="A6" s="542"/>
      <c r="B6" s="570" t="s">
        <v>2086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2233</v>
      </c>
      <c r="C7" s="689">
        <v>0.3</v>
      </c>
      <c r="D7" s="542"/>
      <c r="E7" s="542"/>
      <c r="F7" s="542" t="s">
        <v>2282</v>
      </c>
    </row>
    <row r="8" spans="1:8" s="2" customFormat="1" ht="14.25">
      <c r="A8" s="542"/>
      <c r="B8" s="542" t="s">
        <v>2065</v>
      </c>
      <c r="C8" s="578">
        <v>5</v>
      </c>
      <c r="D8" s="542"/>
      <c r="E8" s="542"/>
      <c r="F8" s="542" t="s">
        <v>2142</v>
      </c>
    </row>
    <row r="9" spans="1:8" s="2" customFormat="1" ht="14.25">
      <c r="A9" s="542"/>
      <c r="B9" s="542" t="s">
        <v>2135</v>
      </c>
      <c r="C9" s="599">
        <v>261</v>
      </c>
      <c r="D9" s="542"/>
      <c r="E9" s="542"/>
      <c r="F9" s="85" t="s">
        <v>2143</v>
      </c>
    </row>
    <row r="10" spans="1:8" s="2" customFormat="1" ht="14.25">
      <c r="A10" s="542"/>
      <c r="B10" s="542" t="s">
        <v>2098</v>
      </c>
      <c r="C10" s="632">
        <f>C9*12</f>
        <v>3132</v>
      </c>
      <c r="D10" s="542"/>
      <c r="E10" s="542"/>
      <c r="F10" s="85"/>
    </row>
    <row r="11" spans="1:8" s="2" customFormat="1" ht="14.25">
      <c r="A11" s="542"/>
      <c r="B11" s="542" t="s">
        <v>2096</v>
      </c>
      <c r="C11" s="633">
        <f>IFERROR(C167/C10,0)</f>
        <v>19.157088122605366</v>
      </c>
      <c r="D11" s="542"/>
      <c r="E11" s="542"/>
      <c r="F11" s="542" t="s">
        <v>2398</v>
      </c>
    </row>
    <row r="12" spans="1:8" s="2" customFormat="1" ht="14.25">
      <c r="A12" s="542"/>
      <c r="B12" s="542" t="s">
        <v>2097</v>
      </c>
      <c r="C12" s="634">
        <f>C11</f>
        <v>19.157088122605366</v>
      </c>
      <c r="D12" s="542"/>
      <c r="E12" s="542"/>
      <c r="F12" s="542" t="s">
        <v>2144</v>
      </c>
    </row>
    <row r="13" spans="1:8" s="2" customFormat="1" ht="14.25">
      <c r="A13" s="542"/>
      <c r="B13" s="542" t="s">
        <v>2136</v>
      </c>
      <c r="C13" s="115">
        <v>325</v>
      </c>
      <c r="D13" s="542"/>
      <c r="E13" s="542"/>
      <c r="F13" s="85" t="s">
        <v>2145</v>
      </c>
    </row>
    <row r="14" spans="1:8" s="2" customFormat="1" ht="14.25">
      <c r="A14" s="542"/>
      <c r="B14" s="542" t="s">
        <v>2088</v>
      </c>
      <c r="C14" s="635">
        <f>C10/C13</f>
        <v>9.6369230769230771</v>
      </c>
      <c r="D14" s="542"/>
      <c r="E14" s="542"/>
      <c r="F14" s="542"/>
    </row>
    <row r="15" spans="1:8" s="2" customFormat="1" ht="14.25">
      <c r="A15" s="542"/>
      <c r="B15" s="542" t="s">
        <v>2089</v>
      </c>
      <c r="C15" s="115">
        <v>130</v>
      </c>
      <c r="D15" s="542"/>
      <c r="E15" s="542"/>
      <c r="F15" s="85" t="s">
        <v>2157</v>
      </c>
    </row>
    <row r="16" spans="1:8" s="2" customFormat="1" ht="14.25">
      <c r="A16" s="542"/>
      <c r="B16" s="579" t="s">
        <v>2093</v>
      </c>
      <c r="C16" s="598">
        <f>C15*$C$8</f>
        <v>650</v>
      </c>
      <c r="D16" s="542"/>
      <c r="E16" s="542"/>
      <c r="F16" s="542"/>
    </row>
    <row r="17" spans="1:7" s="2" customFormat="1" ht="14.25">
      <c r="A17" s="542"/>
      <c r="B17" s="589" t="s">
        <v>2095</v>
      </c>
      <c r="C17" s="593">
        <f>C16*C14</f>
        <v>6264</v>
      </c>
      <c r="D17" s="542"/>
      <c r="E17" s="542"/>
      <c r="F17" s="542"/>
    </row>
    <row r="18" spans="1:7" ht="3.95" customHeight="1">
      <c r="A18" s="542"/>
      <c r="B18" s="542"/>
      <c r="C18" s="578"/>
      <c r="D18" s="542"/>
      <c r="E18" s="542"/>
      <c r="F18" s="542"/>
      <c r="G18" s="2"/>
    </row>
    <row r="19" spans="1:7">
      <c r="A19" s="542"/>
      <c r="B19" s="645" t="s">
        <v>2091</v>
      </c>
      <c r="C19" s="570"/>
      <c r="D19" s="542"/>
      <c r="E19" s="542"/>
      <c r="F19" s="542"/>
      <c r="G19" s="2"/>
    </row>
    <row r="20" spans="1:7" ht="15" customHeight="1">
      <c r="A20" s="542"/>
      <c r="B20" s="542" t="s">
        <v>2032</v>
      </c>
      <c r="C20" s="646">
        <v>1</v>
      </c>
      <c r="D20" s="542"/>
      <c r="E20" s="542"/>
      <c r="F20" s="542" t="s">
        <v>2147</v>
      </c>
      <c r="G20" s="2"/>
    </row>
    <row r="21" spans="1:7" ht="15" customHeight="1">
      <c r="A21" s="542"/>
      <c r="B21" s="542" t="s">
        <v>2158</v>
      </c>
      <c r="C21" s="646">
        <v>1.25</v>
      </c>
      <c r="D21" s="542"/>
      <c r="E21" s="542"/>
      <c r="F21" s="542" t="s">
        <v>2159</v>
      </c>
      <c r="G21" s="2"/>
    </row>
    <row r="22" spans="1:7">
      <c r="A22" s="542"/>
      <c r="B22" s="542" t="s">
        <v>2083</v>
      </c>
      <c r="C22" s="584">
        <f>+'Steady-State Staffing'!AB8</f>
        <v>16.631472994350275</v>
      </c>
      <c r="D22" s="2"/>
      <c r="E22" s="542"/>
      <c r="F22" s="542" t="s">
        <v>2148</v>
      </c>
      <c r="G22" s="2"/>
    </row>
    <row r="23" spans="1:7">
      <c r="A23" s="542"/>
      <c r="B23" s="542" t="s">
        <v>2178</v>
      </c>
      <c r="C23" s="286">
        <v>3</v>
      </c>
      <c r="D23" s="2"/>
      <c r="E23" s="542"/>
      <c r="F23" s="542" t="s">
        <v>2399</v>
      </c>
      <c r="G23" s="2"/>
    </row>
    <row r="24" spans="1:7">
      <c r="A24" s="542"/>
      <c r="B24" s="579" t="s">
        <v>2082</v>
      </c>
      <c r="C24" s="643">
        <f>C23*12</f>
        <v>36</v>
      </c>
      <c r="D24" s="542"/>
      <c r="E24" s="542"/>
      <c r="F24" s="542" t="s">
        <v>2179</v>
      </c>
      <c r="G24" s="2"/>
    </row>
    <row r="25" spans="1:7">
      <c r="A25" s="542"/>
      <c r="B25" s="591" t="s">
        <v>2093</v>
      </c>
      <c r="C25" s="592">
        <f>C24*$C$8</f>
        <v>180</v>
      </c>
      <c r="D25" s="542"/>
      <c r="E25" s="542"/>
      <c r="F25" s="542"/>
      <c r="G25" s="2"/>
    </row>
    <row r="26" spans="1:7">
      <c r="A26" s="542"/>
      <c r="B26" s="589" t="s">
        <v>2095</v>
      </c>
      <c r="C26" s="594">
        <f>C25*C22</f>
        <v>2993.6651389830495</v>
      </c>
      <c r="D26" s="542"/>
      <c r="E26" s="542"/>
      <c r="F26" s="542"/>
      <c r="G26" s="2"/>
    </row>
    <row r="27" spans="1:7" ht="3.95" customHeight="1">
      <c r="A27" s="542"/>
      <c r="B27" s="2"/>
      <c r="C27" s="2"/>
      <c r="D27" s="542"/>
      <c r="E27" s="542"/>
      <c r="F27" s="542"/>
      <c r="G27" s="2"/>
    </row>
    <row r="28" spans="1:7" ht="12.75" customHeight="1">
      <c r="A28" s="542"/>
      <c r="B28" s="570" t="s">
        <v>2092</v>
      </c>
      <c r="C28" s="570"/>
      <c r="D28" s="542"/>
      <c r="E28" s="542"/>
      <c r="F28" s="542"/>
      <c r="G28" s="2"/>
    </row>
    <row r="29" spans="1:7" ht="12.75" customHeight="1">
      <c r="A29" s="542"/>
      <c r="B29" s="542" t="s">
        <v>2087</v>
      </c>
      <c r="C29" s="646">
        <v>2</v>
      </c>
      <c r="D29" s="542"/>
      <c r="E29" s="542"/>
      <c r="F29" s="542" t="s">
        <v>2149</v>
      </c>
      <c r="G29" s="2"/>
    </row>
    <row r="30" spans="1:7" ht="12.75" customHeight="1">
      <c r="A30" s="542"/>
      <c r="B30" s="542" t="s">
        <v>2137</v>
      </c>
      <c r="C30" s="46">
        <v>240</v>
      </c>
      <c r="D30" s="542"/>
      <c r="E30" s="542"/>
      <c r="F30" s="542" t="s">
        <v>2150</v>
      </c>
      <c r="G30" s="2"/>
    </row>
    <row r="31" spans="1:7" ht="3.95" customHeight="1">
      <c r="A31" s="542"/>
      <c r="B31" s="542"/>
      <c r="C31" s="585"/>
      <c r="D31" s="542"/>
      <c r="E31" s="542"/>
      <c r="F31" s="542"/>
      <c r="G31" s="2"/>
    </row>
    <row r="32" spans="1:7" s="586" customFormat="1" ht="12.75" customHeight="1">
      <c r="A32" s="542"/>
      <c r="B32" s="638" t="str">
        <f>+B22</f>
        <v>Avg. Revenue Per Client</v>
      </c>
      <c r="C32" s="587">
        <f>+C22</f>
        <v>16.631472994350275</v>
      </c>
      <c r="D32" s="542"/>
      <c r="E32" s="542"/>
      <c r="F32" s="542"/>
      <c r="G32" s="638"/>
    </row>
    <row r="33" spans="1:7" s="586" customFormat="1" ht="12.75" customHeight="1">
      <c r="A33" s="542"/>
      <c r="B33" s="644" t="s">
        <v>2304</v>
      </c>
      <c r="C33" s="653">
        <v>0</v>
      </c>
      <c r="D33" s="542"/>
      <c r="E33" s="542"/>
      <c r="F33" s="542" t="s">
        <v>2400</v>
      </c>
      <c r="G33" s="638"/>
    </row>
    <row r="34" spans="1:7" s="586" customFormat="1" ht="12.75" customHeight="1">
      <c r="A34" s="542"/>
      <c r="B34" s="60" t="s">
        <v>2085</v>
      </c>
      <c r="C34" s="383">
        <f>+C32+C33</f>
        <v>16.631472994350275</v>
      </c>
      <c r="D34" s="542"/>
      <c r="E34" s="542"/>
      <c r="F34" s="542"/>
      <c r="G34" s="638"/>
    </row>
    <row r="35" spans="1:7" s="586" customFormat="1" ht="3.95" customHeight="1">
      <c r="A35" s="542"/>
      <c r="B35" s="638"/>
      <c r="C35" s="638"/>
      <c r="D35" s="542"/>
      <c r="E35" s="542"/>
      <c r="F35" s="542"/>
      <c r="G35" s="638"/>
    </row>
    <row r="36" spans="1:7" s="586" customFormat="1" ht="12.75" customHeight="1">
      <c r="A36" s="542"/>
      <c r="B36" s="638" t="str">
        <f>+B24</f>
        <v>Annual Net Client Wins</v>
      </c>
      <c r="C36" s="83">
        <f>+C24</f>
        <v>36</v>
      </c>
      <c r="D36" s="542"/>
      <c r="E36" s="542"/>
      <c r="F36" s="542"/>
      <c r="G36" s="638"/>
    </row>
    <row r="37" spans="1:7" s="586" customFormat="1" ht="12.75" customHeight="1">
      <c r="A37" s="542"/>
      <c r="B37" s="644" t="s">
        <v>2084</v>
      </c>
      <c r="C37" s="115">
        <v>12</v>
      </c>
      <c r="D37" s="542"/>
      <c r="E37" s="542"/>
      <c r="F37" s="85" t="s">
        <v>2146</v>
      </c>
      <c r="G37" s="638"/>
    </row>
    <row r="38" spans="1:7" s="586" customFormat="1" ht="12.75" customHeight="1">
      <c r="A38" s="542"/>
      <c r="B38" s="104" t="s">
        <v>2094</v>
      </c>
      <c r="C38" s="588">
        <f>SUM(C36:C37)</f>
        <v>48</v>
      </c>
      <c r="D38" s="542"/>
      <c r="E38" s="542"/>
      <c r="F38" s="542"/>
      <c r="G38" s="638"/>
    </row>
    <row r="39" spans="1:7">
      <c r="A39" s="542"/>
      <c r="B39" s="591" t="s">
        <v>2093</v>
      </c>
      <c r="C39" s="592">
        <f>C38*$C$8</f>
        <v>240</v>
      </c>
      <c r="D39" s="542"/>
      <c r="E39" s="542"/>
      <c r="F39" s="542"/>
      <c r="G39" s="2"/>
    </row>
    <row r="40" spans="1:7">
      <c r="A40" s="542"/>
      <c r="B40" s="591" t="s">
        <v>2095</v>
      </c>
      <c r="C40" s="595">
        <f>C39*C34</f>
        <v>3991.5535186440661</v>
      </c>
      <c r="D40" s="542"/>
      <c r="E40" s="542"/>
      <c r="F40" s="542"/>
      <c r="G40" s="2"/>
    </row>
    <row r="41" spans="1:7">
      <c r="A41" s="542"/>
      <c r="B41" s="596" t="s">
        <v>2099</v>
      </c>
      <c r="C41" s="597">
        <f>C40-C26</f>
        <v>997.88837966101664</v>
      </c>
      <c r="D41" s="542"/>
      <c r="E41" s="542"/>
      <c r="F41" s="542"/>
      <c r="G41" s="2"/>
    </row>
    <row r="42" spans="1:7" ht="3.95" customHeight="1">
      <c r="A42" s="542"/>
      <c r="B42" s="663"/>
      <c r="C42" s="665"/>
      <c r="D42" s="663"/>
      <c r="E42" s="542"/>
      <c r="F42" s="452"/>
      <c r="G42" s="2"/>
    </row>
    <row r="43" spans="1:7" ht="15" customHeight="1">
      <c r="A43" s="542"/>
      <c r="B43" s="570" t="s">
        <v>2413</v>
      </c>
      <c r="C43" s="570"/>
      <c r="D43" s="542"/>
      <c r="F43" s="452"/>
      <c r="G43" s="2"/>
    </row>
    <row r="44" spans="1:7" ht="15" customHeight="1">
      <c r="A44" s="542"/>
      <c r="B44" s="707" t="s">
        <v>2328</v>
      </c>
      <c r="C44" s="712">
        <v>3</v>
      </c>
      <c r="D44" s="707"/>
      <c r="F44" s="452" t="s">
        <v>2431</v>
      </c>
      <c r="G44" s="2"/>
    </row>
    <row r="45" spans="1:7" ht="15" customHeight="1">
      <c r="A45" s="542"/>
      <c r="B45" s="707" t="s">
        <v>2329</v>
      </c>
      <c r="C45" s="715">
        <f>C160</f>
        <v>2998.5410200000001</v>
      </c>
      <c r="D45" s="707"/>
      <c r="F45" s="452" t="s">
        <v>2432</v>
      </c>
      <c r="G45" s="2"/>
    </row>
    <row r="46" spans="1:7" ht="15" customHeight="1">
      <c r="A46" s="542"/>
      <c r="B46" s="707" t="s">
        <v>2428</v>
      </c>
      <c r="C46" s="711">
        <f>C45+C40*(C44-(C55-1)/2/12)/C8</f>
        <v>5326.9472392090383</v>
      </c>
      <c r="D46" s="707"/>
      <c r="F46" s="452" t="s">
        <v>2429</v>
      </c>
      <c r="G46" s="2"/>
    </row>
    <row r="47" spans="1:7" ht="15" customHeight="1">
      <c r="A47" s="542"/>
      <c r="B47" s="707" t="s">
        <v>2330</v>
      </c>
      <c r="C47" s="713">
        <v>1</v>
      </c>
      <c r="D47" s="707"/>
      <c r="F47" s="452" t="s">
        <v>2336</v>
      </c>
      <c r="G47" s="2"/>
    </row>
    <row r="48" spans="1:7" ht="15" customHeight="1">
      <c r="A48" s="542"/>
      <c r="B48" s="737" t="s">
        <v>2430</v>
      </c>
      <c r="C48" s="746">
        <f>C46*C47</f>
        <v>5326.9472392090383</v>
      </c>
      <c r="D48" s="707"/>
      <c r="F48" s="452"/>
      <c r="G48" s="2"/>
    </row>
    <row r="49" spans="1:7" ht="15" customHeight="1">
      <c r="A49" s="542"/>
      <c r="B49" s="707" t="s">
        <v>2331</v>
      </c>
      <c r="C49" s="713">
        <v>0.8</v>
      </c>
      <c r="D49" s="707"/>
      <c r="F49" s="452" t="s">
        <v>2419</v>
      </c>
      <c r="G49" s="2"/>
    </row>
    <row r="50" spans="1:7" ht="15" customHeight="1">
      <c r="A50" s="542"/>
      <c r="B50" s="707" t="s">
        <v>2414</v>
      </c>
      <c r="C50" s="742">
        <v>500</v>
      </c>
      <c r="D50" s="707"/>
      <c r="F50" s="452" t="s">
        <v>2420</v>
      </c>
      <c r="G50" s="2"/>
    </row>
    <row r="51" spans="1:7" ht="15" customHeight="1">
      <c r="A51" s="542"/>
      <c r="B51" s="707" t="s">
        <v>2415</v>
      </c>
      <c r="C51" s="743">
        <v>0.5</v>
      </c>
      <c r="D51" s="707"/>
      <c r="F51" s="452" t="s">
        <v>2421</v>
      </c>
      <c r="G51" s="2"/>
    </row>
    <row r="52" spans="1:7" ht="15" customHeight="1">
      <c r="A52" s="542"/>
      <c r="B52" s="707" t="s">
        <v>2416</v>
      </c>
      <c r="C52" s="743">
        <v>1.5</v>
      </c>
      <c r="D52" s="707"/>
      <c r="F52" s="452" t="s">
        <v>2425</v>
      </c>
      <c r="G52" s="2"/>
    </row>
    <row r="53" spans="1:7" ht="15" customHeight="1">
      <c r="A53" s="542"/>
      <c r="B53" s="707" t="s">
        <v>2417</v>
      </c>
      <c r="C53" s="744">
        <f>IF(C47&lt;C49,0,MIN(C52,C51+(1-C51)*(C47-C49)/(1-C49)))</f>
        <v>1</v>
      </c>
      <c r="D53" s="707"/>
      <c r="F53" s="452" t="s">
        <v>2422</v>
      </c>
      <c r="G53" s="2"/>
    </row>
    <row r="54" spans="1:7" ht="15" customHeight="1">
      <c r="A54" s="542"/>
      <c r="B54" s="707" t="s">
        <v>2418</v>
      </c>
      <c r="C54" s="745">
        <f>C50*C52</f>
        <v>750</v>
      </c>
      <c r="D54" s="707"/>
      <c r="F54" s="452" t="s">
        <v>2423</v>
      </c>
      <c r="G54" s="2"/>
    </row>
    <row r="55" spans="1:7" ht="15" customHeight="1">
      <c r="A55" s="542"/>
      <c r="B55" s="747" t="s">
        <v>2426</v>
      </c>
      <c r="C55" s="748">
        <v>3</v>
      </c>
      <c r="D55" s="707"/>
      <c r="F55" s="452" t="s">
        <v>2427</v>
      </c>
      <c r="G55" s="2"/>
    </row>
    <row r="56" spans="1:7" ht="15" customHeight="1">
      <c r="A56" s="542"/>
      <c r="B56" s="708" t="s">
        <v>2332</v>
      </c>
      <c r="C56" s="739">
        <f>C50*C53</f>
        <v>500</v>
      </c>
      <c r="D56" s="717"/>
      <c r="F56" s="452" t="s">
        <v>2424</v>
      </c>
      <c r="G56" s="2"/>
    </row>
    <row r="57" spans="1:7" ht="15" customHeight="1">
      <c r="A57" s="542"/>
      <c r="B57" s="707" t="s">
        <v>2333</v>
      </c>
      <c r="C57" s="713">
        <v>0.7</v>
      </c>
      <c r="D57" s="707"/>
      <c r="F57" s="452" t="s">
        <v>2337</v>
      </c>
      <c r="G57" s="2"/>
    </row>
    <row r="58" spans="1:7" ht="15" customHeight="1">
      <c r="A58" s="542"/>
      <c r="B58" s="707" t="s">
        <v>2334</v>
      </c>
      <c r="C58" s="714">
        <v>0.15</v>
      </c>
      <c r="D58" s="707"/>
      <c r="F58" s="452" t="s">
        <v>2337</v>
      </c>
      <c r="G58" s="2"/>
    </row>
    <row r="59" spans="1:7" ht="15" customHeight="1">
      <c r="A59" s="542"/>
      <c r="B59" s="718" t="s">
        <v>2335</v>
      </c>
      <c r="C59" s="719">
        <f>C56*C57/(1+C58)^C44</f>
        <v>230.13068135119593</v>
      </c>
      <c r="D59" s="718"/>
      <c r="F59" s="452" t="s">
        <v>2338</v>
      </c>
      <c r="G59" s="2"/>
    </row>
    <row r="60" spans="1:7" s="586" customFormat="1" ht="3.95" customHeight="1">
      <c r="A60" s="542"/>
      <c r="B60" s="638"/>
      <c r="C60" s="638"/>
      <c r="D60" s="542"/>
      <c r="E60" s="542"/>
      <c r="F60" s="452"/>
      <c r="G60" s="638"/>
    </row>
    <row r="61" spans="1:7">
      <c r="A61" s="542"/>
      <c r="B61" s="370" t="s">
        <v>2004</v>
      </c>
      <c r="C61" s="371" t="str">
        <f>C$159</f>
        <v>Today</v>
      </c>
      <c r="D61" s="371" t="str">
        <f>"Year "&amp;$C$8</f>
        <v>Year 5</v>
      </c>
      <c r="E61" s="542"/>
      <c r="F61" s="452"/>
      <c r="G61" s="2"/>
    </row>
    <row r="62" spans="1:7">
      <c r="A62" s="542"/>
      <c r="B62" s="542" t="s">
        <v>2006</v>
      </c>
      <c r="C62" s="166">
        <f>ROUND(C160*C20,-1)</f>
        <v>3000</v>
      </c>
      <c r="D62" s="543">
        <f>(C160+C26)*$C$21</f>
        <v>7490.2576987288121</v>
      </c>
      <c r="E62" s="542"/>
      <c r="F62" s="452" t="s">
        <v>2155</v>
      </c>
      <c r="G62" s="2"/>
    </row>
    <row r="63" spans="1:7">
      <c r="A63" s="542"/>
      <c r="B63" s="542" t="s">
        <v>2007</v>
      </c>
      <c r="C63" s="573">
        <f>'Offer Overview'!$C$27</f>
        <v>1</v>
      </c>
      <c r="D63" s="544">
        <f>$C$63</f>
        <v>1</v>
      </c>
      <c r="E63" s="542"/>
      <c r="F63" s="452"/>
      <c r="G63" s="2"/>
    </row>
    <row r="64" spans="1:7">
      <c r="A64" s="542"/>
      <c r="B64" s="538" t="s">
        <v>2066</v>
      </c>
      <c r="C64" s="552">
        <f>C62*C63</f>
        <v>3000</v>
      </c>
      <c r="D64" s="600">
        <f>D62*D63</f>
        <v>7490.2576987288121</v>
      </c>
      <c r="E64" s="542"/>
      <c r="F64" s="452"/>
      <c r="G64" s="2"/>
    </row>
    <row r="65" spans="1:7" ht="3.95" customHeight="1">
      <c r="A65" s="542"/>
      <c r="B65" s="542"/>
      <c r="C65" s="542"/>
      <c r="D65" s="542"/>
      <c r="E65" s="542"/>
      <c r="F65" s="452"/>
      <c r="G65" s="2"/>
    </row>
    <row r="66" spans="1:7">
      <c r="A66" s="542"/>
      <c r="B66" s="370" t="str">
        <f>"Scenario 2 — Ben Rolls "&amp;TEXT($C$162,"0%")&amp;" of Keystone Equity"</f>
        <v>Scenario 2 — Ben Rolls 30% of Keystone Equity</v>
      </c>
      <c r="C66" s="613" t="str">
        <f>C$159</f>
        <v>Today</v>
      </c>
      <c r="D66" s="613" t="str">
        <f>D$61</f>
        <v>Year 5</v>
      </c>
      <c r="E66" s="542"/>
      <c r="F66" s="452"/>
      <c r="G66" s="2"/>
    </row>
    <row r="67" spans="1:7">
      <c r="A67" s="542"/>
      <c r="B67" s="663" t="s">
        <v>2247</v>
      </c>
      <c r="C67" s="683">
        <f>C161</f>
        <v>3000</v>
      </c>
      <c r="D67" s="664">
        <f>(C40+C160)*C29</f>
        <v>13980.189077288132</v>
      </c>
      <c r="E67" s="542"/>
      <c r="F67" s="452" t="s">
        <v>2288</v>
      </c>
      <c r="G67" s="2"/>
    </row>
    <row r="68" spans="1:7">
      <c r="A68" s="542"/>
      <c r="B68" s="663" t="s">
        <v>2248</v>
      </c>
      <c r="C68" s="684">
        <f>$C$162</f>
        <v>0.3</v>
      </c>
      <c r="D68" s="684">
        <f>$C$162</f>
        <v>0.3</v>
      </c>
      <c r="E68" s="542"/>
      <c r="F68" s="452"/>
      <c r="G68" s="2"/>
    </row>
    <row r="69" spans="1:7">
      <c r="A69" s="542"/>
      <c r="B69" s="521" t="s">
        <v>2008</v>
      </c>
      <c r="C69" s="525">
        <f>C67*C68</f>
        <v>900</v>
      </c>
      <c r="D69" s="527">
        <f>D67*D68</f>
        <v>4194.0567231864397</v>
      </c>
      <c r="E69" s="542"/>
      <c r="F69" s="430" t="s">
        <v>2289</v>
      </c>
      <c r="G69" s="2"/>
    </row>
    <row r="70" spans="1:7" ht="3.95" customHeight="1">
      <c r="A70" s="542"/>
      <c r="B70" s="663"/>
      <c r="C70" s="664"/>
      <c r="D70" s="664"/>
      <c r="E70" s="542"/>
      <c r="F70" s="430"/>
      <c r="G70" s="2"/>
    </row>
    <row r="71" spans="1:7">
      <c r="A71" s="542"/>
      <c r="B71" s="663" t="s">
        <v>2067</v>
      </c>
      <c r="C71" s="685">
        <f>C170</f>
        <v>59500</v>
      </c>
      <c r="D71" s="665">
        <f>(C10+C17)*C12-$C$165-$C$56</f>
        <v>179000.00000000003</v>
      </c>
      <c r="E71" s="542"/>
      <c r="F71" s="452"/>
      <c r="G71" s="2"/>
    </row>
    <row r="72" spans="1:7">
      <c r="A72" s="542"/>
      <c r="B72" s="663" t="s">
        <v>2250</v>
      </c>
      <c r="C72" s="665">
        <f>C67*$C$163</f>
        <v>2100</v>
      </c>
      <c r="D72" s="665">
        <f>D67*$C$163</f>
        <v>9786.1323541016918</v>
      </c>
      <c r="E72" s="542"/>
      <c r="F72" s="452" t="s">
        <v>2290</v>
      </c>
      <c r="G72" s="2"/>
    </row>
    <row r="73" spans="1:7">
      <c r="A73" s="542"/>
      <c r="B73" s="668" t="s">
        <v>2251</v>
      </c>
      <c r="C73" s="669">
        <f>C71+C72</f>
        <v>61600</v>
      </c>
      <c r="D73" s="669">
        <f>D71+D72</f>
        <v>188786.13235410172</v>
      </c>
      <c r="E73" s="542"/>
      <c r="F73" s="452"/>
      <c r="G73" s="2"/>
    </row>
    <row r="74" spans="1:7">
      <c r="A74" s="542"/>
      <c r="B74" s="663" t="s">
        <v>2252</v>
      </c>
      <c r="C74" s="686">
        <f>$C$169</f>
        <v>2.5974025974025976E-2</v>
      </c>
      <c r="D74" s="686">
        <f>$C$169</f>
        <v>2.5974025974025976E-2</v>
      </c>
      <c r="E74" s="542"/>
      <c r="F74" s="452"/>
      <c r="G74" s="2"/>
    </row>
    <row r="75" spans="1:7">
      <c r="A75" s="542"/>
      <c r="B75" s="521" t="s">
        <v>2070</v>
      </c>
      <c r="C75" s="525">
        <f>C73*C74</f>
        <v>1600</v>
      </c>
      <c r="D75" s="527">
        <f>D73*D74</f>
        <v>4903.5359053013435</v>
      </c>
      <c r="E75" s="542"/>
      <c r="F75" s="452" t="s">
        <v>2401</v>
      </c>
      <c r="G75" s="2"/>
    </row>
    <row r="76" spans="1:7" ht="15" customHeight="1">
      <c r="A76" s="542"/>
      <c r="B76" s="690" t="s">
        <v>2284</v>
      </c>
      <c r="C76" s="664"/>
      <c r="D76" s="664"/>
      <c r="E76" s="542"/>
      <c r="F76" s="452"/>
      <c r="G76" s="2"/>
    </row>
    <row r="77" spans="1:7" ht="15" customHeight="1">
      <c r="A77" s="542"/>
      <c r="B77" s="663" t="s">
        <v>2285</v>
      </c>
      <c r="C77" s="683">
        <f>C69</f>
        <v>900</v>
      </c>
      <c r="D77" s="683">
        <f>D69</f>
        <v>4194.0567231864397</v>
      </c>
      <c r="E77" s="542"/>
      <c r="F77" s="452" t="s">
        <v>2291</v>
      </c>
      <c r="G77" s="2"/>
    </row>
    <row r="78" spans="1:7" ht="15" customHeight="1">
      <c r="A78" s="542"/>
      <c r="B78" s="663" t="s">
        <v>2286</v>
      </c>
      <c r="C78" s="665">
        <f>C72*C74</f>
        <v>54.545454545454547</v>
      </c>
      <c r="D78" s="665">
        <f>D72*D74</f>
        <v>254.18525595069332</v>
      </c>
      <c r="E78" s="542"/>
      <c r="F78" s="452" t="s">
        <v>2257</v>
      </c>
      <c r="G78" s="2"/>
    </row>
    <row r="79" spans="1:7" ht="15" customHeight="1">
      <c r="A79" s="542"/>
      <c r="B79" s="663" t="s">
        <v>2287</v>
      </c>
      <c r="C79" s="665">
        <f>C71*C74</f>
        <v>1545.4545454545455</v>
      </c>
      <c r="D79" s="665">
        <f>D71*D74</f>
        <v>4649.3506493506502</v>
      </c>
      <c r="E79" s="542"/>
      <c r="F79" s="452" t="s">
        <v>2292</v>
      </c>
      <c r="G79" s="2"/>
    </row>
    <row r="80" spans="1:7">
      <c r="A80" s="542"/>
      <c r="B80" s="663" t="s">
        <v>2071</v>
      </c>
      <c r="C80" s="685">
        <f>$C$165</f>
        <v>500</v>
      </c>
      <c r="D80" s="685">
        <f>$C$165</f>
        <v>500</v>
      </c>
      <c r="E80" s="542"/>
      <c r="F80" s="452"/>
      <c r="G80" s="2"/>
    </row>
    <row r="81" spans="1:7" ht="15" customHeight="1">
      <c r="A81" s="542"/>
      <c r="B81" s="707" t="s">
        <v>2339</v>
      </c>
      <c r="C81" s="711"/>
      <c r="D81" s="720">
        <f>$C$56</f>
        <v>500</v>
      </c>
      <c r="E81" s="542"/>
      <c r="F81" s="452"/>
      <c r="G81" s="2"/>
    </row>
    <row r="82" spans="1:7">
      <c r="A82" s="542"/>
      <c r="B82" s="521" t="s">
        <v>2072</v>
      </c>
      <c r="C82" s="525">
        <f>SUM(C77:C81)</f>
        <v>3000</v>
      </c>
      <c r="D82" s="527">
        <f>SUM(D77:D81)</f>
        <v>10097.592628487782</v>
      </c>
      <c r="E82" s="542"/>
      <c r="F82" s="452" t="s">
        <v>2293</v>
      </c>
      <c r="G82" s="2"/>
    </row>
    <row r="83" spans="1:7" ht="3.95" customHeight="1">
      <c r="A83" s="542"/>
      <c r="B83" s="663"/>
      <c r="C83" s="663"/>
      <c r="D83" s="663"/>
      <c r="E83" s="542"/>
      <c r="F83" s="452"/>
      <c r="G83" s="2"/>
    </row>
    <row r="84" spans="1:7">
      <c r="A84" s="542"/>
      <c r="B84" s="370" t="s">
        <v>2080</v>
      </c>
      <c r="C84" s="613" t="str">
        <f>C$159</f>
        <v>Today</v>
      </c>
      <c r="D84" s="613" t="str">
        <f>D$61</f>
        <v>Year 5</v>
      </c>
      <c r="E84" s="542"/>
      <c r="F84" s="452"/>
      <c r="G84" s="2"/>
    </row>
    <row r="85" spans="1:7">
      <c r="A85" s="542"/>
      <c r="B85" s="671" t="s">
        <v>2081</v>
      </c>
      <c r="C85" s="678">
        <f>C82-C64</f>
        <v>0</v>
      </c>
      <c r="D85" s="672">
        <f>D82-D64</f>
        <v>2607.3349297589702</v>
      </c>
      <c r="E85" s="542"/>
      <c r="F85" s="452"/>
      <c r="G85" s="2"/>
    </row>
    <row r="86" spans="1:7">
      <c r="A86" s="542"/>
      <c r="B86" s="673" t="s">
        <v>285</v>
      </c>
      <c r="C86" s="691">
        <v>0</v>
      </c>
      <c r="D86" s="674">
        <f>IFERROR(D82/D64-1,0)</f>
        <v>0.34809682585439838</v>
      </c>
      <c r="E86" s="542"/>
      <c r="F86" s="452"/>
      <c r="G86" s="2"/>
    </row>
    <row r="87" spans="1:7" ht="15" customHeight="1">
      <c r="A87" s="542"/>
      <c r="B87" s="591" t="s">
        <v>2409</v>
      </c>
      <c r="C87" s="691"/>
      <c r="D87" s="693">
        <f>IFERROR(D82/C161,0)</f>
        <v>3.3658642094959275</v>
      </c>
      <c r="E87" s="542"/>
      <c r="F87" s="542" t="s">
        <v>2397</v>
      </c>
      <c r="G87" s="2"/>
    </row>
    <row r="88" spans="1:7" ht="15" customHeight="1">
      <c r="A88" s="542"/>
      <c r="B88" s="591" t="s">
        <v>2410</v>
      </c>
      <c r="C88" s="691"/>
      <c r="D88" s="740">
        <f>IFERROR(IRR(D203:D208),0)</f>
        <v>0.31863568975328049</v>
      </c>
      <c r="E88" s="542"/>
      <c r="F88" s="542" t="s">
        <v>2394</v>
      </c>
      <c r="G88" s="2"/>
    </row>
    <row r="89" spans="1:7">
      <c r="A89" s="542"/>
      <c r="B89" s="692" t="s">
        <v>2411</v>
      </c>
      <c r="C89" s="691">
        <v>0</v>
      </c>
      <c r="D89" s="741">
        <f>MAX(0,IFERROR(((C127+$C$56)/$C$170)^(1/$C$8)-1,0))</f>
        <v>5.864715198388426E-2</v>
      </c>
      <c r="E89" s="542"/>
      <c r="F89" s="452" t="s">
        <v>2412</v>
      </c>
      <c r="G89" s="2"/>
    </row>
    <row r="90" spans="1:7">
      <c r="A90" s="542"/>
      <c r="B90" s="694" t="s">
        <v>2100</v>
      </c>
      <c r="C90" s="695">
        <v>0</v>
      </c>
      <c r="D90" s="696">
        <f>IFERROR(((D71+$C$56)/$C$170)^(1/$C$8)-1,0)</f>
        <v>0.24712359925968785</v>
      </c>
      <c r="E90" s="542"/>
      <c r="F90" s="452"/>
      <c r="G90" s="2"/>
    </row>
    <row r="91" spans="1:7" ht="3.95" customHeight="1">
      <c r="A91" s="542"/>
      <c r="B91" s="542"/>
      <c r="C91" s="542"/>
      <c r="D91" s="542"/>
      <c r="E91" s="542"/>
      <c r="F91" s="452"/>
      <c r="G91" s="2"/>
    </row>
    <row r="92" spans="1:7" ht="15" customHeight="1">
      <c r="A92" s="542"/>
      <c r="B92" s="370" t="s">
        <v>2340</v>
      </c>
      <c r="C92" s="613" t="s">
        <v>1197</v>
      </c>
      <c r="D92" s="613"/>
      <c r="E92" s="542"/>
      <c r="F92" s="452"/>
      <c r="G92" s="2"/>
    </row>
    <row r="93" spans="1:7" ht="15" customHeight="1">
      <c r="A93" s="542"/>
      <c r="B93" s="707" t="s">
        <v>2341</v>
      </c>
      <c r="C93" s="715">
        <f>C165</f>
        <v>500</v>
      </c>
      <c r="D93" s="707"/>
      <c r="E93" s="542"/>
      <c r="F93" s="452" t="s">
        <v>2402</v>
      </c>
      <c r="G93" s="2"/>
    </row>
    <row r="94" spans="1:7" ht="15" customHeight="1">
      <c r="A94" s="542"/>
      <c r="B94" s="707" t="s">
        <v>2342</v>
      </c>
      <c r="C94" s="720">
        <f>C166</f>
        <v>1600</v>
      </c>
      <c r="D94" s="707"/>
      <c r="E94" s="542"/>
      <c r="F94" s="452" t="s">
        <v>2403</v>
      </c>
      <c r="G94" s="2"/>
    </row>
    <row r="95" spans="1:7" ht="15" customHeight="1">
      <c r="A95" s="542"/>
      <c r="B95" s="707" t="s">
        <v>2339</v>
      </c>
      <c r="C95" s="720">
        <f>C56</f>
        <v>500</v>
      </c>
      <c r="D95" s="707"/>
      <c r="E95" s="542"/>
      <c r="F95" s="452" t="s">
        <v>2351</v>
      </c>
      <c r="G95" s="2"/>
    </row>
    <row r="96" spans="1:7" ht="15" customHeight="1">
      <c r="A96" s="542"/>
      <c r="B96" s="725" t="s">
        <v>2343</v>
      </c>
      <c r="C96" s="726">
        <f>SUM(C93:C95)</f>
        <v>2600</v>
      </c>
      <c r="D96" s="717"/>
      <c r="E96" s="542"/>
      <c r="F96" s="452" t="s">
        <v>2352</v>
      </c>
      <c r="G96" s="2"/>
    </row>
    <row r="97" spans="1:7" ht="15" customHeight="1">
      <c r="A97" s="542"/>
      <c r="B97" s="707" t="s">
        <v>2344</v>
      </c>
      <c r="C97" s="716">
        <f>C163</f>
        <v>0.7</v>
      </c>
      <c r="D97" s="707"/>
      <c r="E97" s="542"/>
      <c r="F97" s="452" t="s">
        <v>2404</v>
      </c>
      <c r="G97" s="2"/>
    </row>
    <row r="98" spans="1:7" ht="15" customHeight="1">
      <c r="A98" s="542"/>
      <c r="B98" s="707" t="s">
        <v>2345</v>
      </c>
      <c r="C98" s="715">
        <f>D67</f>
        <v>13980.189077288132</v>
      </c>
      <c r="D98" s="707"/>
      <c r="E98" s="542"/>
      <c r="F98" s="452" t="s">
        <v>2353</v>
      </c>
      <c r="G98" s="2"/>
    </row>
    <row r="99" spans="1:7" ht="15" customHeight="1">
      <c r="A99" s="542"/>
      <c r="B99" s="731" t="s">
        <v>2346</v>
      </c>
      <c r="C99" s="734">
        <f>C97*C98</f>
        <v>9786.1323541016918</v>
      </c>
      <c r="D99" s="717"/>
      <c r="E99" s="542"/>
      <c r="F99" s="452" t="s">
        <v>2354</v>
      </c>
      <c r="G99" s="2"/>
    </row>
    <row r="100" spans="1:7" ht="15" customHeight="1">
      <c r="A100" s="542"/>
      <c r="B100" s="735" t="s">
        <v>2347</v>
      </c>
      <c r="C100" s="736">
        <f>IFERROR(C99/C96,0)</f>
        <v>3.7638970592698815</v>
      </c>
      <c r="D100" s="717"/>
      <c r="E100" s="542"/>
      <c r="F100" s="452" t="s">
        <v>2355</v>
      </c>
      <c r="G100" s="2"/>
    </row>
    <row r="101" spans="1:7" ht="15" customHeight="1">
      <c r="A101" s="542"/>
      <c r="B101" s="732" t="s">
        <v>2350</v>
      </c>
      <c r="C101" s="733">
        <f>IFERROR(IRR(D195:D200),0)</f>
        <v>0.33471706544745161</v>
      </c>
      <c r="D101" s="727"/>
      <c r="E101" s="542"/>
      <c r="F101" s="452" t="s">
        <v>2405</v>
      </c>
      <c r="G101" s="2"/>
    </row>
    <row r="102" spans="1:7" ht="3.95" customHeight="1">
      <c r="A102" s="542"/>
      <c r="B102" s="542"/>
      <c r="C102" s="542"/>
      <c r="D102" s="661"/>
      <c r="E102" s="542"/>
      <c r="F102" s="452"/>
      <c r="G102" s="2"/>
    </row>
    <row r="103" spans="1:7">
      <c r="A103" s="542"/>
      <c r="B103" s="536" t="s">
        <v>2162</v>
      </c>
      <c r="C103" s="535" t="str">
        <f>D$61</f>
        <v>Year 5</v>
      </c>
      <c r="D103" s="728"/>
      <c r="E103" s="542"/>
      <c r="F103" s="452"/>
      <c r="G103" s="2"/>
    </row>
    <row r="104" spans="1:7">
      <c r="A104" s="542"/>
      <c r="B104" s="638" t="s">
        <v>2160</v>
      </c>
      <c r="C104" s="543">
        <f>+C26+C160</f>
        <v>5992.20615898305</v>
      </c>
      <c r="D104" s="729"/>
      <c r="E104" s="542"/>
      <c r="F104" s="452"/>
      <c r="G104" s="2"/>
    </row>
    <row r="105" spans="1:7" s="586" customFormat="1" ht="12">
      <c r="A105" s="542"/>
      <c r="B105" s="644" t="s">
        <v>2103</v>
      </c>
      <c r="C105" s="637">
        <v>0.15</v>
      </c>
      <c r="D105" s="730"/>
      <c r="E105" s="542"/>
      <c r="F105" s="452" t="s">
        <v>2152</v>
      </c>
      <c r="G105" s="638"/>
    </row>
    <row r="106" spans="1:7" s="586" customFormat="1" ht="12">
      <c r="A106" s="542"/>
      <c r="B106" s="605" t="s">
        <v>2104</v>
      </c>
      <c r="C106" s="125">
        <f>C105*C104</f>
        <v>898.83092384745748</v>
      </c>
      <c r="D106" s="729"/>
      <c r="E106" s="542"/>
      <c r="F106" s="452"/>
      <c r="G106" s="638"/>
    </row>
    <row r="107" spans="1:7">
      <c r="A107" s="542"/>
      <c r="B107" s="638" t="s">
        <v>2102</v>
      </c>
      <c r="C107" s="83">
        <f>+D64</f>
        <v>7490.2576987288121</v>
      </c>
      <c r="D107" s="542"/>
      <c r="E107" s="542"/>
      <c r="F107" s="452"/>
      <c r="G107" s="2"/>
    </row>
    <row r="108" spans="1:7">
      <c r="A108" s="542"/>
      <c r="B108" s="60" t="s">
        <v>2105</v>
      </c>
      <c r="C108" s="606">
        <f>C107/C106</f>
        <v>8.3333333333333339</v>
      </c>
      <c r="D108" s="542"/>
      <c r="E108" s="542"/>
      <c r="F108" s="452"/>
      <c r="G108" s="2"/>
    </row>
    <row r="109" spans="1:7" s="651" customFormat="1" ht="3.95" customHeight="1">
      <c r="A109" s="647"/>
      <c r="B109" s="648"/>
      <c r="C109" s="649"/>
      <c r="D109" s="647"/>
      <c r="E109" s="647"/>
      <c r="F109" s="662"/>
      <c r="G109" s="650"/>
    </row>
    <row r="110" spans="1:7">
      <c r="A110" s="542"/>
      <c r="B110" s="536" t="s">
        <v>2163</v>
      </c>
      <c r="C110" s="535" t="str">
        <f>D$61</f>
        <v>Year 5</v>
      </c>
      <c r="D110" s="2"/>
      <c r="E110" s="542"/>
      <c r="F110" s="452"/>
      <c r="G110" s="2"/>
    </row>
    <row r="111" spans="1:7">
      <c r="A111" s="542"/>
      <c r="B111" s="638" t="s">
        <v>2101</v>
      </c>
      <c r="C111" s="543">
        <f>+C40+C160</f>
        <v>6990.0945386440662</v>
      </c>
      <c r="D111" s="542"/>
      <c r="E111" s="542"/>
      <c r="F111" s="452"/>
      <c r="G111" s="2"/>
    </row>
    <row r="112" spans="1:7" s="586" customFormat="1" ht="15" customHeight="1">
      <c r="A112" s="542"/>
      <c r="B112" s="704" t="s">
        <v>2103</v>
      </c>
      <c r="C112" s="705">
        <v>0.2</v>
      </c>
      <c r="D112" s="663"/>
      <c r="E112" s="542"/>
      <c r="F112" s="452" t="s">
        <v>2327</v>
      </c>
      <c r="G112" s="638"/>
    </row>
    <row r="113" spans="1:7" s="586" customFormat="1" ht="15" customHeight="1">
      <c r="A113" s="542"/>
      <c r="B113" s="706" t="s">
        <v>2104</v>
      </c>
      <c r="C113" s="669">
        <f>C112*C111</f>
        <v>1398.0189077288132</v>
      </c>
      <c r="D113" s="667"/>
      <c r="E113" s="542"/>
      <c r="F113" s="452"/>
      <c r="G113" s="638"/>
    </row>
    <row r="114" spans="1:7" ht="15" customHeight="1">
      <c r="A114" s="542"/>
      <c r="B114" s="707" t="s">
        <v>2102</v>
      </c>
      <c r="C114" s="685">
        <f>D67</f>
        <v>13980.189077288132</v>
      </c>
      <c r="D114" s="663"/>
      <c r="E114" s="542"/>
      <c r="F114" s="452"/>
      <c r="G114" s="2"/>
    </row>
    <row r="115" spans="1:7" ht="15" customHeight="1">
      <c r="A115" s="542"/>
      <c r="B115" s="708" t="s">
        <v>2105</v>
      </c>
      <c r="C115" s="709">
        <f>IFERROR(C114/C113,0)</f>
        <v>10</v>
      </c>
      <c r="D115" s="667"/>
      <c r="E115" s="542"/>
      <c r="F115" s="452"/>
      <c r="G115" s="2"/>
    </row>
    <row r="116" spans="1:7" s="651" customFormat="1" ht="3.95" customHeight="1">
      <c r="A116" s="647"/>
      <c r="B116" s="648"/>
      <c r="C116" s="649"/>
      <c r="D116" s="647"/>
      <c r="E116" s="647"/>
      <c r="F116" s="662"/>
      <c r="G116" s="650"/>
    </row>
    <row r="117" spans="1:7">
      <c r="A117" s="542"/>
      <c r="B117" s="454" t="s">
        <v>2226</v>
      </c>
      <c r="C117" s="666" t="str">
        <f>"Year "&amp;$C$8</f>
        <v>Year 5</v>
      </c>
      <c r="D117" s="666" t="s">
        <v>1861</v>
      </c>
      <c r="E117" s="417"/>
      <c r="F117" s="452" t="s">
        <v>2253</v>
      </c>
      <c r="G117" s="417"/>
    </row>
    <row r="118" spans="1:7">
      <c r="A118" s="542"/>
      <c r="B118" s="417" t="s">
        <v>2249</v>
      </c>
      <c r="C118" s="429">
        <f>D69</f>
        <v>4194.0567231864397</v>
      </c>
      <c r="D118" s="490">
        <f>IFERROR(C118/C$122,0)</f>
        <v>0.41535214159402484</v>
      </c>
      <c r="E118" s="417"/>
      <c r="F118" s="452" t="s">
        <v>2361</v>
      </c>
      <c r="G118" s="417"/>
    </row>
    <row r="119" spans="1:7">
      <c r="A119" s="542"/>
      <c r="B119" s="417" t="s">
        <v>2254</v>
      </c>
      <c r="C119" s="470">
        <f>D71*$C$169</f>
        <v>4649.3506493506502</v>
      </c>
      <c r="D119" s="490">
        <f>IFERROR(C119/C$122,0)</f>
        <v>0.46044149535540702</v>
      </c>
      <c r="E119" s="417"/>
      <c r="F119" s="452" t="s">
        <v>2255</v>
      </c>
      <c r="G119" s="417"/>
    </row>
    <row r="120" spans="1:7">
      <c r="A120" s="542"/>
      <c r="B120" s="417" t="s">
        <v>2256</v>
      </c>
      <c r="C120" s="470">
        <f>D72*$C$169</f>
        <v>254.18525595069332</v>
      </c>
      <c r="D120" s="490">
        <f>IFERROR(C120/C$122,0)</f>
        <v>2.5172857066304538E-2</v>
      </c>
      <c r="E120" s="417"/>
      <c r="F120" s="452" t="s">
        <v>2257</v>
      </c>
      <c r="G120" s="417"/>
    </row>
    <row r="121" spans="1:7">
      <c r="A121" s="542"/>
      <c r="B121" s="417" t="s">
        <v>2357</v>
      </c>
      <c r="C121" s="433">
        <f>D80+D81</f>
        <v>1000</v>
      </c>
      <c r="D121" s="490">
        <f>IFERROR(C121/C$122,0)</f>
        <v>9.9033505984263498E-2</v>
      </c>
      <c r="E121" s="417"/>
      <c r="F121" s="452" t="s">
        <v>2358</v>
      </c>
      <c r="G121" s="417"/>
    </row>
    <row r="122" spans="1:7" ht="15" customHeight="1">
      <c r="A122" s="542"/>
      <c r="B122" s="675" t="s">
        <v>2072</v>
      </c>
      <c r="C122" s="676">
        <f>SUM(C118:C121)</f>
        <v>10097.592628487784</v>
      </c>
      <c r="D122" s="738">
        <f>SUM(D118:D121)</f>
        <v>1</v>
      </c>
      <c r="E122" s="417"/>
      <c r="F122" s="452" t="s">
        <v>2362</v>
      </c>
      <c r="G122" s="417"/>
    </row>
    <row r="123" spans="1:7">
      <c r="A123" s="542"/>
      <c r="B123" s="417" t="s">
        <v>2182</v>
      </c>
      <c r="C123" s="659">
        <f>(C40+C160)*($C$162+$C$163*$C$169)</f>
        <v>2224.1209895685665</v>
      </c>
      <c r="D123" s="417"/>
      <c r="E123" s="417"/>
      <c r="F123" s="452" t="s">
        <v>2258</v>
      </c>
      <c r="G123" s="417"/>
    </row>
    <row r="124" spans="1:7" ht="3.95" customHeight="1">
      <c r="A124" s="542"/>
      <c r="B124" s="417"/>
      <c r="C124" s="417"/>
      <c r="D124" s="417"/>
      <c r="E124" s="417"/>
      <c r="F124" s="452"/>
      <c r="G124" s="417"/>
    </row>
    <row r="125" spans="1:7">
      <c r="A125" s="542"/>
      <c r="B125" s="454" t="s">
        <v>2228</v>
      </c>
      <c r="C125" s="666" t="s">
        <v>2187</v>
      </c>
      <c r="D125" s="666" t="s">
        <v>2188</v>
      </c>
      <c r="E125" s="417"/>
      <c r="F125" s="452"/>
      <c r="G125" s="417"/>
    </row>
    <row r="126" spans="1:7">
      <c r="A126" s="542"/>
      <c r="B126" s="417" t="s">
        <v>2111</v>
      </c>
      <c r="C126" s="660">
        <f>IFERROR((D64-D80-D81-D71*$C$169)/(($C$162+$C$163*$C$169)*(C40+C160)),0)</f>
        <v>0.82770094703133024</v>
      </c>
      <c r="D126" s="688">
        <f>C29</f>
        <v>2</v>
      </c>
      <c r="E126" s="417"/>
      <c r="F126" s="452" t="s">
        <v>2259</v>
      </c>
      <c r="G126" s="417"/>
    </row>
    <row r="127" spans="1:7">
      <c r="A127" s="542"/>
      <c r="B127" s="417" t="s">
        <v>2189</v>
      </c>
      <c r="C127" s="659">
        <f>MAX(0,(D64-D80-D81-D69)/$C$169-D72)</f>
        <v>78617.605204279636</v>
      </c>
      <c r="D127" s="429">
        <f>D71</f>
        <v>179000.00000000003</v>
      </c>
      <c r="E127" s="417"/>
      <c r="F127" s="452" t="s">
        <v>2260</v>
      </c>
      <c r="G127" s="417"/>
    </row>
    <row r="128" spans="1:7">
      <c r="A128" s="542"/>
      <c r="B128" s="417" t="s">
        <v>2192</v>
      </c>
      <c r="C128" s="490">
        <f>MIN(1,IFERROR(1-(D64-D80-D81-D69)/D75,0))</f>
        <v>0.53172546915382268</v>
      </c>
      <c r="D128" s="417"/>
      <c r="E128" s="417"/>
      <c r="F128" s="452" t="s">
        <v>2261</v>
      </c>
      <c r="G128" s="417"/>
    </row>
    <row r="129" spans="1:7" ht="15" customHeight="1">
      <c r="A129" s="542"/>
      <c r="B129" s="417" t="s">
        <v>2359</v>
      </c>
      <c r="C129" s="659">
        <f>D69+D80+D81-D64</f>
        <v>-2296.2009755423724</v>
      </c>
      <c r="D129" s="417"/>
      <c r="E129" s="417"/>
      <c r="F129" s="452" t="s">
        <v>2262</v>
      </c>
      <c r="G129" s="417"/>
    </row>
    <row r="130" spans="1:7">
      <c r="A130" s="542"/>
      <c r="B130" s="417" t="s">
        <v>2294</v>
      </c>
      <c r="C130" s="439">
        <f>IFERROR(1-C127/D127,0)</f>
        <v>0.56079550165206915</v>
      </c>
      <c r="D130" s="530"/>
      <c r="E130" s="417"/>
      <c r="F130" s="452" t="s">
        <v>2406</v>
      </c>
      <c r="G130" s="417"/>
    </row>
    <row r="131" spans="1:7" ht="3.95" customHeight="1">
      <c r="A131" s="542"/>
      <c r="B131" s="417"/>
      <c r="C131" s="417"/>
      <c r="D131" s="417"/>
      <c r="E131" s="417"/>
      <c r="F131" s="452"/>
      <c r="G131" s="417"/>
    </row>
    <row r="132" spans="1:7">
      <c r="A132" s="542"/>
      <c r="B132" s="454" t="s">
        <v>2295</v>
      </c>
      <c r="C132" s="666" t="s">
        <v>2194</v>
      </c>
      <c r="D132" s="666" t="str">
        <f>"Year "&amp;$C$8</f>
        <v>Year 5</v>
      </c>
      <c r="E132" s="417"/>
      <c r="F132" s="452"/>
      <c r="G132" s="417"/>
    </row>
    <row r="133" spans="1:7" ht="15" customHeight="1">
      <c r="A133" s="542"/>
      <c r="B133" s="663" t="s">
        <v>2004</v>
      </c>
      <c r="C133" s="697"/>
      <c r="D133" s="683">
        <f>D64</f>
        <v>7490.2576987288121</v>
      </c>
      <c r="E133" s="417"/>
      <c r="F133" s="452" t="s">
        <v>2363</v>
      </c>
      <c r="G133" s="417"/>
    </row>
    <row r="134" spans="1:7" ht="15" customHeight="1">
      <c r="A134" s="542"/>
      <c r="B134" s="663" t="s">
        <v>2296</v>
      </c>
      <c r="C134" s="697"/>
      <c r="D134" s="685">
        <f>D82</f>
        <v>10097.592628487782</v>
      </c>
      <c r="E134" s="417"/>
      <c r="F134" s="452" t="s">
        <v>2364</v>
      </c>
      <c r="G134" s="417"/>
    </row>
    <row r="135" spans="1:7" ht="15" customHeight="1">
      <c r="A135" s="542"/>
      <c r="B135" s="663" t="s">
        <v>2263</v>
      </c>
      <c r="C135" s="698">
        <v>1.5</v>
      </c>
      <c r="D135" s="665">
        <f>($C$162+$C$163*$C$169)*(C40+C160)*C135+D71*$C$169+D80+D81</f>
        <v>8985.5321337035002</v>
      </c>
      <c r="E135" s="417"/>
      <c r="F135" s="452" t="s">
        <v>2298</v>
      </c>
      <c r="G135" s="417"/>
    </row>
    <row r="136" spans="1:7" ht="15" customHeight="1">
      <c r="A136" s="542"/>
      <c r="B136" s="663" t="s">
        <v>2195</v>
      </c>
      <c r="C136" s="698">
        <v>12</v>
      </c>
      <c r="D136" s="665">
        <f>D69+((C10+C17)*C136-$C$165-$C$56+D72)*$C$169+D80+D81</f>
        <v>8350.8913297864838</v>
      </c>
      <c r="E136" s="417"/>
      <c r="F136" s="452" t="s">
        <v>2299</v>
      </c>
      <c r="G136" s="417"/>
    </row>
    <row r="137" spans="1:7" ht="15" customHeight="1">
      <c r="A137" s="542"/>
      <c r="B137" s="663" t="s">
        <v>2196</v>
      </c>
      <c r="C137" s="699">
        <v>90</v>
      </c>
      <c r="D137" s="665">
        <f>D69+((C10+C137*C8*C14)*C12-$C$165-$C$56+D72)*$C$169+D80+D81</f>
        <v>9138.5516694468242</v>
      </c>
      <c r="E137" s="417"/>
      <c r="F137" s="452" t="s">
        <v>2300</v>
      </c>
      <c r="G137" s="417"/>
    </row>
    <row r="138" spans="1:7" ht="15" customHeight="1">
      <c r="A138" s="542"/>
      <c r="B138" s="663" t="s">
        <v>2197</v>
      </c>
      <c r="C138" s="700">
        <v>0.15</v>
      </c>
      <c r="D138" s="665">
        <f>D69+D75*(1-C138)+D80+D81</f>
        <v>9362.062242692582</v>
      </c>
      <c r="E138" s="417"/>
      <c r="F138" s="452" t="s">
        <v>2301</v>
      </c>
      <c r="G138" s="417"/>
    </row>
    <row r="139" spans="1:7" ht="15" customHeight="1">
      <c r="A139" s="542"/>
      <c r="B139" s="668" t="s">
        <v>2264</v>
      </c>
      <c r="C139" s="668"/>
      <c r="D139" s="669">
        <f>$C$162*(C40+C160)*C135+((C10+C137*C8*C14)*C136-$C$165-$C$56+$C$163*(C40+C160)*C135)*$C$169*(1-C138)+D80+D81</f>
        <v>6264.2058228785763</v>
      </c>
      <c r="E139" s="417"/>
      <c r="F139" s="452" t="s">
        <v>2302</v>
      </c>
      <c r="G139" s="417"/>
    </row>
    <row r="140" spans="1:7" ht="15" customHeight="1">
      <c r="A140" s="542"/>
      <c r="B140" s="521" t="s">
        <v>2297</v>
      </c>
      <c r="C140" s="670"/>
      <c r="D140" s="527">
        <f>D139-D133</f>
        <v>-1226.0518758502358</v>
      </c>
      <c r="E140" s="417"/>
      <c r="F140" s="452" t="s">
        <v>2303</v>
      </c>
      <c r="G140" s="417"/>
    </row>
    <row r="141" spans="1:7" ht="3.95" customHeight="1">
      <c r="A141" s="542"/>
      <c r="B141" s="417"/>
      <c r="C141" s="417"/>
      <c r="D141" s="417"/>
      <c r="E141" s="417"/>
      <c r="F141" s="452"/>
      <c r="G141" s="417"/>
    </row>
    <row r="142" spans="1:7">
      <c r="A142" s="542"/>
      <c r="B142" s="454" t="s">
        <v>2265</v>
      </c>
      <c r="C142" s="666" t="str">
        <f>C$159</f>
        <v>Today</v>
      </c>
      <c r="D142" s="666" t="str">
        <f>D$61</f>
        <v>Year 5</v>
      </c>
      <c r="E142" s="417"/>
      <c r="F142" s="452"/>
      <c r="G142" s="417"/>
    </row>
    <row r="143" spans="1:7">
      <c r="A143" s="542"/>
      <c r="B143" s="417" t="s">
        <v>2063</v>
      </c>
      <c r="C143" s="429">
        <f>C165</f>
        <v>500</v>
      </c>
      <c r="D143" s="470">
        <f>C165+C56</f>
        <v>1000</v>
      </c>
      <c r="E143" s="417"/>
      <c r="F143" s="452" t="s">
        <v>2360</v>
      </c>
      <c r="G143" s="417"/>
    </row>
    <row r="144" spans="1:7">
      <c r="A144" s="542"/>
      <c r="B144" s="417" t="s">
        <v>2266</v>
      </c>
      <c r="C144" s="490">
        <f>IFERROR(C165/C164,0)</f>
        <v>0.23809523809523808</v>
      </c>
      <c r="D144" s="417"/>
      <c r="E144" s="417"/>
      <c r="F144" s="452"/>
      <c r="G144" s="417"/>
    </row>
    <row r="145" spans="1:7" ht="15" customHeight="1">
      <c r="A145" s="542"/>
      <c r="B145" s="417" t="s">
        <v>2267</v>
      </c>
      <c r="C145" s="687">
        <f>C162</f>
        <v>0.3</v>
      </c>
      <c r="D145" s="417"/>
      <c r="E145" s="417"/>
      <c r="F145" s="452" t="s">
        <v>2268</v>
      </c>
      <c r="G145" s="417"/>
    </row>
    <row r="146" spans="1:7">
      <c r="A146" s="542"/>
      <c r="B146" s="417" t="s">
        <v>2064</v>
      </c>
      <c r="C146" s="530">
        <f>C169</f>
        <v>2.5974025974025976E-2</v>
      </c>
      <c r="D146" s="417"/>
      <c r="E146" s="417"/>
      <c r="F146" s="452"/>
      <c r="G146" s="417"/>
    </row>
    <row r="147" spans="1:7">
      <c r="A147" s="542"/>
      <c r="B147" s="417" t="s">
        <v>2200</v>
      </c>
      <c r="C147" s="490">
        <f>IFERROR((C69+C75)/C82,0)</f>
        <v>0.83333333333333337</v>
      </c>
      <c r="D147" s="490">
        <f>IFERROR((D69+D75)/D82,0)</f>
        <v>0.90096649401573647</v>
      </c>
      <c r="E147" s="417"/>
      <c r="F147" s="452" t="s">
        <v>2269</v>
      </c>
      <c r="G147" s="417"/>
    </row>
    <row r="148" spans="1:7" ht="3.95" customHeight="1">
      <c r="A148" s="542"/>
      <c r="B148" s="417"/>
      <c r="C148" s="417"/>
      <c r="D148" s="417"/>
      <c r="E148" s="417"/>
      <c r="F148" s="452"/>
      <c r="G148" s="417"/>
    </row>
    <row r="149" spans="1:7">
      <c r="A149" s="542"/>
      <c r="B149" s="454" t="s">
        <v>2270</v>
      </c>
      <c r="C149" s="666" t="s">
        <v>2201</v>
      </c>
      <c r="D149" s="666" t="s">
        <v>2202</v>
      </c>
      <c r="E149" s="417"/>
      <c r="F149" s="452"/>
      <c r="G149" s="417"/>
    </row>
    <row r="150" spans="1:7">
      <c r="A150" s="542"/>
      <c r="B150" s="417" t="s">
        <v>2271</v>
      </c>
      <c r="C150" s="681">
        <v>0.45</v>
      </c>
      <c r="D150" s="417"/>
      <c r="E150" s="417"/>
      <c r="F150" s="452" t="s">
        <v>2272</v>
      </c>
      <c r="G150" s="417"/>
    </row>
    <row r="151" spans="1:7">
      <c r="A151" s="542"/>
      <c r="B151" s="417" t="s">
        <v>2203</v>
      </c>
      <c r="C151" s="659">
        <f>C164*C150</f>
        <v>945</v>
      </c>
      <c r="D151" s="659">
        <f>C151-C165</f>
        <v>445</v>
      </c>
      <c r="E151" s="417"/>
      <c r="F151" s="452" t="s">
        <v>2273</v>
      </c>
      <c r="G151" s="417"/>
    </row>
    <row r="152" spans="1:7">
      <c r="B152" s="417" t="s">
        <v>2274</v>
      </c>
      <c r="C152" s="417"/>
      <c r="D152" s="417"/>
      <c r="E152" s="417"/>
      <c r="F152" s="452" t="s">
        <v>2275</v>
      </c>
      <c r="G152" s="417"/>
    </row>
    <row r="153" spans="1:7">
      <c r="B153" s="417" t="s">
        <v>2276</v>
      </c>
      <c r="C153" s="417"/>
      <c r="D153" s="417"/>
      <c r="E153" s="417"/>
      <c r="F153" s="452" t="s">
        <v>2277</v>
      </c>
      <c r="G153" s="417"/>
    </row>
    <row r="154" spans="1:7">
      <c r="B154" s="417" t="s">
        <v>2278</v>
      </c>
      <c r="C154" s="417"/>
      <c r="D154" s="417"/>
      <c r="E154" s="417"/>
      <c r="F154" s="452" t="s">
        <v>2279</v>
      </c>
      <c r="G154" s="417"/>
    </row>
    <row r="155" spans="1:7">
      <c r="B155" s="417" t="s">
        <v>2280</v>
      </c>
      <c r="C155" s="417"/>
      <c r="D155" s="417"/>
      <c r="E155" s="417"/>
      <c r="F155" s="452" t="s">
        <v>2281</v>
      </c>
      <c r="G155" s="417"/>
    </row>
    <row r="156" spans="1:7">
      <c r="B156" s="417" t="s">
        <v>2207</v>
      </c>
      <c r="C156" s="417"/>
      <c r="D156" s="417"/>
      <c r="E156" s="417"/>
      <c r="F156" s="452" t="s">
        <v>2224</v>
      </c>
      <c r="G156" s="417"/>
    </row>
    <row r="157" spans="1:7" ht="15" customHeight="1">
      <c r="B157" s="417" t="s">
        <v>2322</v>
      </c>
      <c r="C157" s="417"/>
      <c r="D157" s="417"/>
      <c r="E157" s="417"/>
      <c r="F157" s="452" t="s">
        <v>2323</v>
      </c>
      <c r="G157" s="417"/>
    </row>
    <row r="158" spans="1:7">
      <c r="B158" s="417"/>
      <c r="C158" s="417"/>
      <c r="D158" s="417"/>
      <c r="E158" s="417"/>
      <c r="F158" s="452"/>
      <c r="G158" s="417"/>
    </row>
    <row r="159" spans="1:7">
      <c r="B159" s="454" t="s">
        <v>2230</v>
      </c>
      <c r="C159" s="666" t="s">
        <v>2025</v>
      </c>
      <c r="D159" s="666"/>
      <c r="E159" s="417"/>
      <c r="F159" s="452"/>
      <c r="G159" s="417"/>
    </row>
    <row r="160" spans="1:7">
      <c r="B160" s="417" t="s">
        <v>2138</v>
      </c>
      <c r="C160" s="682">
        <f>'P&amp;L Overview'!K16</f>
        <v>2998.5410200000001</v>
      </c>
      <c r="D160" s="417"/>
      <c r="E160" s="417"/>
      <c r="F160" s="452" t="s">
        <v>2153</v>
      </c>
      <c r="G160" s="417"/>
    </row>
    <row r="161" spans="2:8">
      <c r="B161" s="417" t="s">
        <v>2231</v>
      </c>
      <c r="C161" s="682">
        <f>'Offer Overview'!$C$17</f>
        <v>3000</v>
      </c>
      <c r="D161" s="417"/>
      <c r="E161" s="417"/>
      <c r="F161" s="452" t="s">
        <v>2232</v>
      </c>
      <c r="G161" s="417"/>
    </row>
    <row r="162" spans="2:8">
      <c r="B162" s="417" t="s">
        <v>2233</v>
      </c>
      <c r="C162" s="687">
        <f>C7</f>
        <v>0.3</v>
      </c>
      <c r="D162" s="417"/>
      <c r="E162" s="417"/>
      <c r="F162" s="452" t="s">
        <v>2283</v>
      </c>
      <c r="G162" s="417"/>
    </row>
    <row r="163" spans="2:8">
      <c r="B163" s="417" t="s">
        <v>2234</v>
      </c>
      <c r="C163" s="490">
        <f>1-C162</f>
        <v>0.7</v>
      </c>
      <c r="D163" s="417"/>
      <c r="E163" s="417"/>
      <c r="F163" s="452"/>
      <c r="G163" s="417"/>
    </row>
    <row r="164" spans="2:8">
      <c r="B164" s="417" t="s">
        <v>2235</v>
      </c>
      <c r="C164" s="659">
        <f>C161*C163</f>
        <v>2100</v>
      </c>
      <c r="D164" s="417"/>
      <c r="E164" s="417"/>
      <c r="F164" s="452" t="s">
        <v>2236</v>
      </c>
      <c r="G164" s="417"/>
    </row>
    <row r="165" spans="2:8">
      <c r="B165" s="417" t="s">
        <v>2000</v>
      </c>
      <c r="C165" s="472">
        <f>'Offer Overview'!$C$9</f>
        <v>500</v>
      </c>
      <c r="D165" s="417"/>
      <c r="E165" s="417"/>
      <c r="F165" s="452" t="s">
        <v>2237</v>
      </c>
      <c r="G165" s="417"/>
    </row>
    <row r="166" spans="2:8">
      <c r="B166" s="417" t="s">
        <v>2238</v>
      </c>
      <c r="C166" s="470">
        <f>C164-C165</f>
        <v>1600</v>
      </c>
      <c r="D166" s="417"/>
      <c r="E166" s="417"/>
      <c r="F166" s="452" t="s">
        <v>2239</v>
      </c>
      <c r="G166" s="417"/>
    </row>
    <row r="167" spans="2:8">
      <c r="B167" s="417" t="s">
        <v>2043</v>
      </c>
      <c r="C167" s="472">
        <f>'Offer Overview'!$C$12</f>
        <v>60000</v>
      </c>
      <c r="D167" s="417"/>
      <c r="E167" s="417"/>
      <c r="F167" s="452" t="s">
        <v>2240</v>
      </c>
      <c r="G167" s="417"/>
    </row>
    <row r="168" spans="2:8">
      <c r="B168" s="417" t="s">
        <v>2001</v>
      </c>
      <c r="C168" s="470">
        <f>C167+C164-C165</f>
        <v>61600</v>
      </c>
      <c r="D168" s="417"/>
      <c r="E168" s="417"/>
      <c r="F168" s="452" t="s">
        <v>2241</v>
      </c>
      <c r="G168" s="417"/>
    </row>
    <row r="169" spans="2:8">
      <c r="B169" s="417" t="s">
        <v>2064</v>
      </c>
      <c r="C169" s="679">
        <f>IFERROR(C166/C168,0)</f>
        <v>2.5974025974025976E-2</v>
      </c>
      <c r="D169" s="417"/>
      <c r="E169" s="417"/>
      <c r="F169" s="452"/>
      <c r="G169" s="417"/>
      <c r="H169" s="542"/>
    </row>
    <row r="170" spans="2:8">
      <c r="B170" s="417" t="s">
        <v>2052</v>
      </c>
      <c r="C170" s="470">
        <f>C167-C165</f>
        <v>59500</v>
      </c>
      <c r="D170" s="417"/>
      <c r="E170" s="417"/>
      <c r="F170" s="452" t="s">
        <v>2242</v>
      </c>
      <c r="G170" s="417"/>
      <c r="H170" s="542"/>
    </row>
    <row r="171" spans="2:8">
      <c r="B171" s="417" t="s">
        <v>2243</v>
      </c>
      <c r="C171" s="470">
        <f>C73-C168</f>
        <v>0</v>
      </c>
      <c r="D171" s="417"/>
      <c r="E171" s="417"/>
      <c r="F171" s="452" t="s">
        <v>2154</v>
      </c>
      <c r="G171" s="417"/>
    </row>
    <row r="172" spans="2:8">
      <c r="B172" s="417" t="s">
        <v>2244</v>
      </c>
      <c r="C172" s="470">
        <f>C75-C166</f>
        <v>0</v>
      </c>
      <c r="D172" s="417"/>
      <c r="E172" s="417"/>
      <c r="F172" s="452" t="s">
        <v>2154</v>
      </c>
      <c r="G172" s="417"/>
    </row>
    <row r="173" spans="2:8">
      <c r="B173" s="417" t="s">
        <v>2245</v>
      </c>
      <c r="C173" s="470">
        <f>C82-C161</f>
        <v>0</v>
      </c>
      <c r="D173" s="417"/>
      <c r="E173" s="417"/>
      <c r="F173" s="452" t="s">
        <v>2154</v>
      </c>
      <c r="G173" s="417"/>
    </row>
    <row r="174" spans="2:8">
      <c r="B174" s="417"/>
      <c r="C174" s="417"/>
      <c r="D174" s="417"/>
      <c r="E174" s="417"/>
      <c r="F174" s="452"/>
      <c r="G174" s="417"/>
    </row>
    <row r="175" spans="2:8">
      <c r="B175" s="454" t="s">
        <v>2164</v>
      </c>
      <c r="C175" s="666" t="s">
        <v>1197</v>
      </c>
      <c r="D175" s="666"/>
      <c r="E175" s="417"/>
      <c r="F175" s="452"/>
      <c r="G175" s="417"/>
    </row>
    <row r="176" spans="2:8">
      <c r="B176" s="417" t="s">
        <v>2165</v>
      </c>
      <c r="C176" s="472">
        <f>'Client Retention'!H22</f>
        <v>151</v>
      </c>
      <c r="D176" s="417"/>
      <c r="E176" s="417"/>
      <c r="F176" s="452" t="s">
        <v>2168</v>
      </c>
      <c r="G176" s="417"/>
    </row>
    <row r="177" spans="2:7">
      <c r="B177" s="417" t="s">
        <v>1314</v>
      </c>
      <c r="C177" s="472">
        <f>'Client Retention'!H23</f>
        <v>83</v>
      </c>
      <c r="D177" s="417"/>
      <c r="E177" s="417"/>
      <c r="F177" s="452"/>
      <c r="G177" s="417"/>
    </row>
    <row r="178" spans="2:7">
      <c r="B178" s="417" t="s">
        <v>1532</v>
      </c>
      <c r="C178" s="472">
        <f>'Client Retention'!H27</f>
        <v>-57</v>
      </c>
      <c r="D178" s="417"/>
      <c r="E178" s="417"/>
      <c r="F178" s="452"/>
      <c r="G178" s="417"/>
    </row>
    <row r="179" spans="2:7">
      <c r="B179" s="675" t="s">
        <v>2166</v>
      </c>
      <c r="C179" s="680">
        <f>SUM(C176:C178)</f>
        <v>177</v>
      </c>
      <c r="D179" s="675"/>
      <c r="E179" s="417"/>
      <c r="F179" s="452" t="s">
        <v>2169</v>
      </c>
      <c r="G179" s="417"/>
    </row>
    <row r="180" spans="2:7">
      <c r="B180" s="675" t="s">
        <v>2167</v>
      </c>
      <c r="C180" s="680">
        <f>C179-C176</f>
        <v>26</v>
      </c>
      <c r="D180" s="675"/>
      <c r="E180" s="417"/>
      <c r="F180" s="452" t="s">
        <v>2170</v>
      </c>
      <c r="G180" s="417"/>
    </row>
    <row r="181" spans="2:7">
      <c r="B181" s="417"/>
      <c r="C181" s="417"/>
      <c r="D181" s="417"/>
      <c r="E181" s="417"/>
      <c r="F181" s="417"/>
      <c r="G181" s="417"/>
    </row>
    <row r="182" spans="2:7">
      <c r="B182" s="570" t="s">
        <v>2305</v>
      </c>
      <c r="C182" s="570"/>
      <c r="D182" s="542"/>
      <c r="E182" s="542"/>
      <c r="F182" s="452"/>
      <c r="G182" s="417"/>
    </row>
    <row r="183" spans="2:7">
      <c r="B183" s="663" t="s">
        <v>2306</v>
      </c>
      <c r="C183" s="701">
        <f>C30/'Client Retention'!H30</f>
        <v>1.4634146341463414</v>
      </c>
      <c r="D183" s="663"/>
      <c r="E183" s="542"/>
      <c r="F183" s="452" t="s">
        <v>2151</v>
      </c>
      <c r="G183" s="417"/>
    </row>
    <row r="184" spans="2:7">
      <c r="B184" s="663" t="s">
        <v>2307</v>
      </c>
      <c r="C184" s="700">
        <v>0.5</v>
      </c>
      <c r="D184" s="663"/>
      <c r="E184" s="542"/>
      <c r="F184" s="452" t="s">
        <v>2316</v>
      </c>
      <c r="G184" s="417"/>
    </row>
    <row r="185" spans="2:7">
      <c r="B185" s="663" t="s">
        <v>2308</v>
      </c>
      <c r="C185" s="703">
        <v>0</v>
      </c>
      <c r="D185" s="663"/>
      <c r="E185" s="542"/>
      <c r="F185" s="452" t="s">
        <v>2317</v>
      </c>
      <c r="G185" s="417"/>
    </row>
    <row r="186" spans="2:7">
      <c r="B186" s="663" t="s">
        <v>2309</v>
      </c>
      <c r="C186" s="702">
        <f>MAX(C183*C184,C185)</f>
        <v>0.73170731707317072</v>
      </c>
      <c r="D186" s="663"/>
      <c r="E186" s="542"/>
      <c r="F186" s="452" t="s">
        <v>2318</v>
      </c>
      <c r="G186" s="417"/>
    </row>
    <row r="187" spans="2:7">
      <c r="B187" s="663" t="s">
        <v>2310</v>
      </c>
      <c r="C187" s="702">
        <f>C183-C186</f>
        <v>0.73170731707317072</v>
      </c>
      <c r="D187" s="663"/>
      <c r="E187" s="542"/>
      <c r="F187" s="452" t="s">
        <v>2319</v>
      </c>
      <c r="G187" s="417"/>
    </row>
    <row r="188" spans="2:7">
      <c r="B188" s="663" t="s">
        <v>2311</v>
      </c>
      <c r="C188" s="665">
        <f>C179+C39</f>
        <v>417</v>
      </c>
      <c r="D188" s="663"/>
      <c r="E188" s="542"/>
      <c r="F188" s="452" t="s">
        <v>2407</v>
      </c>
      <c r="G188" s="417"/>
    </row>
    <row r="189" spans="2:7">
      <c r="B189" s="663" t="s">
        <v>2312</v>
      </c>
      <c r="C189" s="665">
        <f>C186*C188</f>
        <v>305.1219512195122</v>
      </c>
      <c r="D189" s="663"/>
      <c r="E189" s="542"/>
      <c r="F189" s="452" t="s">
        <v>2320</v>
      </c>
      <c r="G189" s="417"/>
    </row>
    <row r="190" spans="2:7">
      <c r="B190" s="668" t="s">
        <v>2313</v>
      </c>
      <c r="C190" s="669">
        <f>C187*C188</f>
        <v>305.1219512195122</v>
      </c>
      <c r="D190" s="667"/>
      <c r="E190" s="542"/>
      <c r="F190" s="452" t="s">
        <v>2324</v>
      </c>
      <c r="G190" s="417"/>
    </row>
    <row r="191" spans="2:7">
      <c r="B191" s="663" t="s">
        <v>2314</v>
      </c>
      <c r="C191" s="677">
        <f>IFERROR(C190/C111,0)</f>
        <v>4.3650618676567936E-2</v>
      </c>
      <c r="D191" s="663"/>
      <c r="E191" s="542"/>
      <c r="F191" s="452" t="s">
        <v>2408</v>
      </c>
      <c r="G191" s="417"/>
    </row>
    <row r="192" spans="2:7">
      <c r="B192" s="521" t="s">
        <v>2315</v>
      </c>
      <c r="C192" s="527">
        <f>C190*($C$162+$C$163*$C$169)</f>
        <v>97.08425720620842</v>
      </c>
      <c r="D192" s="667"/>
      <c r="E192" s="542"/>
      <c r="F192" s="452" t="s">
        <v>2321</v>
      </c>
      <c r="G192" s="417"/>
    </row>
    <row r="193" spans="2:7" ht="15" customHeight="1">
      <c r="B193" s="417"/>
      <c r="C193" s="417"/>
      <c r="D193" s="417"/>
      <c r="E193" s="417"/>
      <c r="F193" s="417"/>
      <c r="G193" s="417"/>
    </row>
    <row r="194" spans="2:7" ht="15" customHeight="1">
      <c r="B194" s="721" t="s">
        <v>2348</v>
      </c>
      <c r="C194" s="722" t="s">
        <v>1242</v>
      </c>
      <c r="D194" s="722" t="s">
        <v>2349</v>
      </c>
      <c r="E194" s="542"/>
      <c r="F194" s="452"/>
      <c r="G194" s="417"/>
    </row>
    <row r="195" spans="2:7" ht="15" customHeight="1">
      <c r="B195" s="707" t="str">
        <f>"Year "&amp;C195</f>
        <v>Year 0</v>
      </c>
      <c r="C195" s="724">
        <v>0</v>
      </c>
      <c r="D195" s="710">
        <f>-IF(C195=0,$C$93+$C$94,0)-IF(C195=$C$44,$C$95,0)+IF(C195=$C$8,$C$99,0)</f>
        <v>-2100</v>
      </c>
      <c r="E195" s="542"/>
      <c r="F195" s="452" t="s">
        <v>2356</v>
      </c>
      <c r="G195" s="417"/>
    </row>
    <row r="196" spans="2:7" ht="15" customHeight="1">
      <c r="B196" s="707" t="str">
        <f>"Year "&amp;C196</f>
        <v>Year 1</v>
      </c>
      <c r="C196" s="723">
        <f>C195+1</f>
        <v>1</v>
      </c>
      <c r="D196" s="711">
        <f>-IF(C196=0,$C$93+$C$94,0)-IF(C196=$C$44,$C$95,0)+IF(C196=$C$8,$C$99,0)</f>
        <v>0</v>
      </c>
      <c r="E196" s="542"/>
      <c r="F196" s="452"/>
      <c r="G196" s="417"/>
    </row>
    <row r="197" spans="2:7" ht="15" customHeight="1">
      <c r="B197" s="707" t="str">
        <f>"Year "&amp;C197</f>
        <v>Year 2</v>
      </c>
      <c r="C197" s="723">
        <f>C196+1</f>
        <v>2</v>
      </c>
      <c r="D197" s="711">
        <f>-IF(C197=0,$C$93+$C$94,0)-IF(C197=$C$44,$C$95,0)+IF(C197=$C$8,$C$99,0)</f>
        <v>0</v>
      </c>
      <c r="E197" s="542"/>
      <c r="F197" s="452"/>
      <c r="G197" s="417"/>
    </row>
    <row r="198" spans="2:7" ht="15" customHeight="1">
      <c r="B198" s="707" t="str">
        <f>"Year "&amp;C198</f>
        <v>Year 3</v>
      </c>
      <c r="C198" s="723">
        <f>C197+1</f>
        <v>3</v>
      </c>
      <c r="D198" s="711">
        <f>-IF(C198=0,$C$93+$C$94,0)-IF(C198=$C$44,$C$95,0)+IF(C198=$C$8,$C$99,0)</f>
        <v>-500</v>
      </c>
      <c r="E198" s="542"/>
      <c r="F198" s="452"/>
      <c r="G198" s="417"/>
    </row>
    <row r="199" spans="2:7" ht="15" customHeight="1">
      <c r="B199" s="707" t="str">
        <f>"Year "&amp;C199</f>
        <v>Year 4</v>
      </c>
      <c r="C199" s="723">
        <f>C198+1</f>
        <v>4</v>
      </c>
      <c r="D199" s="711">
        <f>-IF(C199=0,$C$93+$C$94,0)-IF(C199=$C$44,$C$95,0)+IF(C199=$C$8,$C$99,0)</f>
        <v>0</v>
      </c>
      <c r="E199" s="542"/>
      <c r="F199" s="452"/>
      <c r="G199" s="417"/>
    </row>
    <row r="200" spans="2:7" ht="15" customHeight="1">
      <c r="B200" s="707" t="str">
        <f>"Year "&amp;C200</f>
        <v>Year 5</v>
      </c>
      <c r="C200" s="723">
        <f>C199+1</f>
        <v>5</v>
      </c>
      <c r="D200" s="711">
        <f>-IF(C200=0,$C$93+$C$94,0)-IF(C200=$C$44,$C$95,0)+IF(C200=$C$8,$C$99,0)</f>
        <v>9786.1323541016918</v>
      </c>
      <c r="E200" s="542"/>
      <c r="F200" s="452"/>
      <c r="G200" s="417"/>
    </row>
    <row r="201" spans="2:7">
      <c r="B201" s="417"/>
      <c r="C201" s="417"/>
      <c r="D201" s="417"/>
      <c r="E201" s="417"/>
      <c r="F201" s="417"/>
      <c r="G201" s="417"/>
    </row>
    <row r="202" spans="2:7" ht="15" customHeight="1">
      <c r="B202" s="721" t="s">
        <v>2395</v>
      </c>
      <c r="C202" s="722" t="s">
        <v>1242</v>
      </c>
      <c r="D202" s="722" t="s">
        <v>2349</v>
      </c>
      <c r="E202" s="417"/>
      <c r="F202" s="417"/>
      <c r="G202" s="417"/>
    </row>
    <row r="203" spans="2:7" ht="15" customHeight="1">
      <c r="B203" s="707" t="str">
        <f>"Year "&amp;C203</f>
        <v>Year 0</v>
      </c>
      <c r="C203" s="724">
        <v>0</v>
      </c>
      <c r="D203" s="710">
        <f>IF(C203=0,$C$165-$C$161,0)+IF(C203=$C$44,$C$56,0)+IF(C203=$C$8,$D$69+$D$75,0)</f>
        <v>-2500</v>
      </c>
      <c r="E203" s="417"/>
      <c r="F203" s="638" t="s">
        <v>2396</v>
      </c>
      <c r="G203" s="417"/>
    </row>
    <row r="204" spans="2:7" ht="15" customHeight="1">
      <c r="B204" s="707" t="str">
        <f>"Year "&amp;C204</f>
        <v>Year 1</v>
      </c>
      <c r="C204" s="723">
        <f>C203+1</f>
        <v>1</v>
      </c>
      <c r="D204" s="711">
        <f>IF(C204=0,$C$165-$C$161,0)+IF(C204=$C$44,$C$56,0)+IF(C204=$C$8,$D$69+$D$75,0)</f>
        <v>0</v>
      </c>
      <c r="E204" s="417"/>
      <c r="F204" s="417"/>
      <c r="G204" s="417"/>
    </row>
    <row r="205" spans="2:7" ht="15" customHeight="1">
      <c r="B205" s="707" t="str">
        <f>"Year "&amp;C205</f>
        <v>Year 2</v>
      </c>
      <c r="C205" s="723">
        <f>C204+1</f>
        <v>2</v>
      </c>
      <c r="D205" s="711">
        <f>IF(C205=0,$C$165-$C$161,0)+IF(C205=$C$44,$C$56,0)+IF(C205=$C$8,$D$69+$D$75,0)</f>
        <v>0</v>
      </c>
      <c r="E205" s="417"/>
      <c r="F205" s="417"/>
      <c r="G205" s="417"/>
    </row>
    <row r="206" spans="2:7" ht="15" customHeight="1">
      <c r="B206" s="707" t="str">
        <f>"Year "&amp;C206</f>
        <v>Year 3</v>
      </c>
      <c r="C206" s="723">
        <f>C205+1</f>
        <v>3</v>
      </c>
      <c r="D206" s="711">
        <f>IF(C206=0,$C$165-$C$161,0)+IF(C206=$C$44,$C$56,0)+IF(C206=$C$8,$D$69+$D$75,0)</f>
        <v>500</v>
      </c>
      <c r="E206" s="417"/>
      <c r="F206" s="417"/>
      <c r="G206" s="417"/>
    </row>
    <row r="207" spans="2:7" ht="15" customHeight="1">
      <c r="B207" s="707" t="str">
        <f>"Year "&amp;C207</f>
        <v>Year 4</v>
      </c>
      <c r="C207" s="723">
        <f>C206+1</f>
        <v>4</v>
      </c>
      <c r="D207" s="711">
        <f>IF(C207=0,$C$165-$C$161,0)+IF(C207=$C$44,$C$56,0)+IF(C207=$C$8,$D$69+$D$75,0)</f>
        <v>0</v>
      </c>
      <c r="E207" s="417"/>
      <c r="F207" s="417"/>
      <c r="G207" s="417"/>
    </row>
    <row r="208" spans="2:7" ht="15" customHeight="1">
      <c r="B208" s="707" t="str">
        <f>"Year "&amp;C208</f>
        <v>Year 5</v>
      </c>
      <c r="C208" s="723">
        <f>C207+1</f>
        <v>5</v>
      </c>
      <c r="D208" s="711">
        <f>IF(C208=0,$C$165-$C$161,0)+IF(C208=$C$44,$C$56,0)+IF(C208=$C$8,$D$69+$D$75,0)</f>
        <v>9097.5926284877823</v>
      </c>
      <c r="E208" s="417"/>
      <c r="F208" s="417"/>
      <c r="G208" s="417"/>
    </row>
    <row r="209" spans="2:7">
      <c r="B209" s="417"/>
      <c r="C209" s="417"/>
      <c r="D209" s="417"/>
      <c r="E209" s="417"/>
      <c r="F209" s="417"/>
      <c r="G209" s="417"/>
    </row>
    <row r="210" spans="2:7">
      <c r="B210" s="417"/>
      <c r="C210" s="417"/>
      <c r="D210" s="417"/>
      <c r="E210" s="417"/>
      <c r="F210" s="417"/>
      <c r="G210" s="417"/>
    </row>
    <row r="211" spans="2:7">
      <c r="B211" s="417"/>
      <c r="C211" s="417"/>
      <c r="D211" s="417"/>
      <c r="E211" s="417"/>
      <c r="F211" s="417"/>
      <c r="G211" s="417"/>
    </row>
    <row r="212" spans="2:7">
      <c r="B212" s="417"/>
      <c r="C212" s="417"/>
      <c r="D212" s="417"/>
      <c r="E212" s="417"/>
      <c r="F212" s="417"/>
      <c r="G212" s="417"/>
    </row>
    <row r="213" spans="2:7">
      <c r="B213" s="417"/>
      <c r="C213" s="417"/>
      <c r="D213" s="417"/>
      <c r="E213" s="417"/>
      <c r="F213" s="417"/>
      <c r="G213" s="417"/>
    </row>
    <row r="214" spans="2:7">
      <c r="B214" s="417"/>
      <c r="C214" s="417"/>
      <c r="D214" s="417"/>
      <c r="E214" s="417"/>
      <c r="F214" s="417"/>
      <c r="G214" s="417"/>
    </row>
    <row r="215" spans="2:7">
      <c r="B215" s="417"/>
      <c r="C215" s="417"/>
      <c r="D215" s="417"/>
      <c r="E215" s="417"/>
      <c r="F215" s="417"/>
      <c r="G215" s="417"/>
    </row>
    <row r="216" spans="2:7">
      <c r="B216" s="417"/>
      <c r="C216" s="417"/>
      <c r="D216" s="417"/>
      <c r="E216" s="417"/>
      <c r="F216" s="417"/>
      <c r="G216" s="417"/>
    </row>
    <row r="217" spans="2:7">
      <c r="B217" s="417"/>
      <c r="C217" s="417"/>
      <c r="D217" s="417"/>
      <c r="E217" s="417"/>
      <c r="F217" s="417"/>
      <c r="G217" s="417"/>
    </row>
    <row r="218" spans="2:7">
      <c r="B218" s="417"/>
      <c r="C218" s="417"/>
      <c r="D218" s="417"/>
      <c r="E218" s="417"/>
      <c r="F218" s="417"/>
      <c r="G218" s="417"/>
    </row>
    <row r="219" spans="2:7">
      <c r="B219" s="417"/>
      <c r="C219" s="417"/>
      <c r="D219" s="417"/>
      <c r="E219" s="417"/>
      <c r="F219" s="417"/>
      <c r="G219" s="417"/>
    </row>
    <row r="220" spans="2:7">
      <c r="B220" s="417"/>
      <c r="C220" s="417"/>
      <c r="D220" s="417"/>
      <c r="E220" s="417"/>
      <c r="F220" s="417"/>
      <c r="G220" s="417"/>
    </row>
    <row r="221" spans="2:7">
      <c r="B221" s="417"/>
      <c r="C221" s="417"/>
      <c r="D221" s="417"/>
      <c r="E221" s="417"/>
      <c r="F221" s="417"/>
      <c r="G221" s="417"/>
    </row>
    <row r="222" spans="2:7">
      <c r="B222" s="417"/>
      <c r="C222" s="417"/>
      <c r="D222" s="417"/>
      <c r="E222" s="417"/>
      <c r="F222" s="417"/>
      <c r="G222" s="417"/>
    </row>
    <row r="223" spans="2:7">
      <c r="B223" s="417"/>
      <c r="C223" s="417"/>
      <c r="D223" s="417"/>
      <c r="E223" s="417"/>
      <c r="F223" s="417"/>
      <c r="G223" s="417"/>
    </row>
    <row r="224" spans="2:7">
      <c r="B224" s="417"/>
      <c r="C224" s="417"/>
      <c r="D224" s="417"/>
      <c r="E224" s="417"/>
      <c r="F224" s="417"/>
      <c r="G224" s="417"/>
    </row>
    <row r="225" spans="2:7">
      <c r="B225" s="417"/>
      <c r="C225" s="417"/>
      <c r="D225" s="417"/>
      <c r="E225" s="417"/>
      <c r="F225" s="417"/>
      <c r="G225" s="417"/>
    </row>
    <row r="226" spans="2:7">
      <c r="B226" s="417"/>
      <c r="C226" s="417"/>
      <c r="D226" s="417"/>
      <c r="E226" s="417"/>
      <c r="F226" s="417"/>
      <c r="G226" s="417"/>
    </row>
    <row r="227" spans="2:7">
      <c r="B227" s="417"/>
      <c r="C227" s="417"/>
      <c r="D227" s="417"/>
      <c r="E227" s="417"/>
      <c r="F227" s="417"/>
      <c r="G227" s="417"/>
    </row>
    <row r="228" spans="2:7">
      <c r="B228" s="417"/>
      <c r="C228" s="417"/>
      <c r="D228" s="417"/>
      <c r="E228" s="417"/>
      <c r="F228" s="417"/>
      <c r="G228" s="417"/>
    </row>
    <row r="229" spans="2:7">
      <c r="B229" s="417"/>
      <c r="C229" s="417"/>
      <c r="D229" s="417"/>
      <c r="E229" s="417"/>
      <c r="F229" s="417"/>
      <c r="G229" s="417"/>
    </row>
    <row r="230" spans="2:7">
      <c r="B230" s="417"/>
      <c r="C230" s="417"/>
      <c r="D230" s="417"/>
      <c r="E230" s="417"/>
      <c r="F230" s="417"/>
      <c r="G230" s="417"/>
    </row>
    <row r="231" spans="2:7">
      <c r="B231" s="417"/>
      <c r="C231" s="417"/>
      <c r="D231" s="417"/>
      <c r="E231" s="417"/>
      <c r="F231" s="417"/>
      <c r="G231" s="417"/>
    </row>
    <row r="232" spans="2:7">
      <c r="B232" s="417"/>
      <c r="C232" s="417"/>
      <c r="D232" s="417"/>
      <c r="E232" s="417"/>
      <c r="F232" s="417"/>
      <c r="G232" s="417"/>
    </row>
    <row r="233" spans="2:7">
      <c r="B233" s="417"/>
      <c r="C233" s="417"/>
      <c r="D233" s="417"/>
      <c r="E233" s="417"/>
      <c r="F233" s="417"/>
      <c r="G233" s="417"/>
    </row>
    <row r="234" spans="2:7">
      <c r="B234" s="417"/>
      <c r="C234" s="417"/>
      <c r="D234" s="417"/>
      <c r="E234" s="417"/>
      <c r="F234" s="417"/>
      <c r="G234" s="417"/>
    </row>
    <row r="235" spans="2:7">
      <c r="B235" s="417"/>
      <c r="C235" s="417"/>
      <c r="D235" s="417"/>
      <c r="E235" s="417"/>
      <c r="F235" s="417"/>
      <c r="G235" s="417"/>
    </row>
  </sheetData>
  <conditionalFormatting sqref="B6:D60 B62:D65 B67:D83 B93:D102 B104:D109 B111:D116 B118:D124 B126:D131 B133:D141 B143:D148 B150:D157 B85:D91">
    <cfRule type="expression" dxfId="81" priority="1">
      <formula>$H$3=1</formula>
    </cfRule>
  </conditionalFormatting>
  <pageMargins left="0.7" right="0.7" top="0.75" bottom="0.75" header="0.3" footer="0.3"/>
  <pageSetup orientation="portrait" horizontalDpi="1200" verticalDpi="1200" r:id="rId1"/>
  <rowBreaks count="1" manualBreakCount="1">
    <brk id="6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A91F-CFF0-45F3-ACBD-7A3AE075739E}">
  <sheetPr>
    <pageSetUpPr fitToPage="1"/>
  </sheetPr>
  <dimension ref="A1:J60"/>
  <sheetViews>
    <sheetView showGridLines="0" workbookViewId="0">
      <selection activeCell="G11" sqref="G11"/>
    </sheetView>
  </sheetViews>
  <sheetFormatPr defaultRowHeight="15"/>
  <cols>
    <col min="1" max="1" width="1.140625" customWidth="1"/>
    <col min="2" max="2" width="41" customWidth="1"/>
    <col min="3" max="7" width="10.42578125" customWidth="1"/>
    <col min="8" max="8" width="1.85546875" customWidth="1"/>
    <col min="9" max="9" width="5.7109375" customWidth="1"/>
    <col min="10" max="10" width="4.7109375" customWidth="1"/>
  </cols>
  <sheetData>
    <row r="1" spans="1:10">
      <c r="A1" s="586"/>
      <c r="B1" s="586"/>
      <c r="C1" s="586"/>
      <c r="D1" s="586"/>
      <c r="E1" s="586"/>
      <c r="F1" s="586"/>
      <c r="G1" s="586"/>
      <c r="H1" s="586"/>
      <c r="I1" s="586"/>
      <c r="J1" s="586"/>
    </row>
    <row r="2" spans="1:10" ht="16.5">
      <c r="A2" s="586"/>
      <c r="B2" s="610" t="str">
        <f>Cover!$B$24</f>
        <v>Keystone Bookkeepers</v>
      </c>
      <c r="C2" s="586"/>
      <c r="D2" s="586"/>
      <c r="E2" s="586"/>
      <c r="F2" s="586"/>
      <c r="G2" s="586"/>
      <c r="H2" s="586"/>
      <c r="I2" s="586"/>
      <c r="J2" s="586"/>
    </row>
    <row r="3" spans="1:10">
      <c r="A3" s="586"/>
      <c r="B3" s="38" t="s">
        <v>2074</v>
      </c>
      <c r="C3" s="611"/>
      <c r="D3" s="611"/>
      <c r="E3" s="611"/>
      <c r="F3" s="611"/>
      <c r="G3" s="611"/>
      <c r="H3" s="586"/>
      <c r="I3" s="586" t="s">
        <v>276</v>
      </c>
      <c r="J3" s="572">
        <v>1</v>
      </c>
    </row>
    <row r="4" spans="1:10">
      <c r="A4" s="586"/>
      <c r="B4" s="586"/>
      <c r="C4" s="586"/>
      <c r="D4" s="586"/>
      <c r="E4" s="586"/>
      <c r="F4" s="586"/>
      <c r="G4" s="586"/>
      <c r="H4" s="586"/>
      <c r="I4" s="586"/>
      <c r="J4" s="586"/>
    </row>
    <row r="5" spans="1:10">
      <c r="A5" s="586"/>
      <c r="B5" s="370" t="str">
        <f>"Table 1 — Ben's Net Gain: Scenario 2 vs. Scenario 1, Year "&amp;$C$31&amp;" ($000s)"</f>
        <v>Table 1 — Ben's Net Gain: Scenario 2 vs. Scenario 1, Year 5 ($000s)</v>
      </c>
      <c r="C5" s="370"/>
      <c r="D5" s="370"/>
      <c r="E5" s="370"/>
      <c r="F5" s="370"/>
      <c r="G5" s="370"/>
      <c r="H5" s="586"/>
      <c r="I5" s="586"/>
      <c r="J5" s="586"/>
    </row>
    <row r="6" spans="1:10">
      <c r="A6" s="586"/>
      <c r="B6" s="370" t="s">
        <v>2124</v>
      </c>
      <c r="C6" s="618">
        <f>D6-$C$44</f>
        <v>2</v>
      </c>
      <c r="D6" s="618">
        <f>E6-$C$44</f>
        <v>2.5</v>
      </c>
      <c r="E6" s="618">
        <f>$C$38</f>
        <v>3</v>
      </c>
      <c r="F6" s="618">
        <f>E6+$C$44</f>
        <v>3.5</v>
      </c>
      <c r="G6" s="618">
        <f>F6+$C$44</f>
        <v>4</v>
      </c>
      <c r="H6" s="586"/>
      <c r="I6" s="586"/>
      <c r="J6" s="586"/>
    </row>
    <row r="7" spans="1:10">
      <c r="A7" s="586"/>
      <c r="B7" s="619">
        <f>B8-$C$45</f>
        <v>0.75</v>
      </c>
      <c r="C7" s="590">
        <f t="shared" ref="C7:G11" si="0">$C$42*($C$41+$C$50*C$6)+$C$43-$C$51*$B7*$C$34</f>
        <v>4225.0529438542399</v>
      </c>
      <c r="D7" s="590">
        <f t="shared" si="0"/>
        <v>4364.85483462712</v>
      </c>
      <c r="E7" s="590">
        <f t="shared" si="0"/>
        <v>4504.6567254000001</v>
      </c>
      <c r="F7" s="590">
        <f t="shared" si="0"/>
        <v>4644.4586161728821</v>
      </c>
      <c r="G7" s="590">
        <f t="shared" si="0"/>
        <v>4784.2605069457641</v>
      </c>
      <c r="H7" s="586"/>
      <c r="I7" s="586"/>
      <c r="J7" s="586"/>
    </row>
    <row r="8" spans="1:10">
      <c r="A8" s="586"/>
      <c r="B8" s="619">
        <f>B9-$C$45</f>
        <v>1</v>
      </c>
      <c r="C8" s="617">
        <f t="shared" si="0"/>
        <v>2727.0014041084778</v>
      </c>
      <c r="D8" s="617">
        <f t="shared" si="0"/>
        <v>2866.8032948813579</v>
      </c>
      <c r="E8" s="617">
        <f t="shared" si="0"/>
        <v>3006.6051856542381</v>
      </c>
      <c r="F8" s="617">
        <f t="shared" si="0"/>
        <v>3146.40707642712</v>
      </c>
      <c r="G8" s="617">
        <f t="shared" si="0"/>
        <v>3286.208967200002</v>
      </c>
      <c r="H8" s="586"/>
      <c r="I8" s="586"/>
      <c r="J8" s="586"/>
    </row>
    <row r="9" spans="1:10">
      <c r="A9" s="586"/>
      <c r="B9" s="620">
        <f>$C$35</f>
        <v>1.25</v>
      </c>
      <c r="C9" s="617">
        <f t="shared" si="0"/>
        <v>1228.9498643627157</v>
      </c>
      <c r="D9" s="617">
        <f t="shared" si="0"/>
        <v>1368.7517551355959</v>
      </c>
      <c r="E9" s="621">
        <f t="shared" si="0"/>
        <v>1508.553645908476</v>
      </c>
      <c r="F9" s="617">
        <f t="shared" si="0"/>
        <v>1648.355536681358</v>
      </c>
      <c r="G9" s="617">
        <f t="shared" si="0"/>
        <v>1788.15742745424</v>
      </c>
      <c r="H9" s="586"/>
      <c r="I9" s="586"/>
      <c r="J9" s="586"/>
    </row>
    <row r="10" spans="1:10">
      <c r="A10" s="586"/>
      <c r="B10" s="619">
        <f>B9+$C$45</f>
        <v>1.5</v>
      </c>
      <c r="C10" s="617">
        <f t="shared" si="0"/>
        <v>-269.10167538304813</v>
      </c>
      <c r="D10" s="617">
        <f t="shared" si="0"/>
        <v>-129.29978461016799</v>
      </c>
      <c r="E10" s="617">
        <f t="shared" si="0"/>
        <v>10.502106162712153</v>
      </c>
      <c r="F10" s="617">
        <f t="shared" si="0"/>
        <v>150.30399693559411</v>
      </c>
      <c r="G10" s="617">
        <f t="shared" si="0"/>
        <v>290.10588770847608</v>
      </c>
      <c r="H10" s="586"/>
      <c r="I10" s="586"/>
      <c r="J10" s="586"/>
    </row>
    <row r="11" spans="1:10">
      <c r="A11" s="586"/>
      <c r="B11" s="619">
        <f>B10+$C$45</f>
        <v>1.75</v>
      </c>
      <c r="C11" s="617">
        <f t="shared" si="0"/>
        <v>-1767.1532151288102</v>
      </c>
      <c r="D11" s="617">
        <f t="shared" si="0"/>
        <v>-1627.35132435593</v>
      </c>
      <c r="E11" s="617">
        <f t="shared" si="0"/>
        <v>-1487.5494335830499</v>
      </c>
      <c r="F11" s="617">
        <f t="shared" si="0"/>
        <v>-1347.7475428101679</v>
      </c>
      <c r="G11" s="617">
        <f t="shared" si="0"/>
        <v>-1207.945652037286</v>
      </c>
      <c r="H11" s="586"/>
      <c r="I11" s="586"/>
      <c r="J11" s="586"/>
    </row>
    <row r="12" spans="1:10">
      <c r="A12" s="586"/>
      <c r="B12" s="586"/>
      <c r="C12" s="586"/>
      <c r="D12" s="586"/>
      <c r="E12" s="586"/>
      <c r="F12" s="586"/>
      <c r="G12" s="586"/>
      <c r="H12" s="586"/>
      <c r="I12" s="586"/>
      <c r="J12" s="586"/>
    </row>
    <row r="13" spans="1:10">
      <c r="A13" s="586"/>
      <c r="B13" s="370" t="str">
        <f>"Table 2 — Partnership Value Increase vs. Base Standalone Increase, Year "&amp;$C$31&amp;" ($000s)"</f>
        <v>Table 2 — Partnership Value Increase vs. Base Standalone Increase, Year 5 ($000s)</v>
      </c>
      <c r="C13" s="370"/>
      <c r="D13" s="370"/>
      <c r="E13" s="370"/>
      <c r="F13" s="370"/>
      <c r="G13" s="370"/>
      <c r="H13" s="586"/>
      <c r="I13" s="586"/>
      <c r="J13" s="586"/>
    </row>
    <row r="14" spans="1:10">
      <c r="A14" s="586"/>
      <c r="B14" s="370" t="s">
        <v>2125</v>
      </c>
      <c r="C14" s="622">
        <f>D14-$C$46</f>
        <v>38</v>
      </c>
      <c r="D14" s="622">
        <f>E14-$C$46</f>
        <v>43</v>
      </c>
      <c r="E14" s="622">
        <f>$C$40</f>
        <v>48</v>
      </c>
      <c r="F14" s="622">
        <f>E14+$C$46</f>
        <v>53</v>
      </c>
      <c r="G14" s="622">
        <f>F14+$C$46</f>
        <v>58</v>
      </c>
      <c r="H14" s="586"/>
      <c r="I14" s="586"/>
      <c r="J14" s="586"/>
    </row>
    <row r="15" spans="1:10">
      <c r="A15" s="586"/>
      <c r="B15" s="623">
        <f>B16-$C$47</f>
        <v>14.631472994350275</v>
      </c>
      <c r="C15" s="590">
        <f t="shared" ref="C15:G19" si="1">($C$32+C$14*$C$31*$B15)*$C$38-$C$33-$C$52</f>
        <v>9845.3049680508448</v>
      </c>
      <c r="D15" s="590">
        <f t="shared" si="1"/>
        <v>10942.665442627112</v>
      </c>
      <c r="E15" s="590">
        <f t="shared" si="1"/>
        <v>12040.025917203388</v>
      </c>
      <c r="F15" s="590">
        <f t="shared" si="1"/>
        <v>13137.386391779659</v>
      </c>
      <c r="G15" s="590">
        <f t="shared" si="1"/>
        <v>14234.746866355927</v>
      </c>
      <c r="H15" s="586"/>
      <c r="I15" s="586"/>
      <c r="J15" s="586"/>
    </row>
    <row r="16" spans="1:10">
      <c r="A16" s="586"/>
      <c r="B16" s="623">
        <f>B17-$C$47</f>
        <v>15.631472994350275</v>
      </c>
      <c r="C16" s="617">
        <f t="shared" si="1"/>
        <v>10415.304968050845</v>
      </c>
      <c r="D16" s="617">
        <f t="shared" si="1"/>
        <v>11587.665442627112</v>
      </c>
      <c r="E16" s="617">
        <f t="shared" si="1"/>
        <v>12760.025917203388</v>
      </c>
      <c r="F16" s="617">
        <f t="shared" si="1"/>
        <v>13932.386391779659</v>
      </c>
      <c r="G16" s="617">
        <f t="shared" si="1"/>
        <v>15104.746866355927</v>
      </c>
      <c r="H16" s="586"/>
      <c r="I16" s="586"/>
      <c r="J16" s="586"/>
    </row>
    <row r="17" spans="1:10">
      <c r="A17" s="586"/>
      <c r="B17" s="624">
        <f>$C$39</f>
        <v>16.631472994350275</v>
      </c>
      <c r="C17" s="617">
        <f t="shared" si="1"/>
        <v>10985.304968050845</v>
      </c>
      <c r="D17" s="617">
        <f t="shared" si="1"/>
        <v>12232.665442627112</v>
      </c>
      <c r="E17" s="621">
        <f t="shared" si="1"/>
        <v>13480.025917203388</v>
      </c>
      <c r="F17" s="617">
        <f t="shared" si="1"/>
        <v>14727.386391779659</v>
      </c>
      <c r="G17" s="617">
        <f t="shared" si="1"/>
        <v>15974.746866355927</v>
      </c>
      <c r="H17" s="586"/>
      <c r="I17" s="586"/>
      <c r="J17" s="586"/>
    </row>
    <row r="18" spans="1:10">
      <c r="A18" s="586"/>
      <c r="B18" s="623">
        <f>B17+$C$47</f>
        <v>17.631472994350275</v>
      </c>
      <c r="C18" s="617">
        <f t="shared" si="1"/>
        <v>11555.304968050845</v>
      </c>
      <c r="D18" s="617">
        <f t="shared" si="1"/>
        <v>12877.665442627112</v>
      </c>
      <c r="E18" s="617">
        <f t="shared" si="1"/>
        <v>14200.025917203391</v>
      </c>
      <c r="F18" s="617">
        <f t="shared" si="1"/>
        <v>15522.386391779659</v>
      </c>
      <c r="G18" s="617">
        <f t="shared" si="1"/>
        <v>16844.746866355927</v>
      </c>
      <c r="H18" s="586"/>
      <c r="I18" s="586"/>
      <c r="J18" s="586"/>
    </row>
    <row r="19" spans="1:10">
      <c r="A19" s="586"/>
      <c r="B19" s="623">
        <f>B18+$C$47</f>
        <v>18.631472994350275</v>
      </c>
      <c r="C19" s="617">
        <f t="shared" si="1"/>
        <v>12125.304968050845</v>
      </c>
      <c r="D19" s="617">
        <f t="shared" si="1"/>
        <v>13522.665442627112</v>
      </c>
      <c r="E19" s="617">
        <f t="shared" si="1"/>
        <v>14920.025917203391</v>
      </c>
      <c r="F19" s="617">
        <f t="shared" si="1"/>
        <v>16317.386391779659</v>
      </c>
      <c r="G19" s="617">
        <f t="shared" si="1"/>
        <v>17714.746866355927</v>
      </c>
      <c r="H19" s="586"/>
      <c r="I19" s="586"/>
      <c r="J19" s="586"/>
    </row>
    <row r="20" spans="1:10">
      <c r="A20" s="586"/>
      <c r="B20" s="586"/>
      <c r="C20" s="586"/>
      <c r="D20" s="586"/>
      <c r="E20" s="586"/>
      <c r="F20" s="586"/>
      <c r="G20" s="586"/>
      <c r="H20" s="586"/>
      <c r="I20" s="586"/>
      <c r="J20" s="586"/>
    </row>
    <row r="21" spans="1:10">
      <c r="A21" s="586"/>
      <c r="B21" s="370" t="str">
        <f>"Table 3 — Standalone: Keystone Value Increase vs. Today, Year "&amp;$C$31&amp;" ($000s)"</f>
        <v>Table 3 — Standalone: Keystone Value Increase vs. Today, Year 5 ($000s)</v>
      </c>
      <c r="C21" s="370"/>
      <c r="D21" s="370"/>
      <c r="E21" s="370"/>
      <c r="F21" s="370"/>
      <c r="G21" s="370"/>
      <c r="H21" s="586"/>
      <c r="I21" s="586"/>
      <c r="J21" s="586"/>
    </row>
    <row r="22" spans="1:10">
      <c r="A22" s="586"/>
      <c r="B22" s="370" t="s">
        <v>2125</v>
      </c>
      <c r="C22" s="622">
        <f>D22-$C$46</f>
        <v>26</v>
      </c>
      <c r="D22" s="622">
        <f>E22-$C$46</f>
        <v>31</v>
      </c>
      <c r="E22" s="622">
        <f>$C$37</f>
        <v>36</v>
      </c>
      <c r="F22" s="622">
        <f>E22+$C$46</f>
        <v>41</v>
      </c>
      <c r="G22" s="622">
        <f>F22+$C$46</f>
        <v>46</v>
      </c>
      <c r="H22" s="586"/>
      <c r="I22" s="586"/>
      <c r="J22" s="586"/>
    </row>
    <row r="23" spans="1:10">
      <c r="A23" s="586"/>
      <c r="B23" s="623">
        <f>B24-$C$47</f>
        <v>14.631472994350275</v>
      </c>
      <c r="C23" s="590">
        <f t="shared" ref="C23:G27" si="2">($C$32+C$22*$C$31*$B23)*$C$35-$C$33</f>
        <v>3125.7906365819199</v>
      </c>
      <c r="D23" s="590">
        <f t="shared" si="2"/>
        <v>3583.024167655366</v>
      </c>
      <c r="E23" s="590">
        <f t="shared" si="2"/>
        <v>4040.2576987288121</v>
      </c>
      <c r="F23" s="590">
        <f t="shared" si="2"/>
        <v>4497.4912298022582</v>
      </c>
      <c r="G23" s="590">
        <f t="shared" si="2"/>
        <v>4954.7247608757043</v>
      </c>
      <c r="H23" s="586"/>
      <c r="I23" s="586"/>
      <c r="J23" s="586"/>
    </row>
    <row r="24" spans="1:10">
      <c r="A24" s="586"/>
      <c r="B24" s="623">
        <f>B25-$C$47</f>
        <v>15.631472994350275</v>
      </c>
      <c r="C24" s="617">
        <f t="shared" si="2"/>
        <v>3288.2906365819199</v>
      </c>
      <c r="D24" s="617">
        <f t="shared" si="2"/>
        <v>3776.774167655366</v>
      </c>
      <c r="E24" s="617">
        <f t="shared" si="2"/>
        <v>4265.2576987288121</v>
      </c>
      <c r="F24" s="617">
        <f t="shared" si="2"/>
        <v>4753.7412298022582</v>
      </c>
      <c r="G24" s="617">
        <f t="shared" si="2"/>
        <v>5242.2247608757043</v>
      </c>
      <c r="H24" s="586"/>
      <c r="I24" s="586"/>
      <c r="J24" s="586"/>
    </row>
    <row r="25" spans="1:10">
      <c r="A25" s="586"/>
      <c r="B25" s="624">
        <f>$C$36</f>
        <v>16.631472994350275</v>
      </c>
      <c r="C25" s="617">
        <f t="shared" si="2"/>
        <v>3450.7906365819199</v>
      </c>
      <c r="D25" s="617">
        <f t="shared" si="2"/>
        <v>3970.524167655366</v>
      </c>
      <c r="E25" s="621">
        <f t="shared" si="2"/>
        <v>4490.2576987288121</v>
      </c>
      <c r="F25" s="617">
        <f t="shared" si="2"/>
        <v>5009.9912298022582</v>
      </c>
      <c r="G25" s="617">
        <f t="shared" si="2"/>
        <v>5529.7247608757043</v>
      </c>
      <c r="H25" s="586"/>
      <c r="I25" s="586"/>
      <c r="J25" s="586"/>
    </row>
    <row r="26" spans="1:10">
      <c r="A26" s="586"/>
      <c r="B26" s="623">
        <f>B25+$C$47</f>
        <v>17.631472994350275</v>
      </c>
      <c r="C26" s="617">
        <f t="shared" si="2"/>
        <v>3613.2906365819199</v>
      </c>
      <c r="D26" s="617">
        <f t="shared" si="2"/>
        <v>4164.274167655366</v>
      </c>
      <c r="E26" s="617">
        <f t="shared" si="2"/>
        <v>4715.2576987288121</v>
      </c>
      <c r="F26" s="617">
        <f t="shared" si="2"/>
        <v>5266.2412298022573</v>
      </c>
      <c r="G26" s="617">
        <f t="shared" si="2"/>
        <v>5817.2247608757043</v>
      </c>
      <c r="H26" s="586"/>
      <c r="I26" s="586"/>
      <c r="J26" s="586"/>
    </row>
    <row r="27" spans="1:10">
      <c r="A27" s="586"/>
      <c r="B27" s="623">
        <f>B26+$C$47</f>
        <v>18.631472994350275</v>
      </c>
      <c r="C27" s="617">
        <f t="shared" si="2"/>
        <v>3775.7906365819199</v>
      </c>
      <c r="D27" s="617">
        <f t="shared" si="2"/>
        <v>4358.024167655366</v>
      </c>
      <c r="E27" s="617">
        <f t="shared" si="2"/>
        <v>4940.2576987288121</v>
      </c>
      <c r="F27" s="617">
        <f t="shared" si="2"/>
        <v>5522.4912298022573</v>
      </c>
      <c r="G27" s="617">
        <f t="shared" si="2"/>
        <v>6104.7247608757043</v>
      </c>
      <c r="H27" s="586"/>
      <c r="I27" s="586"/>
      <c r="J27" s="586"/>
    </row>
    <row r="28" spans="1:10">
      <c r="A28" s="586"/>
      <c r="B28" s="586"/>
      <c r="C28" s="586"/>
      <c r="D28" s="586"/>
      <c r="E28" s="586"/>
      <c r="F28" s="586"/>
      <c r="G28" s="586"/>
      <c r="H28" s="586"/>
      <c r="I28" s="586"/>
      <c r="J28" s="586"/>
    </row>
    <row r="29" spans="1:10">
      <c r="A29" s="586"/>
      <c r="B29" s="374" t="s">
        <v>2106</v>
      </c>
      <c r="C29" s="612"/>
      <c r="D29" s="612"/>
      <c r="E29" s="612"/>
      <c r="F29" s="612"/>
      <c r="G29" s="612"/>
      <c r="H29" s="586"/>
      <c r="I29" s="586"/>
      <c r="J29" s="586"/>
    </row>
    <row r="30" spans="1:10">
      <c r="A30" s="586"/>
      <c r="B30" s="370" t="s">
        <v>2016</v>
      </c>
      <c r="C30" s="613" t="s">
        <v>1197</v>
      </c>
      <c r="D30" s="370" t="s">
        <v>287</v>
      </c>
      <c r="E30" s="370"/>
      <c r="F30" s="370"/>
      <c r="G30" s="370"/>
      <c r="H30" s="586"/>
      <c r="I30" s="586"/>
      <c r="J30" s="586"/>
    </row>
    <row r="31" spans="1:10">
      <c r="A31" s="586"/>
      <c r="B31" s="586" t="s">
        <v>2065</v>
      </c>
      <c r="C31" s="53">
        <f>'100% Buyout Analysis'!$C$7</f>
        <v>5</v>
      </c>
      <c r="D31" s="586" t="s">
        <v>2107</v>
      </c>
      <c r="E31" s="586"/>
      <c r="F31" s="586"/>
      <c r="G31" s="586"/>
      <c r="H31" s="586"/>
      <c r="I31" s="586"/>
      <c r="J31" s="586"/>
    </row>
    <row r="32" spans="1:10">
      <c r="A32" s="586"/>
      <c r="B32" s="586" t="s">
        <v>2108</v>
      </c>
      <c r="C32" s="47">
        <f>'100% Buyout Analysis'!$C$152</f>
        <v>2998.5410200000001</v>
      </c>
      <c r="D32" s="586" t="s">
        <v>2369</v>
      </c>
      <c r="E32" s="586"/>
      <c r="F32" s="586"/>
      <c r="G32" s="586"/>
      <c r="H32" s="586"/>
      <c r="I32" s="586"/>
      <c r="J32" s="586"/>
    </row>
    <row r="33" spans="1:10">
      <c r="A33" s="586"/>
      <c r="B33" s="586" t="s">
        <v>2062</v>
      </c>
      <c r="C33" s="53">
        <f>'100% Buyout Analysis'!$C$153</f>
        <v>3000</v>
      </c>
      <c r="D33" s="586" t="s">
        <v>2370</v>
      </c>
      <c r="E33" s="586"/>
      <c r="F33" s="586"/>
      <c r="G33" s="586"/>
      <c r="H33" s="586"/>
      <c r="I33" s="586"/>
      <c r="J33" s="586"/>
    </row>
    <row r="34" spans="1:10">
      <c r="A34" s="586"/>
      <c r="B34" s="586" t="s">
        <v>2007</v>
      </c>
      <c r="C34" s="573">
        <f>'100% Buyout Analysis'!$C$62</f>
        <v>1</v>
      </c>
      <c r="D34" s="586" t="s">
        <v>2172</v>
      </c>
      <c r="E34" s="586"/>
      <c r="F34" s="586"/>
      <c r="G34" s="586"/>
      <c r="H34" s="586"/>
      <c r="I34" s="586"/>
      <c r="J34" s="586"/>
    </row>
    <row r="35" spans="1:10">
      <c r="A35" s="586"/>
      <c r="B35" s="586" t="s">
        <v>2171</v>
      </c>
      <c r="C35" s="614">
        <f>'100% Buyout Analysis'!$C$20</f>
        <v>1.25</v>
      </c>
      <c r="D35" s="586" t="s">
        <v>2173</v>
      </c>
      <c r="E35" s="586"/>
      <c r="F35" s="586"/>
      <c r="G35" s="586"/>
      <c r="H35" s="586"/>
      <c r="I35" s="586"/>
      <c r="J35" s="586"/>
    </row>
    <row r="36" spans="1:10">
      <c r="A36" s="586"/>
      <c r="B36" s="586" t="s">
        <v>2109</v>
      </c>
      <c r="C36" s="385">
        <f>'100% Buyout Analysis'!$C$21</f>
        <v>16.631472994350275</v>
      </c>
      <c r="D36" s="586" t="s">
        <v>2126</v>
      </c>
      <c r="E36" s="586"/>
      <c r="F36" s="586"/>
      <c r="G36" s="586"/>
      <c r="H36" s="586"/>
      <c r="I36" s="586"/>
      <c r="J36" s="586"/>
    </row>
    <row r="37" spans="1:10">
      <c r="A37" s="586"/>
      <c r="B37" s="586" t="s">
        <v>2110</v>
      </c>
      <c r="C37" s="385">
        <f>'100% Buyout Analysis'!$C$23</f>
        <v>36</v>
      </c>
      <c r="D37" s="586" t="s">
        <v>2174</v>
      </c>
      <c r="E37" s="586"/>
      <c r="F37" s="586"/>
      <c r="G37" s="586"/>
      <c r="H37" s="586"/>
      <c r="I37" s="586"/>
      <c r="J37" s="586"/>
    </row>
    <row r="38" spans="1:10">
      <c r="A38" s="586"/>
      <c r="B38" s="586" t="s">
        <v>2111</v>
      </c>
      <c r="C38" s="615">
        <f>'100% Buyout Analysis'!$C$28</f>
        <v>3</v>
      </c>
      <c r="D38" s="586" t="s">
        <v>2175</v>
      </c>
      <c r="E38" s="586"/>
      <c r="F38" s="586"/>
      <c r="G38" s="586"/>
      <c r="H38" s="586"/>
      <c r="I38" s="586"/>
      <c r="J38" s="586"/>
    </row>
    <row r="39" spans="1:10">
      <c r="A39" s="586"/>
      <c r="B39" s="586" t="s">
        <v>2112</v>
      </c>
      <c r="C39" s="385">
        <f>'100% Buyout Analysis'!$C$33</f>
        <v>16.631472994350275</v>
      </c>
      <c r="D39" s="586" t="s">
        <v>2176</v>
      </c>
      <c r="E39" s="586"/>
      <c r="F39" s="586"/>
      <c r="G39" s="586"/>
      <c r="H39" s="586"/>
      <c r="I39" s="586"/>
      <c r="J39" s="586"/>
    </row>
    <row r="40" spans="1:10">
      <c r="A40" s="586"/>
      <c r="B40" s="586" t="s">
        <v>2113</v>
      </c>
      <c r="C40" s="385">
        <f>'100% Buyout Analysis'!$C$37</f>
        <v>48</v>
      </c>
      <c r="D40" s="586" t="s">
        <v>2177</v>
      </c>
      <c r="E40" s="586"/>
      <c r="F40" s="586"/>
      <c r="G40" s="586"/>
      <c r="H40" s="586"/>
      <c r="I40" s="586"/>
      <c r="J40" s="586"/>
    </row>
    <row r="41" spans="1:10">
      <c r="A41" s="586"/>
      <c r="B41" s="586" t="s">
        <v>2114</v>
      </c>
      <c r="C41" s="53">
        <f>'100% Buyout Analysis'!$D$66</f>
        <v>179000.00000000003</v>
      </c>
      <c r="D41" s="586" t="s">
        <v>2378</v>
      </c>
      <c r="E41" s="586"/>
      <c r="F41" s="586"/>
      <c r="G41" s="586"/>
      <c r="H41" s="586"/>
      <c r="I41" s="586"/>
      <c r="J41" s="586"/>
    </row>
    <row r="42" spans="1:10">
      <c r="A42" s="586"/>
      <c r="B42" s="586" t="s">
        <v>2064</v>
      </c>
      <c r="C42" s="571">
        <f>'100% Buyout Analysis'!$C$158</f>
        <v>0.04</v>
      </c>
      <c r="D42" s="586" t="s">
        <v>2379</v>
      </c>
      <c r="E42" s="586"/>
      <c r="F42" s="586"/>
      <c r="G42" s="586"/>
      <c r="H42" s="586"/>
      <c r="I42" s="586"/>
      <c r="J42" s="586"/>
    </row>
    <row r="43" spans="1:10">
      <c r="A43" s="586"/>
      <c r="B43" s="586" t="s">
        <v>2376</v>
      </c>
      <c r="C43" s="53">
        <f>'100% Buyout Analysis'!$C$154+'100% Buyout Analysis'!$C$55</f>
        <v>1000</v>
      </c>
      <c r="D43" s="586" t="s">
        <v>2377</v>
      </c>
      <c r="E43" s="586"/>
      <c r="F43" s="586"/>
      <c r="G43" s="586"/>
      <c r="H43" s="586"/>
      <c r="I43" s="586"/>
      <c r="J43" s="586"/>
    </row>
    <row r="44" spans="1:10">
      <c r="A44" s="586"/>
      <c r="B44" s="586" t="s">
        <v>2115</v>
      </c>
      <c r="C44" s="616">
        <v>0.5</v>
      </c>
      <c r="D44" s="586" t="str">
        <f>"Gives "&amp;TEXT($C$38-2*$C$44,"0.00")&amp;"x–"&amp;TEXT($C$38+2*$C$44,"0.00")&amp;"x around the "&amp;TEXT($C$38,"0.00")&amp;"x base"</f>
        <v>Gives 2.00x–4.00x around the 3.00x base</v>
      </c>
      <c r="E44" s="586"/>
      <c r="F44" s="586"/>
      <c r="G44" s="586"/>
      <c r="H44" s="586"/>
      <c r="I44" s="586"/>
      <c r="J44" s="586"/>
    </row>
    <row r="45" spans="1:10">
      <c r="A45" s="586"/>
      <c r="B45" s="586" t="s">
        <v>2116</v>
      </c>
      <c r="C45" s="616">
        <v>0.25</v>
      </c>
      <c r="D45" s="586" t="str">
        <f>"Gives "&amp;TEXT($C$35-2*$C$45,"0.00")&amp;"x–"&amp;TEXT($C$35+2*$C$45,"0.00")&amp;"x around the "&amp;TEXT($C$35,"0.00")&amp;"x base"</f>
        <v>Gives 0.75x–1.75x around the 1.25x base</v>
      </c>
      <c r="E45" s="586"/>
      <c r="F45" s="586"/>
      <c r="G45" s="586"/>
      <c r="H45" s="586"/>
      <c r="I45" s="586"/>
      <c r="J45" s="586"/>
    </row>
    <row r="46" spans="1:10">
      <c r="A46" s="586"/>
      <c r="B46" s="586" t="s">
        <v>2117</v>
      </c>
      <c r="C46" s="286">
        <v>5</v>
      </c>
      <c r="D46" s="586" t="s">
        <v>2118</v>
      </c>
      <c r="E46" s="586"/>
      <c r="F46" s="586"/>
      <c r="G46" s="586"/>
      <c r="H46" s="586"/>
      <c r="I46" s="586"/>
      <c r="J46" s="586"/>
    </row>
    <row r="47" spans="1:10">
      <c r="A47" s="586"/>
      <c r="B47" s="586" t="s">
        <v>2119</v>
      </c>
      <c r="C47" s="286">
        <v>1</v>
      </c>
      <c r="D47" s="586" t="s">
        <v>2120</v>
      </c>
      <c r="E47" s="586"/>
      <c r="F47" s="586"/>
      <c r="G47" s="586"/>
      <c r="H47" s="586"/>
      <c r="I47" s="586"/>
      <c r="J47" s="586"/>
    </row>
    <row r="48" spans="1:10">
      <c r="A48" s="586"/>
      <c r="B48" s="586"/>
      <c r="C48" s="586"/>
      <c r="D48" s="586"/>
      <c r="E48" s="586"/>
      <c r="F48" s="586"/>
      <c r="G48" s="586"/>
      <c r="H48" s="586"/>
      <c r="I48" s="586"/>
      <c r="J48" s="586"/>
    </row>
    <row r="49" spans="1:10">
      <c r="A49" s="586"/>
      <c r="B49" s="374" t="s">
        <v>2121</v>
      </c>
      <c r="C49" s="612"/>
      <c r="D49" s="612"/>
      <c r="E49" s="612"/>
      <c r="F49" s="612"/>
      <c r="G49" s="612"/>
      <c r="H49" s="586"/>
      <c r="I49" s="586"/>
      <c r="J49" s="586"/>
    </row>
    <row r="50" spans="1:10">
      <c r="A50" s="586"/>
      <c r="B50" s="586" t="str">
        <f>"Partnership Year "&amp;$C$31&amp;" Revenue"</f>
        <v>Partnership Year 5 Revenue</v>
      </c>
      <c r="C50" s="590">
        <f>$C$32+$C$40*$C$31*$C$39</f>
        <v>6990.0945386440662</v>
      </c>
      <c r="D50" s="586" t="s">
        <v>2122</v>
      </c>
      <c r="E50" s="586"/>
      <c r="F50" s="586"/>
      <c r="G50" s="586"/>
      <c r="H50" s="586"/>
      <c r="I50" s="586"/>
      <c r="J50" s="586"/>
    </row>
    <row r="51" spans="1:10">
      <c r="A51" s="586"/>
      <c r="B51" s="586" t="str">
        <f>"Standalone Year "&amp;$C$31&amp;" Revenue"</f>
        <v>Standalone Year 5 Revenue</v>
      </c>
      <c r="C51" s="617">
        <f>$C$32+$C$37*$C$31*$C$36</f>
        <v>5992.20615898305</v>
      </c>
      <c r="D51" s="586" t="s">
        <v>2122</v>
      </c>
      <c r="E51" s="586"/>
      <c r="F51" s="586"/>
      <c r="G51" s="586"/>
      <c r="H51" s="586"/>
      <c r="I51" s="586"/>
      <c r="J51" s="586"/>
    </row>
    <row r="52" spans="1:10">
      <c r="A52" s="586"/>
      <c r="B52" s="586" t="s">
        <v>2132</v>
      </c>
      <c r="C52" s="154">
        <f>$C$51*$C$35-$C$33</f>
        <v>4490.2576987288121</v>
      </c>
      <c r="D52" s="586" t="s">
        <v>2133</v>
      </c>
      <c r="E52" s="586"/>
      <c r="F52" s="586"/>
      <c r="G52" s="586"/>
      <c r="H52" s="586"/>
      <c r="I52" s="586"/>
      <c r="J52" s="586"/>
    </row>
    <row r="53" spans="1:10">
      <c r="A53" s="586"/>
      <c r="B53" s="374" t="s">
        <v>2123</v>
      </c>
      <c r="C53" s="612"/>
      <c r="D53" s="612"/>
      <c r="E53" s="612"/>
      <c r="F53" s="612"/>
      <c r="G53" s="612"/>
      <c r="H53" s="586"/>
      <c r="I53" s="586"/>
      <c r="J53" s="586"/>
    </row>
    <row r="54" spans="1:10">
      <c r="A54" s="586"/>
      <c r="B54" s="586" t="s">
        <v>2127</v>
      </c>
      <c r="C54" s="617">
        <f>E9-('100% Buyout Analysis'!$D$72-'100% Buyout Analysis'!$D$63)</f>
        <v>0</v>
      </c>
      <c r="D54" s="586" t="s">
        <v>2130</v>
      </c>
      <c r="E54" s="586"/>
      <c r="F54" s="586"/>
      <c r="G54" s="586"/>
      <c r="H54" s="586"/>
      <c r="I54" s="586"/>
      <c r="J54" s="586"/>
    </row>
    <row r="55" spans="1:10">
      <c r="A55" s="586"/>
      <c r="B55" s="586" t="s">
        <v>2128</v>
      </c>
      <c r="C55" s="617">
        <f>E17-(('100% Buyout Analysis'!$D$67-'100% Buyout Analysis'!$C$67)-('100% Buyout Analysis'!$D$61-'100% Buyout Analysis'!$C$61))</f>
        <v>0</v>
      </c>
      <c r="D55" s="586" t="s">
        <v>2134</v>
      </c>
      <c r="E55" s="586"/>
      <c r="F55" s="586"/>
      <c r="G55" s="586"/>
      <c r="H55" s="586"/>
      <c r="I55" s="586"/>
      <c r="J55" s="586"/>
    </row>
    <row r="56" spans="1:10">
      <c r="A56" s="586"/>
      <c r="B56" s="586" t="s">
        <v>2129</v>
      </c>
      <c r="C56" s="617">
        <f>E25-('100% Buyout Analysis'!$D$61-'100% Buyout Analysis'!$C$61)</f>
        <v>0</v>
      </c>
      <c r="D56" s="586" t="s">
        <v>2131</v>
      </c>
      <c r="E56" s="586"/>
      <c r="F56" s="586"/>
      <c r="G56" s="586"/>
      <c r="H56" s="586"/>
      <c r="I56" s="586"/>
      <c r="J56" s="586"/>
    </row>
    <row r="57" spans="1:10">
      <c r="A57" s="586"/>
      <c r="B57" s="586"/>
      <c r="C57" s="586"/>
      <c r="D57" s="586"/>
      <c r="E57" s="586"/>
      <c r="F57" s="586"/>
      <c r="G57" s="586"/>
      <c r="H57" s="586"/>
      <c r="I57" s="586"/>
      <c r="J57" s="586"/>
    </row>
    <row r="58" spans="1:10">
      <c r="A58" s="586"/>
      <c r="B58" s="586"/>
      <c r="C58" s="586"/>
      <c r="D58" s="586"/>
      <c r="E58" s="586"/>
      <c r="F58" s="586"/>
      <c r="G58" s="586"/>
      <c r="H58" s="586"/>
      <c r="I58" s="586"/>
      <c r="J58" s="586"/>
    </row>
    <row r="59" spans="1:10">
      <c r="A59" s="586"/>
      <c r="B59" s="586"/>
      <c r="C59" s="586"/>
      <c r="D59" s="586"/>
      <c r="E59" s="586"/>
      <c r="F59" s="586"/>
      <c r="G59" s="586"/>
      <c r="H59" s="586"/>
      <c r="I59" s="586"/>
      <c r="J59" s="586"/>
    </row>
    <row r="60" spans="1:10">
      <c r="A60" s="586"/>
      <c r="B60" s="586"/>
      <c r="C60" s="586"/>
      <c r="D60" s="586"/>
      <c r="E60" s="586"/>
      <c r="F60" s="586"/>
      <c r="G60" s="586"/>
      <c r="H60" s="586"/>
      <c r="I60" s="586"/>
      <c r="J60" s="586"/>
    </row>
  </sheetData>
  <conditionalFormatting sqref="B31:G56 B7:G12 B15:G20 B23:G29">
    <cfRule type="expression" dxfId="80" priority="2">
      <formula>$J$3=1</formula>
    </cfRule>
  </conditionalFormatting>
  <conditionalFormatting sqref="C54:C56">
    <cfRule type="expression" dxfId="79" priority="1">
      <formula>ROUND(C54,6)&lt;&gt;0</formula>
    </cfRule>
  </conditionalFormatting>
  <pageMargins left="0.7" right="0.7" top="0.75" bottom="0.75" header="0.3" footer="0.3"/>
  <pageSetup scale="6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>IFERROR(K17/J17-1,0)</f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>IFERROR(K18/J18-1,0)</f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4">K22-J22</f>
        <v>55.926110000000051</v>
      </c>
      <c r="N22" s="66">
        <f t="shared" ref="N22:N29" si="5">IFERROR(K22/J22-1,0)</f>
        <v>0.12807294248804313</v>
      </c>
      <c r="P22" s="149">
        <f t="shared" ref="P22:P29" si="6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4"/>
        <v>39.192819999999926</v>
      </c>
      <c r="N23" s="66">
        <f t="shared" si="5"/>
        <v>0.11079815577738694</v>
      </c>
      <c r="P23" s="149">
        <f t="shared" si="6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4"/>
        <v>7.6493499999999699</v>
      </c>
      <c r="N24" s="66">
        <f t="shared" si="5"/>
        <v>4.0365943889525191E-2</v>
      </c>
      <c r="P24" s="149">
        <f t="shared" si="6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4"/>
        <v>0</v>
      </c>
      <c r="N25" s="66">
        <f t="shared" si="5"/>
        <v>0</v>
      </c>
      <c r="P25" s="149">
        <f t="shared" si="6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4"/>
        <v>30.35763</v>
      </c>
      <c r="N26" s="66">
        <f t="shared" si="5"/>
        <v>0.44649161240619972</v>
      </c>
      <c r="P26" s="149">
        <f t="shared" si="6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4"/>
        <v>0.82665000000000788</v>
      </c>
      <c r="N27" s="66">
        <f t="shared" si="5"/>
        <v>1.4408257492372512E-2</v>
      </c>
      <c r="P27" s="149">
        <f t="shared" si="6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4"/>
        <v>25.086240000000004</v>
      </c>
      <c r="N28" s="66">
        <f t="shared" si="5"/>
        <v>3.1377410881801131</v>
      </c>
      <c r="P28" s="149">
        <f t="shared" si="6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4"/>
        <v>4.6050600000000017</v>
      </c>
      <c r="N29" s="66">
        <f t="shared" si="5"/>
        <v>0.16701156553622543</v>
      </c>
      <c r="P29" s="149">
        <f t="shared" si="6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 t="shared" ref="M32:M35" si="7">K32-J32</f>
        <v>110.90047000000001</v>
      </c>
      <c r="N32" s="66">
        <f t="shared" ref="N32:N35" si="8"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 t="shared" si="7"/>
        <v>-1.4724999999999966</v>
      </c>
      <c r="N33" s="66">
        <f t="shared" si="8"/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 t="shared" si="7"/>
        <v>24.871000000000002</v>
      </c>
      <c r="N34" s="66">
        <f t="shared" si="8"/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 t="shared" si="7"/>
        <v>9.2162399999999991</v>
      </c>
      <c r="N35" s="66">
        <f t="shared" si="8"/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9">K39-J39</f>
        <v>0</v>
      </c>
      <c r="N39" s="66">
        <f t="shared" ref="N39:N46" si="10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9"/>
        <v>0</v>
      </c>
      <c r="N42" s="66">
        <f t="shared" si="10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9"/>
        <v>0</v>
      </c>
      <c r="N43" s="66">
        <f t="shared" si="10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9"/>
        <v>6.6584999999999965</v>
      </c>
      <c r="N44" s="66">
        <f t="shared" si="10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9"/>
        <v>0</v>
      </c>
      <c r="N45" s="66">
        <f t="shared" si="10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9"/>
        <v>5.7342700000000093</v>
      </c>
      <c r="N46" s="66">
        <f t="shared" si="10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 t="shared" ref="N49" si="11"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12">K53-J53</f>
        <v>96.800000000000011</v>
      </c>
      <c r="N53" s="66">
        <f t="shared" ref="N53:N59" si="13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12"/>
        <v>0</v>
      </c>
      <c r="N54" s="66">
        <f t="shared" si="13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12"/>
        <v>50.703312800560958</v>
      </c>
      <c r="N55" s="66">
        <f t="shared" si="13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12"/>
        <v>0</v>
      </c>
      <c r="N56" s="66">
        <f t="shared" si="13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12"/>
        <v>0</v>
      </c>
      <c r="N57" s="66">
        <f t="shared" si="13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12"/>
        <v>-116.25</v>
      </c>
      <c r="N58" s="66">
        <f t="shared" si="13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12"/>
        <v>0</v>
      </c>
      <c r="N59" s="66">
        <f t="shared" si="13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 t="shared" ref="N62" si="14"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15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15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15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15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15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15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 t="shared" ref="N72" si="16"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78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629" t="s">
        <v>1899</v>
      </c>
      <c r="D5" s="629"/>
      <c r="E5" s="629"/>
      <c r="F5" s="382"/>
      <c r="G5" s="629" t="s">
        <v>1900</v>
      </c>
      <c r="H5" s="629"/>
      <c r="I5" s="629"/>
      <c r="J5" s="382"/>
      <c r="K5" s="629" t="s">
        <v>134</v>
      </c>
      <c r="L5" s="629"/>
      <c r="M5" s="629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630" t="s">
        <v>1934</v>
      </c>
      <c r="D14" s="630"/>
      <c r="E14" s="630"/>
      <c r="F14" s="630"/>
      <c r="G14" s="630"/>
      <c r="H14" s="630"/>
      <c r="I14" s="630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630" t="s">
        <v>1934</v>
      </c>
      <c r="D23" s="630"/>
      <c r="E23" s="630"/>
      <c r="F23" s="630"/>
      <c r="G23" s="630"/>
      <c r="H23" s="630"/>
      <c r="I23" s="630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 t="shared" ref="N47" si="8"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7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57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 t="shared" ref="N26" si="45"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 t="shared" ref="F28:G28" si="46">+F26+F24</f>
        <v>997.87309999999991</v>
      </c>
      <c r="G28" s="62">
        <f t="shared" si="46"/>
        <v>1671.0211999999999</v>
      </c>
      <c r="I28" s="63">
        <f t="shared" ref="I28:K28" si="47">+I26+I24</f>
        <v>1524.41065</v>
      </c>
      <c r="J28" s="61">
        <f t="shared" si="47"/>
        <v>2552.5312300000001</v>
      </c>
      <c r="K28" s="62">
        <f t="shared" si="47"/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48">+P26+P19</f>
        <v>0</v>
      </c>
      <c r="Q28" s="61">
        <f t="shared" si="48"/>
        <v>0</v>
      </c>
      <c r="R28" s="61">
        <f t="shared" si="48"/>
        <v>0</v>
      </c>
      <c r="S28" s="61">
        <f t="shared" si="48"/>
        <v>0</v>
      </c>
      <c r="T28" s="61">
        <f t="shared" si="48"/>
        <v>0</v>
      </c>
      <c r="U28" s="61">
        <f t="shared" si="48"/>
        <v>0</v>
      </c>
      <c r="V28" s="61">
        <f t="shared" si="48"/>
        <v>0</v>
      </c>
      <c r="W28" s="61">
        <f t="shared" si="48"/>
        <v>0</v>
      </c>
      <c r="X28" s="61">
        <f t="shared" si="48"/>
        <v>0</v>
      </c>
      <c r="Y28" s="61">
        <f t="shared" si="48"/>
        <v>0</v>
      </c>
      <c r="Z28" s="61">
        <f t="shared" si="48"/>
        <v>0</v>
      </c>
      <c r="AA28" s="61">
        <f t="shared" si="48"/>
        <v>0</v>
      </c>
      <c r="AB28" s="61">
        <f t="shared" si="48"/>
        <v>0</v>
      </c>
      <c r="AC28" s="61">
        <f t="shared" si="48"/>
        <v>0</v>
      </c>
      <c r="AD28" s="61">
        <f t="shared" si="48"/>
        <v>0</v>
      </c>
      <c r="AE28" s="61">
        <f t="shared" si="48"/>
        <v>0</v>
      </c>
      <c r="AF28" s="61">
        <f t="shared" si="48"/>
        <v>0</v>
      </c>
      <c r="AG28" s="61">
        <f t="shared" si="48"/>
        <v>0</v>
      </c>
      <c r="AH28" s="61">
        <f t="shared" si="48"/>
        <v>0</v>
      </c>
      <c r="AI28" s="61">
        <f t="shared" si="48"/>
        <v>0</v>
      </c>
      <c r="AJ28" s="61">
        <f t="shared" si="48"/>
        <v>0.875</v>
      </c>
      <c r="AK28" s="61">
        <f t="shared" si="48"/>
        <v>1.65</v>
      </c>
      <c r="AL28" s="61">
        <f t="shared" si="48"/>
        <v>0</v>
      </c>
      <c r="AM28" s="61">
        <f t="shared" si="48"/>
        <v>0.875</v>
      </c>
      <c r="AN28" s="61">
        <f t="shared" si="48"/>
        <v>0</v>
      </c>
      <c r="AO28" s="61">
        <f t="shared" si="48"/>
        <v>0</v>
      </c>
      <c r="AP28" s="61">
        <f t="shared" si="48"/>
        <v>14.19</v>
      </c>
      <c r="AQ28" s="61">
        <f t="shared" si="48"/>
        <v>6.625</v>
      </c>
      <c r="AR28" s="61">
        <f t="shared" si="48"/>
        <v>0</v>
      </c>
      <c r="AS28" s="61">
        <f t="shared" si="48"/>
        <v>3.1</v>
      </c>
      <c r="AT28" s="62">
        <f t="shared" si="48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49">SUMIFS($P31:$AT31,$P$5:$AT$5,"&gt;"&amp;C$199,$P$5:$AT$5,"&lt;"&amp;C$200)</f>
        <v>101.37520000000001</v>
      </c>
      <c r="D31" s="23">
        <f t="shared" si="49"/>
        <v>281.24054000000001</v>
      </c>
      <c r="E31" s="23"/>
      <c r="F31" s="23">
        <f t="shared" ref="F31:G39" si="50">SUMIFS($P31:$AT31,$P$5:$AT$5,"&gt;"&amp;F$199,$P$5:$AT$5,"&lt;"&amp;F$200)</f>
        <v>136.29648</v>
      </c>
      <c r="G31" s="23">
        <f t="shared" si="50"/>
        <v>357.27472</v>
      </c>
      <c r="H31" s="23"/>
      <c r="I31" s="23">
        <f t="shared" ref="I31:J39" si="51">SUMIFS($P31:$AT31,$P$5:$AT$5,"&gt;"&amp;I$199,$P$5:$AT$5,"&lt;"&amp;I$200)</f>
        <v>202.41598000000002</v>
      </c>
      <c r="J31" s="23">
        <f t="shared" si="51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52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49"/>
        <v>183.36902999999998</v>
      </c>
      <c r="D32" s="23">
        <f t="shared" si="49"/>
        <v>316.18462</v>
      </c>
      <c r="E32" s="23"/>
      <c r="F32" s="23">
        <f t="shared" si="50"/>
        <v>147.26813000000001</v>
      </c>
      <c r="G32" s="23">
        <f t="shared" si="50"/>
        <v>267.75739999999996</v>
      </c>
      <c r="H32" s="23"/>
      <c r="I32" s="23">
        <f t="shared" si="51"/>
        <v>240.18097999999998</v>
      </c>
      <c r="J32" s="23">
        <f t="shared" si="51"/>
        <v>436.67388999999997</v>
      </c>
      <c r="K32" s="65">
        <f>+C130</f>
        <v>492.6</v>
      </c>
      <c r="L32" s="65"/>
      <c r="M32" s="23">
        <f t="shared" ref="M32:M39" si="53">K32-J32</f>
        <v>55.926110000000051</v>
      </c>
      <c r="N32" s="66">
        <f t="shared" si="52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49"/>
        <v>286.16129000000001</v>
      </c>
      <c r="D33" s="23">
        <f t="shared" si="49"/>
        <v>352.95844</v>
      </c>
      <c r="E33" s="23"/>
      <c r="F33" s="23">
        <f t="shared" si="50"/>
        <v>201.27983</v>
      </c>
      <c r="G33" s="23">
        <f t="shared" si="50"/>
        <v>202.05309</v>
      </c>
      <c r="H33" s="23"/>
      <c r="I33" s="23">
        <f t="shared" si="51"/>
        <v>353.12842999999998</v>
      </c>
      <c r="J33" s="23">
        <f t="shared" si="51"/>
        <v>353.7317000000001</v>
      </c>
      <c r="K33" s="65">
        <f>+C132</f>
        <v>392.92452000000003</v>
      </c>
      <c r="L33" s="65"/>
      <c r="M33" s="23">
        <f t="shared" si="53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49"/>
        <v>122.81254999999999</v>
      </c>
      <c r="D34" s="23">
        <f t="shared" si="49"/>
        <v>152.16972000000001</v>
      </c>
      <c r="E34" s="23"/>
      <c r="F34" s="23">
        <f t="shared" si="50"/>
        <v>73.949619999999996</v>
      </c>
      <c r="G34" s="23">
        <f t="shared" si="50"/>
        <v>111.27999</v>
      </c>
      <c r="H34" s="23"/>
      <c r="I34" s="23">
        <f t="shared" si="51"/>
        <v>121.30735</v>
      </c>
      <c r="J34" s="23">
        <f t="shared" si="51"/>
        <v>189.50009</v>
      </c>
      <c r="K34" s="65">
        <f>+C136</f>
        <v>197.14943999999997</v>
      </c>
      <c r="L34" s="65"/>
      <c r="M34" s="23">
        <f t="shared" si="53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49"/>
        <v>0</v>
      </c>
      <c r="D35" s="23">
        <f t="shared" si="49"/>
        <v>90.66704</v>
      </c>
      <c r="E35" s="23"/>
      <c r="F35" s="23">
        <f t="shared" si="50"/>
        <v>45.466120000000004</v>
      </c>
      <c r="G35" s="23">
        <f t="shared" si="50"/>
        <v>63.143019999999993</v>
      </c>
      <c r="H35" s="23"/>
      <c r="I35" s="23">
        <f t="shared" si="51"/>
        <v>45.466120000000004</v>
      </c>
      <c r="J35" s="23">
        <f t="shared" si="51"/>
        <v>108.34394</v>
      </c>
      <c r="K35" s="65">
        <f>+C131</f>
        <v>108.34394</v>
      </c>
      <c r="L35" s="65"/>
      <c r="M35" s="23">
        <f t="shared" si="53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49"/>
        <v>0</v>
      </c>
      <c r="D36" s="23">
        <f t="shared" si="49"/>
        <v>19.149630000000002</v>
      </c>
      <c r="E36" s="23"/>
      <c r="F36" s="23">
        <f t="shared" si="50"/>
        <v>3.09945</v>
      </c>
      <c r="G36" s="23">
        <f t="shared" si="50"/>
        <v>51.941310000000001</v>
      </c>
      <c r="H36" s="23"/>
      <c r="I36" s="23">
        <f t="shared" si="51"/>
        <v>3.09945</v>
      </c>
      <c r="J36" s="23">
        <f t="shared" si="51"/>
        <v>67.991489999999999</v>
      </c>
      <c r="K36" s="65">
        <f>+C133</f>
        <v>98.349119999999999</v>
      </c>
      <c r="L36" s="65"/>
      <c r="M36" s="23">
        <f t="shared" si="53"/>
        <v>30.35763</v>
      </c>
      <c r="N36" s="66">
        <f t="shared" si="52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49"/>
        <v>1.1133499999999998</v>
      </c>
      <c r="D37" s="23">
        <f t="shared" si="49"/>
        <v>29.564150000000001</v>
      </c>
      <c r="E37" s="23"/>
      <c r="F37" s="23">
        <f t="shared" si="50"/>
        <v>14.275850000000002</v>
      </c>
      <c r="G37" s="23">
        <f t="shared" si="50"/>
        <v>42.085049999999995</v>
      </c>
      <c r="H37" s="23"/>
      <c r="I37" s="23">
        <f t="shared" si="51"/>
        <v>15.389199999999999</v>
      </c>
      <c r="J37" s="23">
        <f t="shared" si="51"/>
        <v>57.373349999999995</v>
      </c>
      <c r="K37" s="65">
        <f>+C134</f>
        <v>58.2</v>
      </c>
      <c r="L37" s="65"/>
      <c r="M37" s="23">
        <f t="shared" si="53"/>
        <v>0.82665000000000788</v>
      </c>
      <c r="N37" s="66">
        <f t="shared" si="52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49"/>
        <v>0</v>
      </c>
      <c r="D38" s="23">
        <f t="shared" si="49"/>
        <v>0</v>
      </c>
      <c r="E38" s="23"/>
      <c r="F38" s="23">
        <f t="shared" si="50"/>
        <v>0</v>
      </c>
      <c r="G38" s="23">
        <f t="shared" si="50"/>
        <v>7.9949999999999992</v>
      </c>
      <c r="H38" s="23"/>
      <c r="I38" s="23">
        <f t="shared" si="51"/>
        <v>0</v>
      </c>
      <c r="J38" s="23">
        <f t="shared" si="51"/>
        <v>7.9949999999999992</v>
      </c>
      <c r="K38" s="65">
        <f>+C135</f>
        <v>33.081240000000001</v>
      </c>
      <c r="L38" s="65"/>
      <c r="M38" s="23">
        <f t="shared" si="53"/>
        <v>25.086240000000004</v>
      </c>
      <c r="N38" s="66">
        <f t="shared" si="52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49"/>
        <v>5.3740499999999995</v>
      </c>
      <c r="D39" s="23">
        <f t="shared" si="49"/>
        <v>19.23245</v>
      </c>
      <c r="E39" s="23"/>
      <c r="F39" s="23">
        <f t="shared" si="50"/>
        <v>9.0216600000000007</v>
      </c>
      <c r="G39" s="23">
        <f t="shared" si="50"/>
        <v>17.36251</v>
      </c>
      <c r="H39" s="23"/>
      <c r="I39" s="23">
        <f t="shared" si="51"/>
        <v>12.16686</v>
      </c>
      <c r="J39" s="23">
        <f t="shared" si="51"/>
        <v>27.573299999999996</v>
      </c>
      <c r="K39" s="65">
        <f>+C137</f>
        <v>32.178359999999998</v>
      </c>
      <c r="L39" s="65"/>
      <c r="M39" s="23">
        <f t="shared" si="53"/>
        <v>4.6050600000000017</v>
      </c>
      <c r="N39" s="66">
        <f t="shared" ref="N39" si="54"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52"/>
        <v>0.1956861817079365</v>
      </c>
      <c r="P40" s="59">
        <f t="shared" ref="P40:AT40" si="55">SUM(P31:P39)</f>
        <v>31.74682</v>
      </c>
      <c r="Q40" s="59">
        <f t="shared" si="55"/>
        <v>37.626089999999998</v>
      </c>
      <c r="R40" s="59">
        <f t="shared" si="55"/>
        <v>37.778649999999999</v>
      </c>
      <c r="S40" s="59">
        <f t="shared" si="55"/>
        <v>50.818180000000005</v>
      </c>
      <c r="T40" s="59">
        <f t="shared" si="55"/>
        <v>70.644099999999995</v>
      </c>
      <c r="U40" s="59">
        <f t="shared" si="55"/>
        <v>52.940650000000005</v>
      </c>
      <c r="V40" s="59">
        <f t="shared" si="55"/>
        <v>56.153749999999995</v>
      </c>
      <c r="W40" s="59">
        <f t="shared" si="55"/>
        <v>52.541019999999996</v>
      </c>
      <c r="X40" s="59">
        <f t="shared" si="55"/>
        <v>58.642799999999994</v>
      </c>
      <c r="Y40" s="59">
        <f t="shared" si="55"/>
        <v>62.41675</v>
      </c>
      <c r="Z40" s="59">
        <f t="shared" si="55"/>
        <v>95.206890000000001</v>
      </c>
      <c r="AA40" s="59">
        <f t="shared" si="55"/>
        <v>93.689769999999996</v>
      </c>
      <c r="AB40" s="59">
        <f t="shared" si="55"/>
        <v>86.697400000000016</v>
      </c>
      <c r="AC40" s="59">
        <f t="shared" si="55"/>
        <v>70.622489999999999</v>
      </c>
      <c r="AD40" s="59">
        <f t="shared" si="55"/>
        <v>79.527290000000008</v>
      </c>
      <c r="AE40" s="59">
        <f t="shared" si="55"/>
        <v>92.874989999999997</v>
      </c>
      <c r="AF40" s="59">
        <f t="shared" si="55"/>
        <v>96.682289999999995</v>
      </c>
      <c r="AG40" s="59">
        <f t="shared" si="55"/>
        <v>95.893410000000017</v>
      </c>
      <c r="AH40" s="59">
        <f t="shared" si="55"/>
        <v>108.35927</v>
      </c>
      <c r="AI40" s="59">
        <f t="shared" si="55"/>
        <v>103.32645000000001</v>
      </c>
      <c r="AJ40" s="59">
        <f t="shared" si="55"/>
        <v>120.57245999999999</v>
      </c>
      <c r="AK40" s="59">
        <f t="shared" si="55"/>
        <v>138.08331000000001</v>
      </c>
      <c r="AL40" s="59">
        <f t="shared" si="55"/>
        <v>122.83484</v>
      </c>
      <c r="AM40" s="59">
        <f t="shared" si="55"/>
        <v>145.69238999999999</v>
      </c>
      <c r="AN40" s="59">
        <f t="shared" si="55"/>
        <v>135.50082</v>
      </c>
      <c r="AO40" s="59">
        <f t="shared" si="55"/>
        <v>117.71538000000001</v>
      </c>
      <c r="AP40" s="59">
        <f t="shared" si="55"/>
        <v>169.54907000000003</v>
      </c>
      <c r="AQ40" s="59">
        <f t="shared" si="55"/>
        <v>171.55422000000002</v>
      </c>
      <c r="AR40" s="59">
        <f t="shared" si="55"/>
        <v>168.43431999999996</v>
      </c>
      <c r="AS40" s="59">
        <f t="shared" si="55"/>
        <v>177.74943999999994</v>
      </c>
      <c r="AT40" s="59">
        <f t="shared" si="55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56">SUMIFS($P42:$AT42,$P$5:$AT$5,"&gt;"&amp;C$199,$P$5:$AT$5,"&lt;"&amp;C$200)</f>
        <v>114.42268999999999</v>
      </c>
      <c r="D42" s="23">
        <f t="shared" si="56"/>
        <v>157.49471000000003</v>
      </c>
      <c r="E42" s="23"/>
      <c r="F42" s="23">
        <f t="shared" ref="F42:G45" si="57">SUMIFS($P42:$AT42,$P$5:$AT$5,"&gt;"&amp;F$199,$P$5:$AT$5,"&lt;"&amp;F$200)</f>
        <v>84.968590000000006</v>
      </c>
      <c r="G42" s="23">
        <f t="shared" si="57"/>
        <v>152.28157000000002</v>
      </c>
      <c r="H42" s="23"/>
      <c r="I42" s="23">
        <f t="shared" ref="I42:J45" si="58">SUMIFS($P42:$AT42,$P$5:$AT$5,"&gt;"&amp;I$199,$P$5:$AT$5,"&lt;"&amp;I$200)</f>
        <v>142.28344999999999</v>
      </c>
      <c r="J42" s="23">
        <f t="shared" si="58"/>
        <v>224.80769000000001</v>
      </c>
      <c r="K42" s="65">
        <f>+C141</f>
        <v>335.70816000000002</v>
      </c>
      <c r="L42" s="65"/>
      <c r="M42" s="23">
        <f t="shared" ref="M42:M45" si="59">K42-J42</f>
        <v>110.90047000000001</v>
      </c>
      <c r="N42" s="66">
        <f t="shared" ref="N42:N48" si="60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56"/>
        <v>60.915939999999999</v>
      </c>
      <c r="D43" s="23">
        <f t="shared" si="56"/>
        <v>117.05866</v>
      </c>
      <c r="E43" s="23"/>
      <c r="F43" s="23">
        <f t="shared" si="57"/>
        <v>56.811500000000009</v>
      </c>
      <c r="G43" s="23">
        <f t="shared" si="57"/>
        <v>97.04798000000001</v>
      </c>
      <c r="H43" s="23"/>
      <c r="I43" s="23">
        <f t="shared" si="58"/>
        <v>86.514889999999994</v>
      </c>
      <c r="J43" s="23">
        <f t="shared" si="58"/>
        <v>157.29514</v>
      </c>
      <c r="K43" s="65">
        <f>+C142</f>
        <v>155.82264000000001</v>
      </c>
      <c r="L43" s="65"/>
      <c r="M43" s="23">
        <f t="shared" si="59"/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56"/>
        <v>0</v>
      </c>
      <c r="D44" s="23">
        <f t="shared" si="56"/>
        <v>7.1412499999999994</v>
      </c>
      <c r="E44" s="23"/>
      <c r="F44" s="23">
        <f t="shared" si="57"/>
        <v>0</v>
      </c>
      <c r="G44" s="23">
        <f t="shared" si="57"/>
        <v>28.827750000000002</v>
      </c>
      <c r="H44" s="23"/>
      <c r="I44" s="23">
        <f t="shared" si="58"/>
        <v>0</v>
      </c>
      <c r="J44" s="23">
        <f t="shared" si="58"/>
        <v>35.969000000000001</v>
      </c>
      <c r="K44" s="65">
        <f>+C143</f>
        <v>60.84</v>
      </c>
      <c r="L44" s="65"/>
      <c r="M44" s="23">
        <f t="shared" si="59"/>
        <v>24.871000000000002</v>
      </c>
      <c r="N44" s="66">
        <f t="shared" ref="N44" si="61"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56"/>
        <v>0</v>
      </c>
      <c r="D45" s="23">
        <f t="shared" si="56"/>
        <v>0</v>
      </c>
      <c r="E45" s="23"/>
      <c r="F45" s="23">
        <f t="shared" si="57"/>
        <v>0</v>
      </c>
      <c r="G45" s="23">
        <f t="shared" si="57"/>
        <v>6.52752</v>
      </c>
      <c r="H45" s="23"/>
      <c r="I45" s="23">
        <f t="shared" si="58"/>
        <v>0</v>
      </c>
      <c r="J45" s="23">
        <f t="shared" si="58"/>
        <v>6.52752</v>
      </c>
      <c r="K45" s="65">
        <f>+C144</f>
        <v>15.743759999999998</v>
      </c>
      <c r="L45" s="65"/>
      <c r="M45" s="23">
        <f t="shared" si="59"/>
        <v>9.2162399999999991</v>
      </c>
      <c r="N45" s="66">
        <f t="shared" ref="N45" si="62"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 t="shared" ref="F46:G46" si="63">SUM(F42:F45)</f>
        <v>141.78009000000003</v>
      </c>
      <c r="G46" s="59">
        <f t="shared" si="63"/>
        <v>284.68482</v>
      </c>
      <c r="I46" s="59">
        <f t="shared" ref="I46:K46" si="64">SUM(I42:I45)</f>
        <v>228.79834</v>
      </c>
      <c r="J46" s="59">
        <f t="shared" si="64"/>
        <v>424.59935000000002</v>
      </c>
      <c r="K46" s="59">
        <f t="shared" si="64"/>
        <v>568.11455999999998</v>
      </c>
      <c r="L46" s="71"/>
      <c r="M46" s="59">
        <f>SUM(M42:M45)</f>
        <v>143.51521000000002</v>
      </c>
      <c r="N46" s="89">
        <f t="shared" si="60"/>
        <v>0.33800148304513411</v>
      </c>
      <c r="P46" s="59">
        <f t="shared" ref="P46:AT46" si="65">SUM(P42:P45)</f>
        <v>10.52585</v>
      </c>
      <c r="Q46" s="59">
        <f t="shared" si="65"/>
        <v>10.63571</v>
      </c>
      <c r="R46" s="59">
        <f t="shared" si="65"/>
        <v>11.751950000000001</v>
      </c>
      <c r="S46" s="59">
        <f t="shared" si="65"/>
        <v>11.98489</v>
      </c>
      <c r="T46" s="59">
        <f t="shared" si="65"/>
        <v>12.81546</v>
      </c>
      <c r="U46" s="59">
        <f t="shared" si="65"/>
        <v>14.24615</v>
      </c>
      <c r="V46" s="59">
        <f t="shared" si="65"/>
        <v>16.36037</v>
      </c>
      <c r="W46" s="59">
        <f t="shared" si="65"/>
        <v>16.36683</v>
      </c>
      <c r="X46" s="59">
        <f t="shared" si="65"/>
        <v>16.550719999999998</v>
      </c>
      <c r="Y46" s="59">
        <f t="shared" si="65"/>
        <v>17.8567</v>
      </c>
      <c r="Z46" s="59">
        <f t="shared" si="65"/>
        <v>17.59788</v>
      </c>
      <c r="AA46" s="59">
        <f t="shared" si="65"/>
        <v>18.64612</v>
      </c>
      <c r="AB46" s="59">
        <f t="shared" si="65"/>
        <v>18.594989999999999</v>
      </c>
      <c r="AC46" s="59">
        <f t="shared" si="65"/>
        <v>20.10492</v>
      </c>
      <c r="AD46" s="59">
        <f t="shared" si="65"/>
        <v>19.462519999999998</v>
      </c>
      <c r="AE46" s="59">
        <f t="shared" si="65"/>
        <v>19.645500000000002</v>
      </c>
      <c r="AF46" s="59">
        <f t="shared" si="65"/>
        <v>20.642859999999999</v>
      </c>
      <c r="AG46" s="59">
        <f t="shared" si="65"/>
        <v>21.20917</v>
      </c>
      <c r="AH46" s="59">
        <f t="shared" si="65"/>
        <v>22.120130000000003</v>
      </c>
      <c r="AI46" s="59">
        <f t="shared" si="65"/>
        <v>24.11375</v>
      </c>
      <c r="AJ46" s="59">
        <f t="shared" si="65"/>
        <v>25.266280000000002</v>
      </c>
      <c r="AK46" s="59">
        <f t="shared" si="65"/>
        <v>25.829260000000001</v>
      </c>
      <c r="AL46" s="59">
        <f t="shared" si="65"/>
        <v>30.724890000000002</v>
      </c>
      <c r="AM46" s="59">
        <f t="shared" si="65"/>
        <v>33.980350000000001</v>
      </c>
      <c r="AN46" s="59">
        <f t="shared" si="65"/>
        <v>34.801209999999998</v>
      </c>
      <c r="AO46" s="59">
        <f t="shared" si="65"/>
        <v>36.180370000000003</v>
      </c>
      <c r="AP46" s="59">
        <f t="shared" si="65"/>
        <v>37.779439999999994</v>
      </c>
      <c r="AQ46" s="59">
        <f t="shared" si="65"/>
        <v>42.557700000000004</v>
      </c>
      <c r="AR46" s="59">
        <f t="shared" si="65"/>
        <v>41.873910000000002</v>
      </c>
      <c r="AS46" s="59">
        <f t="shared" si="65"/>
        <v>44.14931</v>
      </c>
      <c r="AT46" s="59">
        <f t="shared" si="65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66">SUMIFS($P48:$AT48,$P$5:$AT$5,"&gt;"&amp;C$199,$P$5:$AT$5,"&lt;"&amp;C$200)</f>
        <v>18.234249999999999</v>
      </c>
      <c r="D48" s="23">
        <f t="shared" si="66"/>
        <v>27.040950000000002</v>
      </c>
      <c r="E48" s="23"/>
      <c r="F48" s="23">
        <f t="shared" ref="F48:G65" si="67">SUMIFS($P48:$AT48,$P$5:$AT$5,"&gt;"&amp;F$199,$P$5:$AT$5,"&lt;"&amp;F$200)</f>
        <v>12.014000000000001</v>
      </c>
      <c r="G48" s="23">
        <f t="shared" si="67"/>
        <v>57.55</v>
      </c>
      <c r="H48" s="23"/>
      <c r="I48" s="23">
        <f t="shared" ref="I48:J65" si="68">SUMIFS($P48:$AT48,$P$5:$AT$5,"&gt;"&amp;I$199,$P$5:$AT$5,"&lt;"&amp;I$200)</f>
        <v>21.74858</v>
      </c>
      <c r="J48" s="23">
        <f t="shared" si="68"/>
        <v>72.576949999999997</v>
      </c>
      <c r="K48" s="65">
        <f t="shared" ref="K48:K53" si="69">+C148</f>
        <v>72.576949999999997</v>
      </c>
      <c r="L48" s="65"/>
      <c r="M48" s="23">
        <f t="shared" ref="M48:M65" si="70">K48-J48</f>
        <v>0</v>
      </c>
      <c r="N48" s="66">
        <f t="shared" si="60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66"/>
        <v>24.819999999999997</v>
      </c>
      <c r="D49" s="23">
        <f t="shared" si="66"/>
        <v>27.153739999999999</v>
      </c>
      <c r="E49" s="23"/>
      <c r="F49" s="23">
        <f t="shared" si="67"/>
        <v>17.089500000000001</v>
      </c>
      <c r="G49" s="23">
        <f t="shared" si="67"/>
        <v>20.62969</v>
      </c>
      <c r="H49" s="23"/>
      <c r="I49" s="23">
        <f t="shared" si="68"/>
        <v>26.209499999999998</v>
      </c>
      <c r="J49" s="23">
        <f t="shared" si="68"/>
        <v>30.693929999999998</v>
      </c>
      <c r="K49" s="65">
        <f t="shared" si="69"/>
        <v>30.693929999999998</v>
      </c>
      <c r="L49" s="65"/>
      <c r="M49" s="23">
        <f t="shared" si="70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66"/>
        <v>0</v>
      </c>
      <c r="D50" s="23">
        <f t="shared" si="66"/>
        <v>29.761219999999998</v>
      </c>
      <c r="E50" s="23"/>
      <c r="F50" s="23">
        <f t="shared" si="67"/>
        <v>22.295579999999998</v>
      </c>
      <c r="G50" s="23">
        <f t="shared" si="67"/>
        <v>20.685420000000001</v>
      </c>
      <c r="H50" s="23"/>
      <c r="I50" s="23">
        <f t="shared" si="68"/>
        <v>22.295579999999998</v>
      </c>
      <c r="J50" s="23">
        <f t="shared" si="68"/>
        <v>28.151060000000001</v>
      </c>
      <c r="K50" s="65">
        <f t="shared" si="69"/>
        <v>28.151060000000001</v>
      </c>
      <c r="L50" s="65"/>
      <c r="M50" s="23">
        <f t="shared" si="70"/>
        <v>0</v>
      </c>
      <c r="N50" s="66">
        <f t="shared" ref="N50" si="72">IFERROR(K50/J50-1,0)</f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66"/>
        <v>8.670989999999998</v>
      </c>
      <c r="D51" s="23">
        <f t="shared" si="66"/>
        <v>13.35153</v>
      </c>
      <c r="E51" s="23"/>
      <c r="F51" s="23">
        <f t="shared" si="67"/>
        <v>6.8044500000000001</v>
      </c>
      <c r="G51" s="23">
        <f t="shared" si="67"/>
        <v>9.02684</v>
      </c>
      <c r="H51" s="23"/>
      <c r="I51" s="23">
        <f t="shared" si="68"/>
        <v>10.54373</v>
      </c>
      <c r="J51" s="23">
        <f t="shared" si="68"/>
        <v>15.573919999999999</v>
      </c>
      <c r="K51" s="65">
        <f t="shared" si="69"/>
        <v>15.573919999999999</v>
      </c>
      <c r="L51" s="65"/>
      <c r="M51" s="23">
        <f t="shared" si="70"/>
        <v>0</v>
      </c>
      <c r="N51" s="66">
        <f t="shared" ref="N51" si="73">IFERROR(K51/J51-1,0)</f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66"/>
        <v>5.4433199999999999</v>
      </c>
      <c r="D52" s="23">
        <f t="shared" si="66"/>
        <v>11.22296</v>
      </c>
      <c r="E52" s="23"/>
      <c r="F52" s="23">
        <f t="shared" si="67"/>
        <v>6.1909999999999989</v>
      </c>
      <c r="G52" s="23">
        <f t="shared" si="67"/>
        <v>6.5788099999999998</v>
      </c>
      <c r="H52" s="23"/>
      <c r="I52" s="23">
        <f t="shared" si="68"/>
        <v>9.5326799999999974</v>
      </c>
      <c r="J52" s="23">
        <f t="shared" si="68"/>
        <v>11.61077</v>
      </c>
      <c r="K52" s="65">
        <f t="shared" si="69"/>
        <v>11.61077</v>
      </c>
      <c r="L52" s="65"/>
      <c r="M52" s="23">
        <f t="shared" si="70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66"/>
        <v>0</v>
      </c>
      <c r="D53" s="23">
        <f t="shared" si="66"/>
        <v>11.4983</v>
      </c>
      <c r="E53" s="23"/>
      <c r="F53" s="23">
        <f t="shared" si="67"/>
        <v>0</v>
      </c>
      <c r="G53" s="23">
        <f t="shared" si="67"/>
        <v>11.84548</v>
      </c>
      <c r="H53" s="23"/>
      <c r="I53" s="23">
        <f t="shared" si="68"/>
        <v>0</v>
      </c>
      <c r="J53" s="23">
        <f t="shared" si="68"/>
        <v>23.343780000000002</v>
      </c>
      <c r="K53" s="65">
        <f t="shared" si="69"/>
        <v>23.343780000000002</v>
      </c>
      <c r="L53" s="65"/>
      <c r="M53" s="23">
        <f t="shared" si="70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66"/>
        <v>0</v>
      </c>
      <c r="D54" s="23">
        <f t="shared" si="66"/>
        <v>1.5874999999999999</v>
      </c>
      <c r="E54" s="23"/>
      <c r="F54" s="23">
        <f t="shared" si="67"/>
        <v>0</v>
      </c>
      <c r="G54" s="23">
        <f t="shared" si="67"/>
        <v>30.515499999999999</v>
      </c>
      <c r="H54" s="23"/>
      <c r="I54" s="23">
        <f t="shared" si="68"/>
        <v>0</v>
      </c>
      <c r="J54" s="23">
        <f t="shared" si="68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>IFERROR(K54/J54-1,0)</f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66"/>
        <v>14.902050000000003</v>
      </c>
      <c r="D55" s="23">
        <f t="shared" si="66"/>
        <v>31.604100000000003</v>
      </c>
      <c r="E55" s="23"/>
      <c r="F55" s="23">
        <f t="shared" si="67"/>
        <v>28.299939999999999</v>
      </c>
      <c r="G55" s="23">
        <f t="shared" si="67"/>
        <v>5.5646000000000004</v>
      </c>
      <c r="H55" s="23"/>
      <c r="I55" s="23">
        <f t="shared" si="68"/>
        <v>35.346060000000008</v>
      </c>
      <c r="J55" s="23">
        <f t="shared" si="68"/>
        <v>8.86876</v>
      </c>
      <c r="K55" s="65">
        <f>+C155</f>
        <v>8.86876</v>
      </c>
      <c r="L55" s="65"/>
      <c r="M55" s="23">
        <f t="shared" si="70"/>
        <v>0</v>
      </c>
      <c r="N55" s="66">
        <f t="shared" ref="N55" si="76">IFERROR(K55/J55-1,0)</f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66"/>
        <v>6.673</v>
      </c>
      <c r="D56" s="23">
        <f t="shared" si="66"/>
        <v>6.673</v>
      </c>
      <c r="E56" s="23"/>
      <c r="F56" s="23">
        <f t="shared" si="67"/>
        <v>0</v>
      </c>
      <c r="G56" s="23">
        <f t="shared" si="67"/>
        <v>0</v>
      </c>
      <c r="H56" s="23"/>
      <c r="I56" s="23">
        <f t="shared" si="68"/>
        <v>6.673</v>
      </c>
      <c r="J56" s="23">
        <f t="shared" si="68"/>
        <v>6.673</v>
      </c>
      <c r="K56" s="65">
        <f t="shared" ref="K56:K61" si="77">+C156</f>
        <v>6.673</v>
      </c>
      <c r="L56" s="65"/>
      <c r="M56" s="23">
        <f t="shared" si="70"/>
        <v>0</v>
      </c>
      <c r="N56" s="66">
        <f t="shared" ref="N56" si="78">IFERROR(K56/J56-1,0)</f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66"/>
        <v>7.2617299999999982</v>
      </c>
      <c r="D57" s="23">
        <f t="shared" si="66"/>
        <v>4.91967</v>
      </c>
      <c r="E57" s="23"/>
      <c r="F57" s="23">
        <f t="shared" si="67"/>
        <v>2.9246699999999999</v>
      </c>
      <c r="G57" s="23">
        <f t="shared" si="67"/>
        <v>2.9085700000000001</v>
      </c>
      <c r="H57" s="23"/>
      <c r="I57" s="23">
        <f t="shared" si="68"/>
        <v>5.7418700000000005</v>
      </c>
      <c r="J57" s="23">
        <f t="shared" si="68"/>
        <v>4.9035700000000002</v>
      </c>
      <c r="K57" s="65">
        <f t="shared" si="77"/>
        <v>4.9035700000000002</v>
      </c>
      <c r="L57" s="65"/>
      <c r="M57" s="23">
        <f t="shared" si="70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66"/>
        <v>7.4969999999999999</v>
      </c>
      <c r="D58" s="23">
        <f t="shared" si="66"/>
        <v>9.984</v>
      </c>
      <c r="E58" s="23"/>
      <c r="F58" s="23">
        <f t="shared" si="67"/>
        <v>5.8940000000000001</v>
      </c>
      <c r="G58" s="23">
        <f t="shared" si="67"/>
        <v>1.1719999999999997</v>
      </c>
      <c r="H58" s="23"/>
      <c r="I58" s="23">
        <f t="shared" si="68"/>
        <v>4.673</v>
      </c>
      <c r="J58" s="23">
        <f t="shared" si="68"/>
        <v>5.2619999999999996</v>
      </c>
      <c r="K58" s="65">
        <f t="shared" si="77"/>
        <v>5.2619999999999996</v>
      </c>
      <c r="L58" s="65"/>
      <c r="M58" s="23">
        <f t="shared" si="70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66"/>
        <v>2.0899399999999999</v>
      </c>
      <c r="D59" s="23">
        <f t="shared" si="66"/>
        <v>2.6198199999999998</v>
      </c>
      <c r="E59" s="23"/>
      <c r="F59" s="23">
        <f t="shared" si="67"/>
        <v>1.44049</v>
      </c>
      <c r="G59" s="23">
        <f t="shared" si="67"/>
        <v>3.7097100000000003</v>
      </c>
      <c r="H59" s="23"/>
      <c r="I59" s="23">
        <f t="shared" si="68"/>
        <v>2.33371</v>
      </c>
      <c r="J59" s="23">
        <f t="shared" si="68"/>
        <v>4.8890399999999996</v>
      </c>
      <c r="K59" s="65">
        <f t="shared" si="77"/>
        <v>4.8890399999999996</v>
      </c>
      <c r="L59" s="65"/>
      <c r="M59" s="23">
        <f t="shared" si="70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66"/>
        <v>0</v>
      </c>
      <c r="D60" s="23">
        <f t="shared" si="66"/>
        <v>1.7559100000000001</v>
      </c>
      <c r="E60" s="23"/>
      <c r="F60" s="23">
        <f t="shared" si="67"/>
        <v>0.53894999999999993</v>
      </c>
      <c r="G60" s="23">
        <f t="shared" si="67"/>
        <v>1.5394899999999998</v>
      </c>
      <c r="H60" s="23"/>
      <c r="I60" s="23">
        <f t="shared" si="68"/>
        <v>0.53894999999999993</v>
      </c>
      <c r="J60" s="23">
        <f t="shared" si="68"/>
        <v>2.7564499999999996</v>
      </c>
      <c r="K60" s="65">
        <f t="shared" si="77"/>
        <v>8.4907199999999996</v>
      </c>
      <c r="L60" s="65"/>
      <c r="M60" s="23">
        <f t="shared" si="70"/>
        <v>5.7342700000000004</v>
      </c>
      <c r="N60" s="66">
        <f t="shared" ref="N60" si="82">IFERROR(K60/J60-1,0)</f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66"/>
        <v>1.0598299999999998</v>
      </c>
      <c r="D61" s="23">
        <f t="shared" si="66"/>
        <v>3.2913300000000008</v>
      </c>
      <c r="E61" s="23"/>
      <c r="F61" s="23">
        <f t="shared" si="67"/>
        <v>2.0263300000000002</v>
      </c>
      <c r="G61" s="23">
        <f t="shared" si="67"/>
        <v>1.9429999999999996</v>
      </c>
      <c r="H61" s="23"/>
      <c r="I61" s="23">
        <f t="shared" si="68"/>
        <v>2.4513300000000005</v>
      </c>
      <c r="J61" s="23">
        <f t="shared" si="68"/>
        <v>3.2080000000000002</v>
      </c>
      <c r="K61" s="65">
        <f t="shared" si="77"/>
        <v>3.2080000000000002</v>
      </c>
      <c r="L61" s="65"/>
      <c r="M61" s="23">
        <f t="shared" si="70"/>
        <v>0</v>
      </c>
      <c r="N61" s="66">
        <f t="shared" ref="N61" si="83">IFERROR(K61/J61-1,0)</f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66"/>
        <v>7.9639999999999989E-2</v>
      </c>
      <c r="D62" s="23">
        <f t="shared" si="66"/>
        <v>1.4224800000000002</v>
      </c>
      <c r="E62" s="23"/>
      <c r="F62" s="23">
        <f t="shared" si="67"/>
        <v>1.07704</v>
      </c>
      <c r="G62" s="23">
        <f t="shared" si="67"/>
        <v>0.81103000000000003</v>
      </c>
      <c r="H62" s="23"/>
      <c r="I62" s="23">
        <f t="shared" si="68"/>
        <v>1.1566799999999999</v>
      </c>
      <c r="J62" s="23">
        <f t="shared" si="68"/>
        <v>1.1564699999999999</v>
      </c>
      <c r="K62" s="65">
        <f>+C163</f>
        <v>1.1564699999999999</v>
      </c>
      <c r="L62" s="65"/>
      <c r="M62" s="23">
        <f t="shared" si="70"/>
        <v>0</v>
      </c>
      <c r="N62" s="66">
        <f t="shared" ref="N62" si="84">IFERROR(K62/J62-1,0)</f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66"/>
        <v>1.3459299999999998</v>
      </c>
      <c r="D63" s="23">
        <f t="shared" si="66"/>
        <v>2.4943299999999997</v>
      </c>
      <c r="E63" s="23"/>
      <c r="F63" s="23">
        <f t="shared" si="67"/>
        <v>2.3808799999999999</v>
      </c>
      <c r="G63" s="23">
        <f t="shared" si="67"/>
        <v>3.2046100000000002</v>
      </c>
      <c r="H63" s="23"/>
      <c r="I63" s="23">
        <f t="shared" si="68"/>
        <v>2.3828199999999997</v>
      </c>
      <c r="J63" s="23">
        <f t="shared" si="68"/>
        <v>3.31806</v>
      </c>
      <c r="K63" s="65">
        <f>+C162</f>
        <v>3.31806</v>
      </c>
      <c r="L63" s="65"/>
      <c r="M63" s="23">
        <f t="shared" si="70"/>
        <v>0</v>
      </c>
      <c r="N63" s="66">
        <f t="shared" ref="N63" si="85">IFERROR(K63/J63-1,0)</f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66"/>
        <v>-2.7359999999999999E-2</v>
      </c>
      <c r="D64" s="23">
        <f t="shared" si="66"/>
        <v>-0.21722</v>
      </c>
      <c r="E64" s="23"/>
      <c r="F64" s="23">
        <f t="shared" si="67"/>
        <v>-0.11732999999999999</v>
      </c>
      <c r="G64" s="23">
        <f t="shared" si="67"/>
        <v>-0.15586999999999998</v>
      </c>
      <c r="H64" s="23"/>
      <c r="I64" s="23">
        <f t="shared" si="68"/>
        <v>-0.14468999999999999</v>
      </c>
      <c r="J64" s="23">
        <f t="shared" si="68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>IFERROR(K64/J64-1,0)</f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66"/>
        <v>15.899579999999998</v>
      </c>
      <c r="D65" s="23">
        <f t="shared" si="66"/>
        <v>19.378</v>
      </c>
      <c r="E65" s="23"/>
      <c r="F65" s="23">
        <f t="shared" si="67"/>
        <v>12.74039</v>
      </c>
      <c r="G65" s="23">
        <f t="shared" si="67"/>
        <v>11.77191</v>
      </c>
      <c r="H65" s="23"/>
      <c r="I65" s="23">
        <f t="shared" si="68"/>
        <v>15.96214</v>
      </c>
      <c r="J65" s="23">
        <f t="shared" si="68"/>
        <v>18.409520000000001</v>
      </c>
      <c r="K65" s="65">
        <f>+C165</f>
        <v>18.409520000000001</v>
      </c>
      <c r="L65" s="65"/>
      <c r="M65" s="23">
        <f t="shared" si="70"/>
        <v>0</v>
      </c>
      <c r="N65" s="66">
        <f t="shared" ref="N65" si="86">IFERROR(K65/J65-1,0)</f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ref="N66:N68" si="87">IFERROR(K66/J66-1,0)</f>
        <v>4.5354471185524048E-2</v>
      </c>
      <c r="P66" s="59">
        <f t="shared" ref="P66:AT66" si="88">SUM(P48:P65)</f>
        <v>6.3498899999999994</v>
      </c>
      <c r="Q66" s="59">
        <f t="shared" si="88"/>
        <v>9.3383300000000009</v>
      </c>
      <c r="R66" s="59">
        <f t="shared" si="88"/>
        <v>10.572559999999999</v>
      </c>
      <c r="S66" s="59">
        <f t="shared" si="88"/>
        <v>17.246530000000003</v>
      </c>
      <c r="T66" s="59">
        <f t="shared" si="88"/>
        <v>5.7650100000000002</v>
      </c>
      <c r="U66" s="59">
        <f t="shared" si="88"/>
        <v>12.701700000000001</v>
      </c>
      <c r="V66" s="59">
        <f t="shared" si="88"/>
        <v>6.1308299999999996</v>
      </c>
      <c r="W66" s="59">
        <f t="shared" si="88"/>
        <v>6.3450800000000012</v>
      </c>
      <c r="X66" s="59">
        <f t="shared" si="88"/>
        <v>12.34346</v>
      </c>
      <c r="Y66" s="59">
        <f t="shared" si="88"/>
        <v>6.8983999999999996</v>
      </c>
      <c r="Z66" s="59">
        <f t="shared" si="88"/>
        <v>7.9963599999999984</v>
      </c>
      <c r="AA66" s="59">
        <f t="shared" si="88"/>
        <v>12.261750000000001</v>
      </c>
      <c r="AB66" s="59">
        <f t="shared" si="88"/>
        <v>12.998240000000001</v>
      </c>
      <c r="AC66" s="59">
        <f t="shared" si="88"/>
        <v>29.570220000000003</v>
      </c>
      <c r="AD66" s="59">
        <f t="shared" si="88"/>
        <v>15.127749999999995</v>
      </c>
      <c r="AE66" s="59">
        <f t="shared" si="88"/>
        <v>26.672890000000002</v>
      </c>
      <c r="AF66" s="59">
        <f t="shared" si="88"/>
        <v>16.811419999999995</v>
      </c>
      <c r="AG66" s="59">
        <f t="shared" si="88"/>
        <v>11.19876</v>
      </c>
      <c r="AH66" s="59">
        <f t="shared" si="88"/>
        <v>9.2206100000000024</v>
      </c>
      <c r="AI66" s="59">
        <f t="shared" si="88"/>
        <v>14.376060000000001</v>
      </c>
      <c r="AJ66" s="59">
        <f t="shared" si="88"/>
        <v>15.38611</v>
      </c>
      <c r="AK66" s="59">
        <f t="shared" si="88"/>
        <v>12.742199999999999</v>
      </c>
      <c r="AL66" s="59">
        <f t="shared" si="88"/>
        <v>14.61088</v>
      </c>
      <c r="AM66" s="59">
        <f t="shared" si="88"/>
        <v>26.826480000000007</v>
      </c>
      <c r="AN66" s="59">
        <f t="shared" si="88"/>
        <v>10.238199999999999</v>
      </c>
      <c r="AO66" s="59">
        <f t="shared" si="88"/>
        <v>17.660680000000003</v>
      </c>
      <c r="AP66" s="59">
        <f t="shared" si="88"/>
        <v>37.953969999999998</v>
      </c>
      <c r="AQ66" s="59">
        <f t="shared" si="88"/>
        <v>30.732039999999998</v>
      </c>
      <c r="AR66" s="59">
        <f t="shared" si="88"/>
        <v>36.065340000000006</v>
      </c>
      <c r="AS66" s="59">
        <f t="shared" si="88"/>
        <v>16.763590000000001</v>
      </c>
      <c r="AT66" s="59">
        <f t="shared" si="88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 t="shared" si="87"/>
        <v>-0.50948185371711641</v>
      </c>
      <c r="P68" s="110">
        <f t="shared" ref="P68:AT68" si="89">+P24-P40-P46-P66</f>
        <v>32.29054</v>
      </c>
      <c r="Q68" s="105">
        <f t="shared" si="89"/>
        <v>23.655570000000012</v>
      </c>
      <c r="R68" s="105">
        <f t="shared" si="89"/>
        <v>18.009040000000002</v>
      </c>
      <c r="S68" s="105">
        <f t="shared" si="89"/>
        <v>3.3036999999999814</v>
      </c>
      <c r="T68" s="105">
        <f t="shared" si="89"/>
        <v>0.97158000000002254</v>
      </c>
      <c r="U68" s="105">
        <f t="shared" si="89"/>
        <v>10.027299999999999</v>
      </c>
      <c r="V68" s="105">
        <f t="shared" si="89"/>
        <v>26.037100000000013</v>
      </c>
      <c r="W68" s="105">
        <f t="shared" si="89"/>
        <v>28.863819999999997</v>
      </c>
      <c r="X68" s="105">
        <f t="shared" si="89"/>
        <v>10.835770000000004</v>
      </c>
      <c r="Y68" s="105">
        <f t="shared" si="89"/>
        <v>11.887049999999981</v>
      </c>
      <c r="Z68" s="105">
        <f t="shared" si="89"/>
        <v>-11.563829999999996</v>
      </c>
      <c r="AA68" s="105">
        <f t="shared" si="89"/>
        <v>-8.8457899999999778</v>
      </c>
      <c r="AB68" s="105">
        <f t="shared" si="89"/>
        <v>20.371919999999967</v>
      </c>
      <c r="AC68" s="105">
        <f t="shared" si="89"/>
        <v>7.5049699999999966</v>
      </c>
      <c r="AD68" s="105">
        <f t="shared" si="89"/>
        <v>20.557870000000005</v>
      </c>
      <c r="AE68" s="105">
        <f t="shared" si="89"/>
        <v>-3.217779999999987</v>
      </c>
      <c r="AF68" s="105">
        <f t="shared" si="89"/>
        <v>17.914550000000009</v>
      </c>
      <c r="AG68" s="105">
        <f t="shared" si="89"/>
        <v>25.023679999999977</v>
      </c>
      <c r="AH68" s="105">
        <f t="shared" si="89"/>
        <v>15.680769999999987</v>
      </c>
      <c r="AI68" s="105">
        <f t="shared" si="89"/>
        <v>18.057059999999971</v>
      </c>
      <c r="AJ68" s="105">
        <f t="shared" si="89"/>
        <v>2.7743600000000104</v>
      </c>
      <c r="AK68" s="105">
        <f t="shared" si="89"/>
        <v>2.5894700000000075</v>
      </c>
      <c r="AL68" s="105">
        <f t="shared" si="89"/>
        <v>13.519970000000038</v>
      </c>
      <c r="AM68" s="105">
        <f t="shared" si="89"/>
        <v>-9.7965400000000109</v>
      </c>
      <c r="AN68" s="105">
        <f t="shared" si="89"/>
        <v>31.645769999999949</v>
      </c>
      <c r="AO68" s="105">
        <f t="shared" si="89"/>
        <v>70.339949999999973</v>
      </c>
      <c r="AP68" s="105">
        <f t="shared" si="89"/>
        <v>-13.787130000000019</v>
      </c>
      <c r="AQ68" s="105">
        <f t="shared" si="89"/>
        <v>-4.5244900000000214</v>
      </c>
      <c r="AR68" s="105">
        <f t="shared" si="89"/>
        <v>-0.17472000000000065</v>
      </c>
      <c r="AS68" s="105">
        <f t="shared" si="89"/>
        <v>8.8369600000000688</v>
      </c>
      <c r="AT68" s="106">
        <f t="shared" si="89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90">P68/P$24</f>
        <v>0.39907678731874074</v>
      </c>
      <c r="Q69" s="108">
        <f t="shared" si="90"/>
        <v>0.29112505338087064</v>
      </c>
      <c r="R69" s="108">
        <f t="shared" si="90"/>
        <v>0.23055348588312713</v>
      </c>
      <c r="S69" s="108">
        <f t="shared" si="90"/>
        <v>3.9634903477126664E-2</v>
      </c>
      <c r="T69" s="108">
        <f t="shared" si="90"/>
        <v>1.0771856670157455E-2</v>
      </c>
      <c r="U69" s="108">
        <f t="shared" si="90"/>
        <v>0.11151877645530595</v>
      </c>
      <c r="V69" s="108">
        <f t="shared" si="90"/>
        <v>0.24872554559258261</v>
      </c>
      <c r="W69" s="108">
        <f t="shared" si="90"/>
        <v>0.27722551846845006</v>
      </c>
      <c r="X69" s="108">
        <f t="shared" si="90"/>
        <v>0.11015011779176656</v>
      </c>
      <c r="Y69" s="108">
        <f t="shared" si="90"/>
        <v>0.11999981828992633</v>
      </c>
      <c r="Z69" s="108">
        <f t="shared" si="90"/>
        <v>-0.10585972007729956</v>
      </c>
      <c r="AA69" s="108">
        <f t="shared" si="90"/>
        <v>-7.6420290474838865E-2</v>
      </c>
      <c r="AB69" s="108">
        <f t="shared" si="90"/>
        <v>0.14691724622113159</v>
      </c>
      <c r="AC69" s="108">
        <f t="shared" si="90"/>
        <v>5.8723140217804622E-2</v>
      </c>
      <c r="AD69" s="108">
        <f t="shared" si="90"/>
        <v>0.15264751707122823</v>
      </c>
      <c r="AE69" s="108">
        <f t="shared" si="90"/>
        <v>-2.3664392729283685E-2</v>
      </c>
      <c r="AF69" s="108">
        <f t="shared" si="90"/>
        <v>0.11781925710247981</v>
      </c>
      <c r="AG69" s="108">
        <f t="shared" si="90"/>
        <v>0.16320676168834009</v>
      </c>
      <c r="AH69" s="108">
        <f t="shared" si="90"/>
        <v>0.10091833751896462</v>
      </c>
      <c r="AI69" s="108">
        <f t="shared" si="90"/>
        <v>0.11294605003511514</v>
      </c>
      <c r="AJ69" s="108">
        <f t="shared" si="90"/>
        <v>1.6916910758289692E-2</v>
      </c>
      <c r="AK69" s="108">
        <f t="shared" si="90"/>
        <v>1.4446600906115629E-2</v>
      </c>
      <c r="AL69" s="108">
        <f t="shared" si="90"/>
        <v>7.4412058126513955E-2</v>
      </c>
      <c r="AM69" s="108">
        <f t="shared" si="90"/>
        <v>-4.9803795250781595E-2</v>
      </c>
      <c r="AN69" s="108">
        <f t="shared" si="90"/>
        <v>0.14914164930768267</v>
      </c>
      <c r="AO69" s="108">
        <f t="shared" si="90"/>
        <v>0.29078545945995543</v>
      </c>
      <c r="AP69" s="108">
        <f t="shared" si="90"/>
        <v>-5.9556833430995562E-2</v>
      </c>
      <c r="AQ69" s="108">
        <f t="shared" si="90"/>
        <v>-1.8826980602112769E-2</v>
      </c>
      <c r="AR69" s="108">
        <f t="shared" si="90"/>
        <v>-7.0967025231840307E-4</v>
      </c>
      <c r="AS69" s="108">
        <f t="shared" si="90"/>
        <v>3.5704989872698906E-2</v>
      </c>
      <c r="AT69" s="109">
        <f t="shared" si="90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 t="shared" ref="N74:N78" si="91">IFERROR(K74/J74-1,0)</f>
        <v>-0.50948185371711641</v>
      </c>
      <c r="P74" s="65">
        <f t="shared" ref="P74:AT74" si="92">+P68</f>
        <v>32.29054</v>
      </c>
      <c r="Q74" s="65">
        <f t="shared" si="92"/>
        <v>23.655570000000012</v>
      </c>
      <c r="R74" s="65">
        <f t="shared" si="92"/>
        <v>18.009040000000002</v>
      </c>
      <c r="S74" s="65">
        <f t="shared" si="92"/>
        <v>3.3036999999999814</v>
      </c>
      <c r="T74" s="65">
        <f t="shared" si="92"/>
        <v>0.97158000000002254</v>
      </c>
      <c r="U74" s="65">
        <f t="shared" si="92"/>
        <v>10.027299999999999</v>
      </c>
      <c r="V74" s="65">
        <f t="shared" si="92"/>
        <v>26.037100000000013</v>
      </c>
      <c r="W74" s="65">
        <f t="shared" si="92"/>
        <v>28.863819999999997</v>
      </c>
      <c r="X74" s="65">
        <f t="shared" si="92"/>
        <v>10.835770000000004</v>
      </c>
      <c r="Y74" s="65">
        <f t="shared" si="92"/>
        <v>11.887049999999981</v>
      </c>
      <c r="Z74" s="65">
        <f t="shared" si="92"/>
        <v>-11.563829999999996</v>
      </c>
      <c r="AA74" s="65">
        <f t="shared" si="92"/>
        <v>-8.8457899999999778</v>
      </c>
      <c r="AB74" s="65">
        <f t="shared" si="92"/>
        <v>20.371919999999967</v>
      </c>
      <c r="AC74" s="65">
        <f t="shared" si="92"/>
        <v>7.5049699999999966</v>
      </c>
      <c r="AD74" s="65">
        <f t="shared" si="92"/>
        <v>20.557870000000005</v>
      </c>
      <c r="AE74" s="65">
        <f t="shared" si="92"/>
        <v>-3.217779999999987</v>
      </c>
      <c r="AF74" s="65">
        <f t="shared" si="92"/>
        <v>17.914550000000009</v>
      </c>
      <c r="AG74" s="65">
        <f t="shared" si="92"/>
        <v>25.023679999999977</v>
      </c>
      <c r="AH74" s="65">
        <f t="shared" si="92"/>
        <v>15.680769999999987</v>
      </c>
      <c r="AI74" s="65">
        <f t="shared" si="92"/>
        <v>18.057059999999971</v>
      </c>
      <c r="AJ74" s="65">
        <f t="shared" si="92"/>
        <v>2.7743600000000104</v>
      </c>
      <c r="AK74" s="65">
        <f t="shared" si="92"/>
        <v>2.5894700000000075</v>
      </c>
      <c r="AL74" s="65">
        <f t="shared" si="92"/>
        <v>13.519970000000038</v>
      </c>
      <c r="AM74" s="65">
        <f t="shared" si="92"/>
        <v>-9.7965400000000109</v>
      </c>
      <c r="AN74" s="65">
        <f t="shared" si="92"/>
        <v>31.645769999999949</v>
      </c>
      <c r="AO74" s="65">
        <f t="shared" si="92"/>
        <v>70.339949999999973</v>
      </c>
      <c r="AP74" s="65">
        <f t="shared" si="92"/>
        <v>-13.787130000000019</v>
      </c>
      <c r="AQ74" s="65">
        <f t="shared" si="92"/>
        <v>-4.5244900000000214</v>
      </c>
      <c r="AR74" s="65">
        <f t="shared" si="92"/>
        <v>-0.17472000000000065</v>
      </c>
      <c r="AS74" s="65">
        <f t="shared" si="92"/>
        <v>8.8369600000000688</v>
      </c>
      <c r="AT74" s="65">
        <f t="shared" si="92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 t="shared" ref="M75:M77" si="93">K75-J75</f>
        <v>0</v>
      </c>
      <c r="N75" s="66">
        <f t="shared" si="91"/>
        <v>0</v>
      </c>
      <c r="O75" s="52"/>
      <c r="P75" s="65">
        <f t="shared" ref="P75:AT75" si="94">+P56</f>
        <v>0</v>
      </c>
      <c r="Q75" s="65">
        <f t="shared" si="94"/>
        <v>0</v>
      </c>
      <c r="R75" s="65">
        <f t="shared" si="94"/>
        <v>0</v>
      </c>
      <c r="S75" s="65">
        <f t="shared" si="94"/>
        <v>0</v>
      </c>
      <c r="T75" s="65">
        <f t="shared" si="94"/>
        <v>0</v>
      </c>
      <c r="U75" s="65">
        <f t="shared" si="94"/>
        <v>0</v>
      </c>
      <c r="V75" s="65">
        <f t="shared" si="94"/>
        <v>0</v>
      </c>
      <c r="W75" s="65">
        <f t="shared" si="94"/>
        <v>0</v>
      </c>
      <c r="X75" s="65">
        <f t="shared" si="94"/>
        <v>0</v>
      </c>
      <c r="Y75" s="65">
        <f t="shared" si="94"/>
        <v>0</v>
      </c>
      <c r="Z75" s="65">
        <f t="shared" si="94"/>
        <v>0</v>
      </c>
      <c r="AA75" s="65">
        <f t="shared" si="94"/>
        <v>6.673</v>
      </c>
      <c r="AB75" s="65">
        <f t="shared" si="94"/>
        <v>0</v>
      </c>
      <c r="AC75" s="65">
        <f t="shared" si="94"/>
        <v>0</v>
      </c>
      <c r="AD75" s="65">
        <f t="shared" si="94"/>
        <v>0</v>
      </c>
      <c r="AE75" s="65">
        <f t="shared" si="94"/>
        <v>0</v>
      </c>
      <c r="AF75" s="65">
        <f t="shared" si="94"/>
        <v>0</v>
      </c>
      <c r="AG75" s="65">
        <f t="shared" si="94"/>
        <v>0</v>
      </c>
      <c r="AH75" s="65">
        <f t="shared" si="94"/>
        <v>0</v>
      </c>
      <c r="AI75" s="65">
        <f t="shared" si="94"/>
        <v>0</v>
      </c>
      <c r="AJ75" s="65">
        <f t="shared" si="94"/>
        <v>0</v>
      </c>
      <c r="AK75" s="65">
        <f t="shared" si="94"/>
        <v>0</v>
      </c>
      <c r="AL75" s="65">
        <f t="shared" si="94"/>
        <v>0</v>
      </c>
      <c r="AM75" s="65">
        <f t="shared" si="94"/>
        <v>6.673</v>
      </c>
      <c r="AN75" s="65">
        <f t="shared" si="94"/>
        <v>0</v>
      </c>
      <c r="AO75" s="65">
        <f t="shared" si="94"/>
        <v>0</v>
      </c>
      <c r="AP75" s="65">
        <f t="shared" si="94"/>
        <v>0</v>
      </c>
      <c r="AQ75" s="65">
        <f t="shared" si="94"/>
        <v>0</v>
      </c>
      <c r="AR75" s="65">
        <f t="shared" si="94"/>
        <v>0</v>
      </c>
      <c r="AS75" s="65">
        <f t="shared" si="94"/>
        <v>0</v>
      </c>
      <c r="AT75" s="65">
        <f t="shared" si="94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 t="shared" si="93"/>
        <v>0</v>
      </c>
      <c r="N76" s="66">
        <f t="shared" si="91"/>
        <v>0</v>
      </c>
      <c r="O76" s="52"/>
      <c r="P76" s="65">
        <f t="shared" ref="P76:AT76" si="95">+P58</f>
        <v>0</v>
      </c>
      <c r="Q76" s="65">
        <f t="shared" si="95"/>
        <v>0</v>
      </c>
      <c r="R76" s="65">
        <f t="shared" si="95"/>
        <v>0</v>
      </c>
      <c r="S76" s="65">
        <f t="shared" si="95"/>
        <v>6.2460000000000004</v>
      </c>
      <c r="T76" s="65">
        <f t="shared" si="95"/>
        <v>0</v>
      </c>
      <c r="U76" s="65">
        <f t="shared" si="95"/>
        <v>2.472</v>
      </c>
      <c r="V76" s="65">
        <f t="shared" si="95"/>
        <v>0</v>
      </c>
      <c r="W76" s="65">
        <f t="shared" si="95"/>
        <v>0</v>
      </c>
      <c r="X76" s="65">
        <f t="shared" si="95"/>
        <v>2.472</v>
      </c>
      <c r="Y76" s="65">
        <f t="shared" si="95"/>
        <v>0</v>
      </c>
      <c r="Z76" s="65">
        <f t="shared" si="95"/>
        <v>0</v>
      </c>
      <c r="AA76" s="65">
        <f t="shared" si="95"/>
        <v>-3.6930000000000001</v>
      </c>
      <c r="AB76" s="65">
        <f t="shared" si="95"/>
        <v>2.472</v>
      </c>
      <c r="AC76" s="65">
        <f t="shared" si="95"/>
        <v>0</v>
      </c>
      <c r="AD76" s="65">
        <f t="shared" si="95"/>
        <v>0</v>
      </c>
      <c r="AE76" s="65">
        <f t="shared" si="95"/>
        <v>3.649</v>
      </c>
      <c r="AF76" s="65">
        <f t="shared" si="95"/>
        <v>-2.2719999999999998</v>
      </c>
      <c r="AG76" s="65">
        <f t="shared" si="95"/>
        <v>2.0449999999999999</v>
      </c>
      <c r="AH76" s="65">
        <f t="shared" si="95"/>
        <v>0</v>
      </c>
      <c r="AI76" s="65">
        <f t="shared" si="95"/>
        <v>0</v>
      </c>
      <c r="AJ76" s="65">
        <f t="shared" si="95"/>
        <v>2.0449999999999999</v>
      </c>
      <c r="AK76" s="65">
        <f t="shared" si="95"/>
        <v>0</v>
      </c>
      <c r="AL76" s="65">
        <f t="shared" si="95"/>
        <v>0</v>
      </c>
      <c r="AM76" s="65">
        <f t="shared" si="95"/>
        <v>2.0449999999999999</v>
      </c>
      <c r="AN76" s="65">
        <f t="shared" si="95"/>
        <v>0</v>
      </c>
      <c r="AO76" s="65">
        <f t="shared" si="95"/>
        <v>0</v>
      </c>
      <c r="AP76" s="65">
        <f t="shared" si="95"/>
        <v>5.0359999999999996</v>
      </c>
      <c r="AQ76" s="65">
        <f t="shared" si="95"/>
        <v>-4.8639999999999999</v>
      </c>
      <c r="AR76" s="65">
        <f t="shared" si="95"/>
        <v>0</v>
      </c>
      <c r="AS76" s="65">
        <f t="shared" si="95"/>
        <v>1</v>
      </c>
      <c r="AT76" s="65">
        <f t="shared" si="95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 t="shared" si="93"/>
        <v>0</v>
      </c>
      <c r="N77" s="66">
        <f t="shared" si="91"/>
        <v>0</v>
      </c>
      <c r="O77" s="52"/>
      <c r="P77" s="65">
        <f t="shared" ref="P77:AT77" si="96">+P62</f>
        <v>0</v>
      </c>
      <c r="Q77" s="65">
        <f t="shared" si="96"/>
        <v>0</v>
      </c>
      <c r="R77" s="65">
        <f t="shared" si="96"/>
        <v>0</v>
      </c>
      <c r="S77" s="65">
        <f t="shared" si="96"/>
        <v>0</v>
      </c>
      <c r="T77" s="65">
        <f t="shared" si="96"/>
        <v>0</v>
      </c>
      <c r="U77" s="65">
        <f t="shared" si="96"/>
        <v>0</v>
      </c>
      <c r="V77" s="65">
        <f t="shared" si="96"/>
        <v>0</v>
      </c>
      <c r="W77" s="65">
        <f t="shared" si="96"/>
        <v>0</v>
      </c>
      <c r="X77" s="65">
        <f t="shared" si="96"/>
        <v>0</v>
      </c>
      <c r="Y77" s="65">
        <f t="shared" si="96"/>
        <v>0</v>
      </c>
      <c r="Z77" s="65">
        <f t="shared" si="96"/>
        <v>7.1499999999999994E-2</v>
      </c>
      <c r="AA77" s="65">
        <f t="shared" si="96"/>
        <v>8.1400000000000014E-3</v>
      </c>
      <c r="AB77" s="65">
        <f t="shared" si="96"/>
        <v>0.11752</v>
      </c>
      <c r="AC77" s="65">
        <f t="shared" si="96"/>
        <v>0.20646</v>
      </c>
      <c r="AD77" s="65">
        <f t="shared" si="96"/>
        <v>1.174E-2</v>
      </c>
      <c r="AE77" s="65">
        <f t="shared" si="96"/>
        <v>3.6600000000000001E-2</v>
      </c>
      <c r="AF77" s="65">
        <f t="shared" si="96"/>
        <v>0.11484</v>
      </c>
      <c r="AG77" s="65">
        <f t="shared" si="96"/>
        <v>0.24787999999999999</v>
      </c>
      <c r="AH77" s="65">
        <f t="shared" si="96"/>
        <v>0.34200000000000003</v>
      </c>
      <c r="AI77" s="65">
        <f t="shared" si="96"/>
        <v>0.25108999999999998</v>
      </c>
      <c r="AJ77" s="65">
        <f t="shared" si="96"/>
        <v>6.5290000000000001E-2</v>
      </c>
      <c r="AK77" s="65">
        <f t="shared" si="96"/>
        <v>1.916E-2</v>
      </c>
      <c r="AL77" s="65">
        <f t="shared" si="96"/>
        <v>9.9000000000000008E-3</v>
      </c>
      <c r="AM77" s="65">
        <f t="shared" si="96"/>
        <v>0</v>
      </c>
      <c r="AN77" s="65">
        <f t="shared" si="96"/>
        <v>0.28870000000000001</v>
      </c>
      <c r="AO77" s="65">
        <f t="shared" si="96"/>
        <v>0.14452999999999999</v>
      </c>
      <c r="AP77" s="65">
        <f t="shared" si="96"/>
        <v>0</v>
      </c>
      <c r="AQ77" s="65">
        <f t="shared" si="96"/>
        <v>0.15</v>
      </c>
      <c r="AR77" s="65">
        <f t="shared" si="96"/>
        <v>0.11769</v>
      </c>
      <c r="AS77" s="65">
        <f t="shared" si="96"/>
        <v>0.11011</v>
      </c>
      <c r="AT77" s="65">
        <f t="shared" si="96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 t="shared" si="91"/>
        <v>-0.45217039904608325</v>
      </c>
      <c r="P78" s="59">
        <f t="shared" ref="P78:AT78" si="97">SUM(P74:P77)</f>
        <v>32.29054</v>
      </c>
      <c r="Q78" s="59">
        <f t="shared" si="97"/>
        <v>23.655570000000012</v>
      </c>
      <c r="R78" s="59">
        <f t="shared" si="97"/>
        <v>18.009040000000002</v>
      </c>
      <c r="S78" s="59">
        <f t="shared" si="97"/>
        <v>9.5496999999999819</v>
      </c>
      <c r="T78" s="59">
        <f t="shared" si="97"/>
        <v>0.97158000000002254</v>
      </c>
      <c r="U78" s="59">
        <f t="shared" si="97"/>
        <v>12.499299999999998</v>
      </c>
      <c r="V78" s="59">
        <f t="shared" si="97"/>
        <v>26.037100000000013</v>
      </c>
      <c r="W78" s="59">
        <f t="shared" si="97"/>
        <v>28.863819999999997</v>
      </c>
      <c r="X78" s="59">
        <f t="shared" si="97"/>
        <v>13.307770000000003</v>
      </c>
      <c r="Y78" s="59">
        <f t="shared" si="97"/>
        <v>11.887049999999981</v>
      </c>
      <c r="Z78" s="59">
        <f t="shared" si="97"/>
        <v>-11.492329999999995</v>
      </c>
      <c r="AA78" s="59">
        <f t="shared" si="97"/>
        <v>-5.8576499999999774</v>
      </c>
      <c r="AB78" s="59">
        <f t="shared" si="97"/>
        <v>22.961439999999968</v>
      </c>
      <c r="AC78" s="59">
        <f t="shared" si="97"/>
        <v>7.7114299999999965</v>
      </c>
      <c r="AD78" s="59">
        <f t="shared" si="97"/>
        <v>20.569610000000004</v>
      </c>
      <c r="AE78" s="59">
        <f t="shared" si="97"/>
        <v>0.46782000000001306</v>
      </c>
      <c r="AF78" s="59">
        <f t="shared" si="97"/>
        <v>15.757390000000008</v>
      </c>
      <c r="AG78" s="59">
        <f t="shared" si="97"/>
        <v>27.316559999999978</v>
      </c>
      <c r="AH78" s="59">
        <f t="shared" si="97"/>
        <v>16.022769999999987</v>
      </c>
      <c r="AI78" s="59">
        <f t="shared" si="97"/>
        <v>18.308149999999973</v>
      </c>
      <c r="AJ78" s="59">
        <f t="shared" si="97"/>
        <v>4.8846500000000104</v>
      </c>
      <c r="AK78" s="59">
        <f t="shared" si="97"/>
        <v>2.6086300000000073</v>
      </c>
      <c r="AL78" s="59">
        <f t="shared" si="97"/>
        <v>13.529870000000038</v>
      </c>
      <c r="AM78" s="59">
        <f t="shared" si="97"/>
        <v>-1.0785400000000109</v>
      </c>
      <c r="AN78" s="59">
        <f t="shared" si="97"/>
        <v>31.934469999999948</v>
      </c>
      <c r="AO78" s="59">
        <f t="shared" si="97"/>
        <v>70.484479999999976</v>
      </c>
      <c r="AP78" s="59">
        <f t="shared" si="97"/>
        <v>-8.7511300000000194</v>
      </c>
      <c r="AQ78" s="59">
        <f t="shared" si="97"/>
        <v>-9.2384900000000219</v>
      </c>
      <c r="AR78" s="59">
        <f t="shared" si="97"/>
        <v>-5.703000000000065E-2</v>
      </c>
      <c r="AS78" s="59">
        <f t="shared" si="97"/>
        <v>9.9470700000000694</v>
      </c>
      <c r="AT78" s="59">
        <f t="shared" si="97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98">P78/P$24</f>
        <v>0.39907678731874074</v>
      </c>
      <c r="Q79" s="127">
        <f t="shared" si="98"/>
        <v>0.29112505338087064</v>
      </c>
      <c r="R79" s="127">
        <f t="shared" si="98"/>
        <v>0.23055348588312713</v>
      </c>
      <c r="S79" s="127">
        <f t="shared" si="98"/>
        <v>0.11456894927975236</v>
      </c>
      <c r="T79" s="127">
        <f t="shared" si="98"/>
        <v>1.0771856670157455E-2</v>
      </c>
      <c r="U79" s="127">
        <f t="shared" si="98"/>
        <v>0.13901116377766753</v>
      </c>
      <c r="V79" s="127">
        <f t="shared" si="98"/>
        <v>0.24872554559258261</v>
      </c>
      <c r="W79" s="127">
        <f t="shared" si="98"/>
        <v>0.27722551846845006</v>
      </c>
      <c r="X79" s="127">
        <f t="shared" si="98"/>
        <v>0.13527902798285099</v>
      </c>
      <c r="Y79" s="127">
        <f t="shared" si="98"/>
        <v>0.11999981828992633</v>
      </c>
      <c r="Z79" s="127">
        <f t="shared" si="98"/>
        <v>-0.10520518174652793</v>
      </c>
      <c r="AA79" s="127">
        <f t="shared" si="98"/>
        <v>-5.0605238706767766E-2</v>
      </c>
      <c r="AB79" s="127">
        <f t="shared" si="98"/>
        <v>0.16559222371144891</v>
      </c>
      <c r="AC79" s="127">
        <f t="shared" si="98"/>
        <v>6.0338600310165809E-2</v>
      </c>
      <c r="AD79" s="127">
        <f t="shared" si="98"/>
        <v>0.15273468961636139</v>
      </c>
      <c r="AE79" s="127">
        <f t="shared" si="98"/>
        <v>3.4404702020069261E-3</v>
      </c>
      <c r="AF79" s="127">
        <f t="shared" si="98"/>
        <v>0.10363218633312275</v>
      </c>
      <c r="AG79" s="127">
        <f t="shared" si="98"/>
        <v>0.17816113769298694</v>
      </c>
      <c r="AH79" s="127">
        <f t="shared" si="98"/>
        <v>0.10311938194672461</v>
      </c>
      <c r="AI79" s="127">
        <f t="shared" si="98"/>
        <v>0.11451660602281841</v>
      </c>
      <c r="AJ79" s="127">
        <f t="shared" si="98"/>
        <v>2.978459469408426E-2</v>
      </c>
      <c r="AK79" s="127">
        <f t="shared" si="98"/>
        <v>1.4553494159700791E-2</v>
      </c>
      <c r="AL79" s="127">
        <f t="shared" si="98"/>
        <v>7.4466546366905945E-2</v>
      </c>
      <c r="AM79" s="127">
        <f t="shared" si="98"/>
        <v>-5.4830976375106382E-3</v>
      </c>
      <c r="AN79" s="127">
        <f t="shared" si="98"/>
        <v>0.15050224802767362</v>
      </c>
      <c r="AO79" s="127">
        <f t="shared" si="98"/>
        <v>0.29138294669808606</v>
      </c>
      <c r="AP79" s="127">
        <f t="shared" si="98"/>
        <v>-3.7802616769624181E-2</v>
      </c>
      <c r="AQ79" s="127">
        <f t="shared" si="98"/>
        <v>-3.8442536511919E-2</v>
      </c>
      <c r="AR79" s="127">
        <f t="shared" si="98"/>
        <v>-2.316420243230245E-4</v>
      </c>
      <c r="AS79" s="127">
        <f t="shared" si="98"/>
        <v>4.019029548770469E-2</v>
      </c>
      <c r="AT79" s="127">
        <f t="shared" si="98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 t="shared" ref="M82" si="99">K82-J82</f>
        <v>0</v>
      </c>
      <c r="N82" s="66">
        <f t="shared" ref="N82:N84" si="100"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 t="shared" ref="M83" si="101">K83-J83</f>
        <v>0</v>
      </c>
      <c r="N83" s="66">
        <f t="shared" ref="N83" si="102">IFERROR(K83/J83-1,0)</f>
        <v>0</v>
      </c>
      <c r="O83" s="52"/>
      <c r="P83" s="23">
        <f t="shared" ref="P83:AT83" si="103">+P61</f>
        <v>8.5000000000000006E-2</v>
      </c>
      <c r="Q83" s="23">
        <f t="shared" si="103"/>
        <v>8.5000000000000006E-2</v>
      </c>
      <c r="R83" s="23">
        <f t="shared" si="103"/>
        <v>9.7000000000000003E-2</v>
      </c>
      <c r="S83" s="23">
        <f t="shared" si="103"/>
        <v>0.11283</v>
      </c>
      <c r="T83" s="23">
        <f t="shared" si="103"/>
        <v>8.5000000000000006E-2</v>
      </c>
      <c r="U83" s="23">
        <f t="shared" si="103"/>
        <v>8.5000000000000006E-2</v>
      </c>
      <c r="V83" s="23">
        <f t="shared" si="103"/>
        <v>8.5000000000000006E-2</v>
      </c>
      <c r="W83" s="23">
        <f t="shared" si="103"/>
        <v>8.5000000000000006E-2</v>
      </c>
      <c r="X83" s="23">
        <f t="shared" si="103"/>
        <v>8.5000000000000006E-2</v>
      </c>
      <c r="Y83" s="23">
        <f t="shared" si="103"/>
        <v>8.5000000000000006E-2</v>
      </c>
      <c r="Z83" s="23">
        <f t="shared" si="103"/>
        <v>8.5000000000000006E-2</v>
      </c>
      <c r="AA83" s="23">
        <f t="shared" si="103"/>
        <v>8.5000000000000006E-2</v>
      </c>
      <c r="AB83" s="23">
        <f t="shared" si="103"/>
        <v>8.5000000000000006E-2</v>
      </c>
      <c r="AC83" s="23">
        <f t="shared" si="103"/>
        <v>9.4489999999999991E-2</v>
      </c>
      <c r="AD83" s="23">
        <f t="shared" si="103"/>
        <v>0.82489000000000001</v>
      </c>
      <c r="AE83" s="23">
        <f t="shared" si="103"/>
        <v>0.253</v>
      </c>
      <c r="AF83" s="23">
        <f t="shared" si="103"/>
        <v>0.26294999999999996</v>
      </c>
      <c r="AG83" s="23">
        <f t="shared" si="103"/>
        <v>0.253</v>
      </c>
      <c r="AH83" s="23">
        <f t="shared" si="103"/>
        <v>0.253</v>
      </c>
      <c r="AI83" s="23">
        <f t="shared" si="103"/>
        <v>0.253</v>
      </c>
      <c r="AJ83" s="23">
        <f t="shared" si="103"/>
        <v>0.253</v>
      </c>
      <c r="AK83" s="23">
        <f t="shared" si="103"/>
        <v>0.253</v>
      </c>
      <c r="AL83" s="23">
        <f t="shared" si="103"/>
        <v>0.253</v>
      </c>
      <c r="AM83" s="23">
        <f t="shared" si="103"/>
        <v>0.253</v>
      </c>
      <c r="AN83" s="23">
        <f t="shared" si="103"/>
        <v>0.253</v>
      </c>
      <c r="AO83" s="23">
        <f t="shared" si="103"/>
        <v>0.255</v>
      </c>
      <c r="AP83" s="23">
        <f t="shared" si="103"/>
        <v>0.28299999999999997</v>
      </c>
      <c r="AQ83" s="23">
        <f t="shared" si="103"/>
        <v>0.28299999999999997</v>
      </c>
      <c r="AR83" s="23">
        <f t="shared" si="103"/>
        <v>0.28299999999999997</v>
      </c>
      <c r="AS83" s="23">
        <f t="shared" si="103"/>
        <v>0.29299999999999998</v>
      </c>
      <c r="AT83" s="23">
        <f t="shared" si="103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 t="shared" ref="F84:G84" si="104">+F78+F82+F83</f>
        <v>112.83334999999973</v>
      </c>
      <c r="G84" s="106">
        <f t="shared" si="104"/>
        <v>80.069530000000327</v>
      </c>
      <c r="I84" s="110">
        <f t="shared" ref="I84:K84" si="105">+I78+I82+I83</f>
        <v>149.96700999999993</v>
      </c>
      <c r="J84" s="105">
        <f t="shared" si="105"/>
        <v>122.29128999999995</v>
      </c>
      <c r="K84" s="106">
        <f t="shared" si="105"/>
        <v>69.668020000000126</v>
      </c>
      <c r="L84" s="71"/>
      <c r="M84" s="110">
        <f>+M78+M82+M83</f>
        <v>-52.623269999999891</v>
      </c>
      <c r="N84" s="112">
        <f t="shared" si="100"/>
        <v>-0.4303108586065274</v>
      </c>
      <c r="P84" s="110">
        <f t="shared" ref="P84:AT84" si="106">+P78+P82+P83</f>
        <v>32.375540000000001</v>
      </c>
      <c r="Q84" s="105">
        <f t="shared" si="106"/>
        <v>23.740570000000012</v>
      </c>
      <c r="R84" s="105">
        <f t="shared" si="106"/>
        <v>18.106040000000004</v>
      </c>
      <c r="S84" s="105">
        <f t="shared" si="106"/>
        <v>9.6625299999999825</v>
      </c>
      <c r="T84" s="105">
        <f t="shared" si="106"/>
        <v>1.0565800000000225</v>
      </c>
      <c r="U84" s="105">
        <f t="shared" si="106"/>
        <v>12.584299999999999</v>
      </c>
      <c r="V84" s="105">
        <f t="shared" si="106"/>
        <v>26.122100000000014</v>
      </c>
      <c r="W84" s="105">
        <f t="shared" si="106"/>
        <v>28.948819999999998</v>
      </c>
      <c r="X84" s="105">
        <f t="shared" si="106"/>
        <v>13.392770000000004</v>
      </c>
      <c r="Y84" s="105">
        <f t="shared" si="106"/>
        <v>11.972049999999982</v>
      </c>
      <c r="Z84" s="105">
        <f t="shared" si="106"/>
        <v>-11.407329999999995</v>
      </c>
      <c r="AA84" s="105">
        <f t="shared" si="106"/>
        <v>-5.7726499999999774</v>
      </c>
      <c r="AB84" s="105">
        <f t="shared" si="106"/>
        <v>23.046439999999969</v>
      </c>
      <c r="AC84" s="105">
        <f t="shared" si="106"/>
        <v>7.8059199999999969</v>
      </c>
      <c r="AD84" s="105">
        <f t="shared" si="106"/>
        <v>21.394500000000004</v>
      </c>
      <c r="AE84" s="105">
        <f t="shared" si="106"/>
        <v>0.72082000000001312</v>
      </c>
      <c r="AF84" s="105">
        <f t="shared" si="106"/>
        <v>16.020340000000008</v>
      </c>
      <c r="AG84" s="105">
        <f t="shared" si="106"/>
        <v>27.569559999999978</v>
      </c>
      <c r="AH84" s="105">
        <f t="shared" si="106"/>
        <v>16.275769999999987</v>
      </c>
      <c r="AI84" s="105">
        <f t="shared" si="106"/>
        <v>18.561149999999973</v>
      </c>
      <c r="AJ84" s="105">
        <f t="shared" si="106"/>
        <v>5.1376500000000105</v>
      </c>
      <c r="AK84" s="105">
        <f t="shared" si="106"/>
        <v>2.8616300000000074</v>
      </c>
      <c r="AL84" s="105">
        <f t="shared" si="106"/>
        <v>13.782870000000038</v>
      </c>
      <c r="AM84" s="105">
        <f t="shared" si="106"/>
        <v>1.8784599999999894</v>
      </c>
      <c r="AN84" s="105">
        <f t="shared" si="106"/>
        <v>32.187469999999948</v>
      </c>
      <c r="AO84" s="105">
        <f t="shared" si="106"/>
        <v>70.739479999999972</v>
      </c>
      <c r="AP84" s="105">
        <f t="shared" si="106"/>
        <v>-8.4681300000000199</v>
      </c>
      <c r="AQ84" s="105">
        <f t="shared" si="106"/>
        <v>-8.9554900000000224</v>
      </c>
      <c r="AR84" s="105">
        <f t="shared" si="106"/>
        <v>0.22596999999999934</v>
      </c>
      <c r="AS84" s="105">
        <f t="shared" si="106"/>
        <v>10.240070000000069</v>
      </c>
      <c r="AT84" s="106">
        <f t="shared" si="106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" si="107">P84/P$24</f>
        <v>0.40012729706314554</v>
      </c>
      <c r="Q85" s="108">
        <f t="shared" ref="Q85" si="108">Q84/Q$24</f>
        <v>0.29217113384045684</v>
      </c>
      <c r="R85" s="108">
        <f t="shared" ref="R85" si="109">R84/R$24</f>
        <v>0.23179528934020555</v>
      </c>
      <c r="S85" s="108">
        <f t="shared" ref="S85" si="110">S84/S$24</f>
        <v>0.11592258494864612</v>
      </c>
      <c r="T85" s="108">
        <f t="shared" ref="T85" si="111">T84/T$24</f>
        <v>1.1714247226738861E-2</v>
      </c>
      <c r="U85" s="108">
        <f t="shared" ref="U85" si="112">U84/U$24</f>
        <v>0.13995649262977139</v>
      </c>
      <c r="V85" s="108">
        <f t="shared" ref="V85" si="113">V84/V$24</f>
        <v>0.24953752816266028</v>
      </c>
      <c r="W85" s="108">
        <f t="shared" ref="W85" si="114">W84/W$24</f>
        <v>0.27804190968312015</v>
      </c>
      <c r="X85" s="108">
        <f t="shared" ref="X85" si="115">X84/X$24</f>
        <v>0.1361430884060881</v>
      </c>
      <c r="Y85" s="108">
        <f t="shared" ref="Y85" si="116">Y84/Y$24</f>
        <v>0.12085789363701782</v>
      </c>
      <c r="Z85" s="108">
        <f t="shared" ref="Z85" si="117">Z84/Z$24</f>
        <v>-0.1044270592554008</v>
      </c>
      <c r="AA85" s="108">
        <f t="shared" ref="AA85" si="118">AA84/AA$24</f>
        <v>-4.9870909190652041E-2</v>
      </c>
      <c r="AB85" s="108">
        <f t="shared" ref="AB85" si="119">AB84/AB$24</f>
        <v>0.16620522267908655</v>
      </c>
      <c r="AC85" s="108">
        <f t="shared" ref="AC85" si="120">AC84/AC$24</f>
        <v>6.1077943641209151E-2</v>
      </c>
      <c r="AD85" s="108">
        <f t="shared" ref="AD85" si="121">AD84/AD$24</f>
        <v>0.15885971182716849</v>
      </c>
      <c r="AE85" s="108">
        <f t="shared" ref="AE85" si="122">AE84/AE$24</f>
        <v>5.3010981381954782E-3</v>
      </c>
      <c r="AF85" s="108">
        <f t="shared" ref="AF85" si="123">AF84/AF$24</f>
        <v>0.10536153893506348</v>
      </c>
      <c r="AG85" s="108">
        <f t="shared" ref="AG85" si="124">AG84/AG$24</f>
        <v>0.17981122715653308</v>
      </c>
      <c r="AH85" s="108">
        <f t="shared" ref="AH85" si="125">AH84/AH$24</f>
        <v>0.10474763995907337</v>
      </c>
      <c r="AI85" s="108">
        <f t="shared" ref="AI85" si="126">AI84/AI$24</f>
        <v>0.11609910896952647</v>
      </c>
      <c r="AJ85" s="108">
        <f t="shared" ref="AJ85" si="127">AJ84/AJ$24</f>
        <v>3.1327285052165865E-2</v>
      </c>
      <c r="AK85" s="108">
        <f t="shared" ref="AK85" si="128">AK84/AK$24</f>
        <v>1.5964976057250193E-2</v>
      </c>
      <c r="AL85" s="108">
        <f t="shared" ref="AL85" si="129">AL84/AL$24</f>
        <v>7.5859023621367899E-2</v>
      </c>
      <c r="AM85" s="108">
        <f t="shared" ref="AM85" si="130">AM84/AM$24</f>
        <v>9.5497427894728707E-3</v>
      </c>
      <c r="AN85" s="108">
        <f t="shared" ref="AN85" si="131">AN84/AN$24</f>
        <v>0.1516945981355978</v>
      </c>
      <c r="AO85" s="108">
        <f t="shared" ref="AO85" si="132">AO84/AO$24</f>
        <v>0.29243711708294262</v>
      </c>
      <c r="AP85" s="108">
        <f t="shared" ref="AP85" si="133">AP84/AP$24</f>
        <v>-3.658013001125085E-2</v>
      </c>
      <c r="AQ85" s="108">
        <f t="shared" ref="AQ85" si="134">AQ84/AQ$24</f>
        <v>-3.7264937376900932E-2</v>
      </c>
      <c r="AR85" s="108">
        <f t="shared" ref="AR85" si="135">AR84/AR$24</f>
        <v>9.1783531888958605E-4</v>
      </c>
      <c r="AS85" s="108">
        <f t="shared" ref="AS85" si="136">AS84/AS$24</f>
        <v>4.1374137219782309E-2</v>
      </c>
      <c r="AT85" s="109">
        <f t="shared" ref="AT85" si="137">AT84/AT$24</f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 t="shared" ref="M88:M91" si="138">K88-J88</f>
        <v>0</v>
      </c>
      <c r="N88" s="66">
        <f t="shared" ref="N88:N89" si="139">IFERROR(K88/J88-1,0)</f>
        <v>0</v>
      </c>
      <c r="P88" s="65">
        <f t="shared" ref="P88:AT88" si="140">$C$168/12+P$35</f>
        <v>-19.020416666666666</v>
      </c>
      <c r="Q88" s="65">
        <f t="shared" si="140"/>
        <v>-19.020416666666666</v>
      </c>
      <c r="R88" s="65">
        <f t="shared" si="140"/>
        <v>-19.020416666666666</v>
      </c>
      <c r="S88" s="65">
        <f t="shared" si="140"/>
        <v>-19.020416666666666</v>
      </c>
      <c r="T88" s="65">
        <f t="shared" si="140"/>
        <v>-19.020416666666666</v>
      </c>
      <c r="U88" s="65">
        <f t="shared" si="140"/>
        <v>-19.020416666666666</v>
      </c>
      <c r="V88" s="65">
        <f t="shared" si="140"/>
        <v>-19.020416666666666</v>
      </c>
      <c r="W88" s="65">
        <f t="shared" si="140"/>
        <v>-19.020416666666666</v>
      </c>
      <c r="X88" s="65">
        <f t="shared" si="140"/>
        <v>-19.020416666666666</v>
      </c>
      <c r="Y88" s="65">
        <f t="shared" si="140"/>
        <v>-19.020416666666666</v>
      </c>
      <c r="Z88" s="65">
        <f t="shared" si="140"/>
        <v>-19.020416666666666</v>
      </c>
      <c r="AA88" s="65">
        <f t="shared" si="140"/>
        <v>-19.020416666666666</v>
      </c>
      <c r="AB88" s="65">
        <f t="shared" si="140"/>
        <v>-19.020416666666666</v>
      </c>
      <c r="AC88" s="65">
        <f t="shared" si="140"/>
        <v>-19.020416666666666</v>
      </c>
      <c r="AD88" s="65">
        <f t="shared" si="140"/>
        <v>-10.114026666666666</v>
      </c>
      <c r="AE88" s="65">
        <f t="shared" si="140"/>
        <v>-9.7871866666666669</v>
      </c>
      <c r="AF88" s="65">
        <f t="shared" si="140"/>
        <v>-9.9115766666666651</v>
      </c>
      <c r="AG88" s="65">
        <f t="shared" si="140"/>
        <v>-10.325626666666665</v>
      </c>
      <c r="AH88" s="65">
        <f t="shared" si="140"/>
        <v>-9.4975466666666648</v>
      </c>
      <c r="AI88" s="65">
        <f t="shared" si="140"/>
        <v>-10.325606666666665</v>
      </c>
      <c r="AJ88" s="65">
        <f t="shared" si="140"/>
        <v>-9.9115766666666651</v>
      </c>
      <c r="AK88" s="65">
        <f t="shared" si="140"/>
        <v>-9.4975466666666648</v>
      </c>
      <c r="AL88" s="65">
        <f t="shared" si="140"/>
        <v>-10.739656666666665</v>
      </c>
      <c r="AM88" s="65">
        <f t="shared" si="140"/>
        <v>-9.426776666666667</v>
      </c>
      <c r="AN88" s="65">
        <f t="shared" si="140"/>
        <v>-9.7442066666666669</v>
      </c>
      <c r="AO88" s="65">
        <f t="shared" si="140"/>
        <v>-10.697786666666667</v>
      </c>
      <c r="AP88" s="65">
        <f t="shared" si="140"/>
        <v>-9.9115866666666665</v>
      </c>
      <c r="AQ88" s="65">
        <f t="shared" si="140"/>
        <v>-9.9115866666666665</v>
      </c>
      <c r="AR88" s="65">
        <f t="shared" si="140"/>
        <v>-10.325606666666665</v>
      </c>
      <c r="AS88" s="65">
        <f t="shared" si="140"/>
        <v>-9.9115766666666651</v>
      </c>
      <c r="AT88" s="65">
        <f t="shared" si="140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 t="shared" ref="M89" si="141">K89-J89</f>
        <v>-116.25</v>
      </c>
      <c r="N89" s="66">
        <f t="shared" si="139"/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 t="shared" si="138"/>
        <v>0</v>
      </c>
      <c r="N90" s="66"/>
      <c r="P90" s="65">
        <f t="shared" ref="P90:AT90" si="142">+P48-$C$169/12</f>
        <v>-6.0480791666666667</v>
      </c>
      <c r="Q90" s="65">
        <f t="shared" si="142"/>
        <v>-4.8815791666666666</v>
      </c>
      <c r="R90" s="65">
        <f t="shared" si="142"/>
        <v>-4.8815791666666666</v>
      </c>
      <c r="S90" s="65">
        <f t="shared" si="142"/>
        <v>-4.8814091666666668</v>
      </c>
      <c r="T90" s="65">
        <f t="shared" si="142"/>
        <v>-4.8814091666666668</v>
      </c>
      <c r="U90" s="65">
        <f t="shared" si="142"/>
        <v>-3.3814191666666669</v>
      </c>
      <c r="V90" s="65">
        <f t="shared" si="142"/>
        <v>-4.8814091666666668</v>
      </c>
      <c r="W90" s="65">
        <f t="shared" si="142"/>
        <v>-4.8814091666666668</v>
      </c>
      <c r="X90" s="65">
        <f t="shared" si="142"/>
        <v>-2.9801691666666668</v>
      </c>
      <c r="Y90" s="65">
        <f t="shared" si="142"/>
        <v>-4.8814091666666668</v>
      </c>
      <c r="Z90" s="65">
        <f t="shared" si="142"/>
        <v>-3.8814091666666668</v>
      </c>
      <c r="AA90" s="65">
        <f t="shared" si="142"/>
        <v>-3.8814191666666669</v>
      </c>
      <c r="AB90" s="65">
        <f t="shared" si="142"/>
        <v>-3.8814091666666668</v>
      </c>
      <c r="AC90" s="65">
        <f t="shared" si="142"/>
        <v>-3.8814091666666668</v>
      </c>
      <c r="AD90" s="65">
        <f t="shared" si="142"/>
        <v>-3.8814191666666669</v>
      </c>
      <c r="AE90" s="65">
        <f t="shared" si="142"/>
        <v>-3.2874091666666665</v>
      </c>
      <c r="AF90" s="65">
        <f t="shared" si="142"/>
        <v>-4.4614091666666669</v>
      </c>
      <c r="AG90" s="65">
        <f t="shared" si="142"/>
        <v>-4.8814191666666664</v>
      </c>
      <c r="AH90" s="65">
        <f t="shared" si="142"/>
        <v>-6.0480791666666667</v>
      </c>
      <c r="AI90" s="65">
        <f t="shared" si="142"/>
        <v>-5.8480791666666665</v>
      </c>
      <c r="AJ90" s="65">
        <f t="shared" si="142"/>
        <v>-4.7211291666666666</v>
      </c>
      <c r="AK90" s="65">
        <f t="shared" si="142"/>
        <v>-6.0480791666666667</v>
      </c>
      <c r="AL90" s="65">
        <f t="shared" si="142"/>
        <v>-4.8079166666666673E-2</v>
      </c>
      <c r="AM90" s="65">
        <f t="shared" si="142"/>
        <v>1.4519208333333333</v>
      </c>
      <c r="AN90" s="65">
        <f t="shared" si="142"/>
        <v>-6.0480791666666667</v>
      </c>
      <c r="AO90" s="65">
        <f t="shared" si="142"/>
        <v>-6.0480791666666667</v>
      </c>
      <c r="AP90" s="65">
        <f t="shared" si="142"/>
        <v>0.55192083333333297</v>
      </c>
      <c r="AQ90" s="65">
        <f t="shared" si="142"/>
        <v>7.9519208333333333</v>
      </c>
      <c r="AR90" s="65">
        <f t="shared" si="142"/>
        <v>11.951920833333332</v>
      </c>
      <c r="AS90" s="65">
        <f t="shared" si="142"/>
        <v>-6.0480791666666667</v>
      </c>
      <c r="AT90" s="65">
        <f t="shared" si="142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 t="shared" si="138"/>
        <v>96.800000000000011</v>
      </c>
      <c r="N91" s="66">
        <f t="shared" ref="N91" si="143"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 t="shared" ref="N93:N95" si="144">IFERROR(K93/J93-1,0)</f>
        <v>-0.66040994327333258</v>
      </c>
      <c r="P93" s="59">
        <f t="shared" ref="P93:AT93" si="145">SUM(P88:P91)</f>
        <v>-25.068495833333333</v>
      </c>
      <c r="Q93" s="59">
        <f t="shared" si="145"/>
        <v>-23.901995833333331</v>
      </c>
      <c r="R93" s="59">
        <f t="shared" si="145"/>
        <v>-23.901995833333331</v>
      </c>
      <c r="S93" s="59">
        <f t="shared" si="145"/>
        <v>-23.901825833333334</v>
      </c>
      <c r="T93" s="59">
        <f t="shared" si="145"/>
        <v>-23.901825833333334</v>
      </c>
      <c r="U93" s="59">
        <f t="shared" si="145"/>
        <v>-22.401835833333333</v>
      </c>
      <c r="V93" s="59">
        <f t="shared" si="145"/>
        <v>-23.901825833333334</v>
      </c>
      <c r="W93" s="59">
        <f t="shared" si="145"/>
        <v>-23.901825833333334</v>
      </c>
      <c r="X93" s="59">
        <f t="shared" si="145"/>
        <v>-22.000585833333332</v>
      </c>
      <c r="Y93" s="59">
        <f t="shared" si="145"/>
        <v>-23.901825833333334</v>
      </c>
      <c r="Z93" s="59">
        <f t="shared" si="145"/>
        <v>-22.901825833333334</v>
      </c>
      <c r="AA93" s="59">
        <f t="shared" si="145"/>
        <v>-22.901835833333333</v>
      </c>
      <c r="AB93" s="59">
        <f t="shared" si="145"/>
        <v>-22.901825833333334</v>
      </c>
      <c r="AC93" s="59">
        <f t="shared" si="145"/>
        <v>-22.901825833333334</v>
      </c>
      <c r="AD93" s="59">
        <f t="shared" si="145"/>
        <v>-13.995445833333333</v>
      </c>
      <c r="AE93" s="59">
        <f t="shared" si="145"/>
        <v>-13.074595833333333</v>
      </c>
      <c r="AF93" s="59">
        <f t="shared" si="145"/>
        <v>-14.372985833333331</v>
      </c>
      <c r="AG93" s="59">
        <f t="shared" si="145"/>
        <v>-15.207045833333332</v>
      </c>
      <c r="AH93" s="59">
        <f t="shared" si="145"/>
        <v>-15.545625833333332</v>
      </c>
      <c r="AI93" s="59">
        <f t="shared" si="145"/>
        <v>-16.17368583333333</v>
      </c>
      <c r="AJ93" s="59">
        <f t="shared" si="145"/>
        <v>-14.632705833333333</v>
      </c>
      <c r="AK93" s="59">
        <f t="shared" si="145"/>
        <v>-15.545625833333332</v>
      </c>
      <c r="AL93" s="59">
        <f t="shared" si="145"/>
        <v>-10.787735833333333</v>
      </c>
      <c r="AM93" s="59">
        <f t="shared" si="145"/>
        <v>-7.9748558333333337</v>
      </c>
      <c r="AN93" s="59">
        <f t="shared" si="145"/>
        <v>-15.792285833333334</v>
      </c>
      <c r="AO93" s="59">
        <f t="shared" si="145"/>
        <v>-16.745865833333333</v>
      </c>
      <c r="AP93" s="59">
        <f t="shared" si="145"/>
        <v>-9.3596658333333345</v>
      </c>
      <c r="AQ93" s="59">
        <f t="shared" si="145"/>
        <v>-1.9596658333333332</v>
      </c>
      <c r="AR93" s="59">
        <f t="shared" si="145"/>
        <v>1.6263141666666669</v>
      </c>
      <c r="AS93" s="59">
        <f t="shared" si="145"/>
        <v>-15.959655833333333</v>
      </c>
      <c r="AT93" s="59">
        <f t="shared" si="145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 t="shared" si="144"/>
        <v>-0.28505750382285799</v>
      </c>
      <c r="P95" s="110">
        <f t="shared" ref="P95:AT95" si="146">+P93+P84</f>
        <v>7.3070441666666675</v>
      </c>
      <c r="Q95" s="105">
        <f t="shared" si="146"/>
        <v>-0.16142583333331828</v>
      </c>
      <c r="R95" s="105">
        <f t="shared" si="146"/>
        <v>-5.795955833333327</v>
      </c>
      <c r="S95" s="105">
        <f t="shared" si="146"/>
        <v>-14.239295833333351</v>
      </c>
      <c r="T95" s="105">
        <f t="shared" si="146"/>
        <v>-22.845245833333312</v>
      </c>
      <c r="U95" s="105">
        <f t="shared" si="146"/>
        <v>-9.8175358333333342</v>
      </c>
      <c r="V95" s="105">
        <f t="shared" si="146"/>
        <v>2.2202741666666803</v>
      </c>
      <c r="W95" s="105">
        <f t="shared" si="146"/>
        <v>5.0469941666666642</v>
      </c>
      <c r="X95" s="105">
        <f t="shared" si="146"/>
        <v>-8.6078158333333281</v>
      </c>
      <c r="Y95" s="105">
        <f t="shared" si="146"/>
        <v>-11.929775833333352</v>
      </c>
      <c r="Z95" s="105">
        <f t="shared" si="146"/>
        <v>-34.309155833333328</v>
      </c>
      <c r="AA95" s="105">
        <f t="shared" si="146"/>
        <v>-28.674485833333311</v>
      </c>
      <c r="AB95" s="105">
        <f t="shared" si="146"/>
        <v>0.14461416666663496</v>
      </c>
      <c r="AC95" s="105">
        <f t="shared" si="146"/>
        <v>-15.095905833333337</v>
      </c>
      <c r="AD95" s="105">
        <f t="shared" si="146"/>
        <v>7.3990541666666712</v>
      </c>
      <c r="AE95" s="105">
        <f t="shared" si="146"/>
        <v>-12.353775833333319</v>
      </c>
      <c r="AF95" s="105">
        <f t="shared" si="146"/>
        <v>1.6473541666666769</v>
      </c>
      <c r="AG95" s="105">
        <f t="shared" si="146"/>
        <v>12.362514166666646</v>
      </c>
      <c r="AH95" s="105">
        <f t="shared" si="146"/>
        <v>0.73014416666665483</v>
      </c>
      <c r="AI95" s="105">
        <f t="shared" si="146"/>
        <v>2.3874641666666427</v>
      </c>
      <c r="AJ95" s="105">
        <f t="shared" si="146"/>
        <v>-9.4950558333333213</v>
      </c>
      <c r="AK95" s="105">
        <f t="shared" si="146"/>
        <v>-12.683995833333325</v>
      </c>
      <c r="AL95" s="105">
        <f t="shared" si="146"/>
        <v>2.9951341666667055</v>
      </c>
      <c r="AM95" s="105">
        <f t="shared" si="146"/>
        <v>-6.0963958333333448</v>
      </c>
      <c r="AN95" s="105">
        <f t="shared" si="146"/>
        <v>16.395184166666613</v>
      </c>
      <c r="AO95" s="105">
        <f t="shared" si="146"/>
        <v>53.993614166666639</v>
      </c>
      <c r="AP95" s="105">
        <f t="shared" si="146"/>
        <v>-17.827795833333354</v>
      </c>
      <c r="AQ95" s="105">
        <f t="shared" si="146"/>
        <v>-10.915155833333355</v>
      </c>
      <c r="AR95" s="105">
        <f t="shared" si="146"/>
        <v>1.8522841666666663</v>
      </c>
      <c r="AS95" s="105">
        <f t="shared" si="146"/>
        <v>-5.7195858333332641</v>
      </c>
      <c r="AT95" s="106">
        <f t="shared" si="146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147">P95/P$24</f>
        <v>9.030730705740686E-2</v>
      </c>
      <c r="Q96" s="108">
        <f t="shared" si="147"/>
        <v>-1.9866401167341892E-3</v>
      </c>
      <c r="R96" s="108">
        <f t="shared" si="147"/>
        <v>-7.4200391658835962E-2</v>
      </c>
      <c r="S96" s="108">
        <f t="shared" si="147"/>
        <v>-0.17083061898369173</v>
      </c>
      <c r="T96" s="108">
        <f t="shared" si="147"/>
        <v>-0.25328404630722384</v>
      </c>
      <c r="U96" s="108">
        <f t="shared" si="147"/>
        <v>-0.10918588093898218</v>
      </c>
      <c r="V96" s="108">
        <f t="shared" si="147"/>
        <v>2.1209693225024542E-2</v>
      </c>
      <c r="W96" s="108">
        <f t="shared" si="147"/>
        <v>4.8474372919503003E-2</v>
      </c>
      <c r="X96" s="108">
        <f t="shared" si="147"/>
        <v>-8.7502035201143899E-2</v>
      </c>
      <c r="Y96" s="108">
        <f t="shared" si="147"/>
        <v>-0.12043113575189462</v>
      </c>
      <c r="Z96" s="108">
        <f t="shared" si="147"/>
        <v>-0.31407912712354963</v>
      </c>
      <c r="AA96" s="108">
        <f t="shared" si="147"/>
        <v>-0.24772378008069249</v>
      </c>
      <c r="AB96" s="108">
        <f t="shared" si="147"/>
        <v>1.0429215867343777E-3</v>
      </c>
      <c r="AC96" s="108">
        <f t="shared" si="147"/>
        <v>-0.11811892585388198</v>
      </c>
      <c r="AD96" s="108">
        <f t="shared" si="147"/>
        <v>5.4939896361694711E-2</v>
      </c>
      <c r="AE96" s="108">
        <f t="shared" si="147"/>
        <v>-9.0852887086604647E-2</v>
      </c>
      <c r="AF96" s="108">
        <f t="shared" si="147"/>
        <v>1.0834212642870877E-2</v>
      </c>
      <c r="AG96" s="108">
        <f t="shared" si="147"/>
        <v>8.0629463910499716E-2</v>
      </c>
      <c r="AH96" s="108">
        <f t="shared" si="147"/>
        <v>4.699063595038298E-3</v>
      </c>
      <c r="AI96" s="108">
        <f t="shared" si="147"/>
        <v>1.4933474620197061E-2</v>
      </c>
      <c r="AJ96" s="108">
        <f t="shared" si="147"/>
        <v>-5.7896960804465589E-2</v>
      </c>
      <c r="AK96" s="108">
        <f t="shared" si="147"/>
        <v>-7.0763756946015804E-2</v>
      </c>
      <c r="AL96" s="108">
        <f t="shared" si="147"/>
        <v>1.6484807119151169E-2</v>
      </c>
      <c r="AM96" s="108">
        <f t="shared" si="147"/>
        <v>-3.0992947494835076E-2</v>
      </c>
      <c r="AN96" s="108">
        <f t="shared" si="147"/>
        <v>7.7267982650441672E-2</v>
      </c>
      <c r="AO96" s="108">
        <f t="shared" si="147"/>
        <v>0.22320968245439077</v>
      </c>
      <c r="AP96" s="108">
        <f t="shared" si="147"/>
        <v>-7.7011464089163581E-2</v>
      </c>
      <c r="AQ96" s="108">
        <f t="shared" si="147"/>
        <v>-4.5419357130462024E-2</v>
      </c>
      <c r="AR96" s="108">
        <f t="shared" si="147"/>
        <v>7.5235289143985298E-3</v>
      </c>
      <c r="AS96" s="108">
        <f t="shared" si="147"/>
        <v>-2.3109503070648137E-2</v>
      </c>
      <c r="AT96" s="109">
        <f t="shared" si="147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 t="shared" ref="M99:M103" si="148">K99-J99</f>
        <v>-25.891874999999999</v>
      </c>
      <c r="N99" s="66">
        <f t="shared" ref="N99" si="149">IFERROR(K99/J99-1,0)</f>
        <v>0</v>
      </c>
      <c r="P99" s="83">
        <f t="shared" ref="P99:AT99" si="150">-P10</f>
        <v>-5.4649999999999999</v>
      </c>
      <c r="Q99" s="83">
        <f t="shared" si="150"/>
        <v>-3.9</v>
      </c>
      <c r="R99" s="83">
        <f t="shared" si="150"/>
        <v>-2.7549999999999999</v>
      </c>
      <c r="S99" s="83">
        <f t="shared" si="150"/>
        <v>-3.5019999999999998</v>
      </c>
      <c r="T99" s="83">
        <f t="shared" si="150"/>
        <v>-4.6589999999999998</v>
      </c>
      <c r="U99" s="83">
        <f t="shared" si="150"/>
        <v>-3.9369999999999998</v>
      </c>
      <c r="V99" s="83">
        <f t="shared" si="150"/>
        <v>-4.6020000000000003</v>
      </c>
      <c r="W99" s="83">
        <f t="shared" si="150"/>
        <v>-4.7380000000000004</v>
      </c>
      <c r="X99" s="83">
        <f t="shared" si="150"/>
        <v>-2.1190000000000002</v>
      </c>
      <c r="Y99" s="83">
        <f t="shared" si="150"/>
        <v>-2.0640000000000001</v>
      </c>
      <c r="Z99" s="83">
        <f t="shared" si="150"/>
        <v>-3.0125000000000002</v>
      </c>
      <c r="AA99" s="83">
        <f t="shared" si="150"/>
        <v>-3.3050000000000002</v>
      </c>
      <c r="AB99" s="83">
        <f t="shared" si="150"/>
        <v>-3.0790000000000002</v>
      </c>
      <c r="AC99" s="83">
        <f t="shared" si="150"/>
        <v>-0.7</v>
      </c>
      <c r="AD99" s="83">
        <f t="shared" si="150"/>
        <v>-10.438549999999999</v>
      </c>
      <c r="AE99" s="83">
        <f t="shared" si="150"/>
        <v>-4.3</v>
      </c>
      <c r="AF99" s="83">
        <f t="shared" si="150"/>
        <v>-11.14</v>
      </c>
      <c r="AG99" s="83">
        <f t="shared" si="150"/>
        <v>-6.1624999999999996</v>
      </c>
      <c r="AH99" s="83">
        <f t="shared" si="150"/>
        <v>-6.4340000000000002</v>
      </c>
      <c r="AI99" s="83">
        <f t="shared" si="150"/>
        <v>-3.9649999999999999</v>
      </c>
      <c r="AJ99" s="83">
        <f t="shared" si="150"/>
        <v>-3.92</v>
      </c>
      <c r="AK99" s="83">
        <f t="shared" si="150"/>
        <v>-9.1364999999999998</v>
      </c>
      <c r="AL99" s="83">
        <f t="shared" si="150"/>
        <v>-5.2537500000000001</v>
      </c>
      <c r="AM99" s="83">
        <f t="shared" si="150"/>
        <v>-9.99</v>
      </c>
      <c r="AN99" s="83">
        <f t="shared" si="150"/>
        <v>-10.2105</v>
      </c>
      <c r="AO99" s="83">
        <f t="shared" si="150"/>
        <v>-6.6749999999999998</v>
      </c>
      <c r="AP99" s="83">
        <f t="shared" si="150"/>
        <v>-9.0990000000000002</v>
      </c>
      <c r="AQ99" s="83">
        <f t="shared" si="150"/>
        <v>-8.9544999999999995</v>
      </c>
      <c r="AR99" s="83">
        <f t="shared" si="150"/>
        <v>-12.606</v>
      </c>
      <c r="AS99" s="83">
        <f t="shared" si="150"/>
        <v>-5.4115000000000002</v>
      </c>
      <c r="AT99" s="83">
        <f t="shared" si="1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 t="shared" si="148"/>
        <v>49.287359999999993</v>
      </c>
      <c r="N100" s="66">
        <f t="shared" ref="N100:N102" si="151">IFERROR(K100/J100-1,0)</f>
        <v>0</v>
      </c>
      <c r="P100" s="83">
        <f t="shared" ref="P100:AT100" si="152">+P34</f>
        <v>9.1372800000000005</v>
      </c>
      <c r="Q100" s="83">
        <f t="shared" si="152"/>
        <v>8.9629599999999989</v>
      </c>
      <c r="R100" s="83">
        <f t="shared" si="152"/>
        <v>10.19584</v>
      </c>
      <c r="S100" s="83">
        <f t="shared" si="152"/>
        <v>15.04429</v>
      </c>
      <c r="T100" s="83">
        <f t="shared" si="152"/>
        <v>16.637439999999998</v>
      </c>
      <c r="U100" s="83">
        <f t="shared" si="152"/>
        <v>7.4949899999999996</v>
      </c>
      <c r="V100" s="83">
        <f t="shared" si="152"/>
        <v>7.9820200000000003</v>
      </c>
      <c r="W100" s="83">
        <f t="shared" si="152"/>
        <v>5.9027399999999997</v>
      </c>
      <c r="X100" s="83">
        <f t="shared" si="152"/>
        <v>7.7676300000000005</v>
      </c>
      <c r="Y100" s="83">
        <f t="shared" si="152"/>
        <v>8.2141699999999993</v>
      </c>
      <c r="Z100" s="83">
        <f t="shared" si="152"/>
        <v>12.622719999999999</v>
      </c>
      <c r="AA100" s="83">
        <f t="shared" si="152"/>
        <v>12.85047</v>
      </c>
      <c r="AB100" s="83">
        <f t="shared" si="152"/>
        <v>10.345559999999999</v>
      </c>
      <c r="AC100" s="83">
        <f t="shared" si="152"/>
        <v>8.0879799999999999</v>
      </c>
      <c r="AD100" s="83">
        <f t="shared" si="152"/>
        <v>9.7528700000000015</v>
      </c>
      <c r="AE100" s="83">
        <f t="shared" si="152"/>
        <v>10.28</v>
      </c>
      <c r="AF100" s="83">
        <f t="shared" si="152"/>
        <v>11.13632</v>
      </c>
      <c r="AG100" s="83">
        <f t="shared" si="152"/>
        <v>10.874319999999999</v>
      </c>
      <c r="AH100" s="83">
        <f t="shared" si="152"/>
        <v>13.472569999999999</v>
      </c>
      <c r="AI100" s="83">
        <f t="shared" si="152"/>
        <v>12.70407</v>
      </c>
      <c r="AJ100" s="83">
        <f t="shared" si="152"/>
        <v>14.698840000000001</v>
      </c>
      <c r="AK100" s="83">
        <f t="shared" si="152"/>
        <v>15.543059999999999</v>
      </c>
      <c r="AL100" s="83">
        <f t="shared" si="152"/>
        <v>14.34361</v>
      </c>
      <c r="AM100" s="83">
        <f t="shared" si="152"/>
        <v>20.930520000000001</v>
      </c>
      <c r="AN100" s="83">
        <f t="shared" si="152"/>
        <v>16.553939999999997</v>
      </c>
      <c r="AO100" s="83">
        <f t="shared" si="152"/>
        <v>11.52661</v>
      </c>
      <c r="AP100" s="83">
        <f t="shared" si="152"/>
        <v>14.938829999999999</v>
      </c>
      <c r="AQ100" s="83">
        <f t="shared" si="152"/>
        <v>15.58352</v>
      </c>
      <c r="AR100" s="83">
        <f t="shared" si="152"/>
        <v>19.603400000000001</v>
      </c>
      <c r="AS100" s="83">
        <f t="shared" si="152"/>
        <v>16.644569999999998</v>
      </c>
      <c r="AT100" s="83">
        <f t="shared" si="152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 t="shared" ref="M101" si="153">K101-J101</f>
        <v>220.13062500000001</v>
      </c>
      <c r="N101" s="66">
        <f t="shared" ref="N101" si="154">IFERROR(K101/J101-1,0)</f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 t="shared" si="148"/>
        <v>143.23972444444445</v>
      </c>
      <c r="N102" s="66">
        <f t="shared" si="151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 t="shared" si="148"/>
        <v>28.2</v>
      </c>
      <c r="N103" s="66">
        <f t="shared" ref="N103" si="155">IFERROR(K103/J103-1,0)</f>
        <v>0</v>
      </c>
      <c r="P103" s="83">
        <f t="shared" ref="P103:AT103" si="156">+P36</f>
        <v>0</v>
      </c>
      <c r="Q103" s="83">
        <f t="shared" si="156"/>
        <v>0</v>
      </c>
      <c r="R103" s="83">
        <f t="shared" si="156"/>
        <v>0</v>
      </c>
      <c r="S103" s="83">
        <f t="shared" si="156"/>
        <v>0</v>
      </c>
      <c r="T103" s="83">
        <f t="shared" si="156"/>
        <v>0</v>
      </c>
      <c r="U103" s="83">
        <f t="shared" si="156"/>
        <v>0</v>
      </c>
      <c r="V103" s="83">
        <f t="shared" si="156"/>
        <v>0</v>
      </c>
      <c r="W103" s="83">
        <f t="shared" si="156"/>
        <v>0</v>
      </c>
      <c r="X103" s="83">
        <f t="shared" si="156"/>
        <v>0</v>
      </c>
      <c r="Y103" s="83">
        <f t="shared" si="156"/>
        <v>0</v>
      </c>
      <c r="Z103" s="83">
        <f t="shared" si="156"/>
        <v>0</v>
      </c>
      <c r="AA103" s="83">
        <f t="shared" si="156"/>
        <v>0</v>
      </c>
      <c r="AB103" s="83">
        <f t="shared" si="156"/>
        <v>0</v>
      </c>
      <c r="AC103" s="83">
        <f t="shared" si="156"/>
        <v>0</v>
      </c>
      <c r="AD103" s="83">
        <f t="shared" si="156"/>
        <v>0</v>
      </c>
      <c r="AE103" s="83">
        <f t="shared" si="156"/>
        <v>0</v>
      </c>
      <c r="AF103" s="83">
        <f t="shared" si="156"/>
        <v>0</v>
      </c>
      <c r="AG103" s="83">
        <f t="shared" si="156"/>
        <v>1.4667999999999999</v>
      </c>
      <c r="AH103" s="83">
        <f t="shared" si="156"/>
        <v>1.6326500000000002</v>
      </c>
      <c r="AI103" s="83">
        <f t="shared" si="156"/>
        <v>1.7180499999999999</v>
      </c>
      <c r="AJ103" s="83">
        <f t="shared" si="156"/>
        <v>1.9145999999999999</v>
      </c>
      <c r="AK103" s="83">
        <f t="shared" si="156"/>
        <v>2.3529</v>
      </c>
      <c r="AL103" s="83">
        <f t="shared" si="156"/>
        <v>2.2452399999999999</v>
      </c>
      <c r="AM103" s="83">
        <f t="shared" si="156"/>
        <v>7.8193900000000003</v>
      </c>
      <c r="AN103" s="83">
        <f t="shared" si="156"/>
        <v>5.6533999999999995</v>
      </c>
      <c r="AO103" s="83">
        <f t="shared" si="156"/>
        <v>5.9568900000000005</v>
      </c>
      <c r="AP103" s="83">
        <f t="shared" si="156"/>
        <v>7.7827999999999999</v>
      </c>
      <c r="AQ103" s="83">
        <f t="shared" si="156"/>
        <v>8.1370100000000001</v>
      </c>
      <c r="AR103" s="83">
        <f t="shared" si="156"/>
        <v>7.8082500000000001</v>
      </c>
      <c r="AS103" s="83">
        <f t="shared" si="156"/>
        <v>8.4072000000000013</v>
      </c>
      <c r="AT103" s="83">
        <f t="shared" si="156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ref="N104" si="157">IFERROR(K104/J104-1,0)</f>
        <v>0</v>
      </c>
      <c r="P104" s="59">
        <f t="shared" ref="P104:AT104" si="158">SUM(P99:P103)</f>
        <v>3.6722800000000007</v>
      </c>
      <c r="Q104" s="59">
        <f t="shared" si="158"/>
        <v>5.0629599999999986</v>
      </c>
      <c r="R104" s="59">
        <f t="shared" si="158"/>
        <v>7.4408400000000006</v>
      </c>
      <c r="S104" s="59">
        <f t="shared" si="158"/>
        <v>11.542290000000001</v>
      </c>
      <c r="T104" s="59">
        <f t="shared" si="158"/>
        <v>11.978439999999999</v>
      </c>
      <c r="U104" s="59">
        <f t="shared" si="158"/>
        <v>3.5579899999999998</v>
      </c>
      <c r="V104" s="59">
        <f t="shared" si="158"/>
        <v>3.38002</v>
      </c>
      <c r="W104" s="59">
        <f t="shared" si="158"/>
        <v>1.1647399999999992</v>
      </c>
      <c r="X104" s="59">
        <f t="shared" si="158"/>
        <v>5.6486300000000007</v>
      </c>
      <c r="Y104" s="59">
        <f t="shared" si="158"/>
        <v>6.1501699999999992</v>
      </c>
      <c r="Z104" s="59">
        <f t="shared" si="158"/>
        <v>9.6102199999999982</v>
      </c>
      <c r="AA104" s="59">
        <f t="shared" si="158"/>
        <v>9.5454699999999999</v>
      </c>
      <c r="AB104" s="59">
        <f t="shared" si="158"/>
        <v>7.2665599999999984</v>
      </c>
      <c r="AC104" s="59">
        <f t="shared" si="158"/>
        <v>7.3879799999999998</v>
      </c>
      <c r="AD104" s="59">
        <f t="shared" si="158"/>
        <v>-0.68567999999999785</v>
      </c>
      <c r="AE104" s="59">
        <f t="shared" si="158"/>
        <v>5.9799999999999995</v>
      </c>
      <c r="AF104" s="59">
        <f t="shared" si="158"/>
        <v>-3.6800000000010158E-3</v>
      </c>
      <c r="AG104" s="59">
        <f t="shared" si="158"/>
        <v>6.1786199999999996</v>
      </c>
      <c r="AH104" s="59">
        <f t="shared" si="158"/>
        <v>8.6712199999999999</v>
      </c>
      <c r="AI104" s="59">
        <f t="shared" si="158"/>
        <v>10.45712</v>
      </c>
      <c r="AJ104" s="59">
        <f t="shared" si="158"/>
        <v>12.693440000000001</v>
      </c>
      <c r="AK104" s="59">
        <f t="shared" si="158"/>
        <v>8.7594599999999989</v>
      </c>
      <c r="AL104" s="59">
        <f t="shared" si="158"/>
        <v>11.335100000000001</v>
      </c>
      <c r="AM104" s="59">
        <f t="shared" si="158"/>
        <v>18.759910000000001</v>
      </c>
      <c r="AN104" s="59">
        <f t="shared" si="158"/>
        <v>11.996839999999997</v>
      </c>
      <c r="AO104" s="59">
        <f t="shared" si="158"/>
        <v>10.8085</v>
      </c>
      <c r="AP104" s="59">
        <f t="shared" si="158"/>
        <v>13.622629999999999</v>
      </c>
      <c r="AQ104" s="59">
        <f t="shared" si="158"/>
        <v>14.766030000000001</v>
      </c>
      <c r="AR104" s="59">
        <f t="shared" si="158"/>
        <v>14.80565</v>
      </c>
      <c r="AS104" s="59">
        <f t="shared" si="158"/>
        <v>19.640270000000001</v>
      </c>
      <c r="AT104" s="59">
        <f t="shared" si="158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 t="shared" ref="N106" si="159">IFERROR(K106/J106-1,0)</f>
        <v>5.2502425360671952</v>
      </c>
      <c r="P106" s="110">
        <f t="shared" ref="P106:AT106" si="160">+P95+P104</f>
        <v>10.979324166666668</v>
      </c>
      <c r="Q106" s="105">
        <f t="shared" si="160"/>
        <v>4.9015341666666803</v>
      </c>
      <c r="R106" s="105">
        <f t="shared" si="160"/>
        <v>1.6448841666666736</v>
      </c>
      <c r="S106" s="105">
        <f t="shared" si="160"/>
        <v>-2.6970058333333498</v>
      </c>
      <c r="T106" s="105">
        <f t="shared" si="160"/>
        <v>-10.866805833333313</v>
      </c>
      <c r="U106" s="105">
        <f t="shared" si="160"/>
        <v>-6.259545833333334</v>
      </c>
      <c r="V106" s="105">
        <f t="shared" si="160"/>
        <v>5.6002941666666803</v>
      </c>
      <c r="W106" s="105">
        <f t="shared" si="160"/>
        <v>6.2117341666666634</v>
      </c>
      <c r="X106" s="105">
        <f t="shared" si="160"/>
        <v>-2.9591858333333274</v>
      </c>
      <c r="Y106" s="105">
        <f t="shared" si="160"/>
        <v>-5.7796058333333526</v>
      </c>
      <c r="Z106" s="105">
        <f t="shared" si="160"/>
        <v>-24.69893583333333</v>
      </c>
      <c r="AA106" s="105">
        <f t="shared" si="160"/>
        <v>-19.129015833333312</v>
      </c>
      <c r="AB106" s="105">
        <f t="shared" si="160"/>
        <v>7.4111741666666333</v>
      </c>
      <c r="AC106" s="105">
        <f t="shared" si="160"/>
        <v>-7.7079258333333369</v>
      </c>
      <c r="AD106" s="105">
        <f t="shared" si="160"/>
        <v>6.7133741666666733</v>
      </c>
      <c r="AE106" s="105">
        <f t="shared" si="160"/>
        <v>-6.3737758333333199</v>
      </c>
      <c r="AF106" s="105">
        <f t="shared" si="160"/>
        <v>1.6436741666666759</v>
      </c>
      <c r="AG106" s="105">
        <f t="shared" si="160"/>
        <v>18.541134166666644</v>
      </c>
      <c r="AH106" s="105">
        <f t="shared" si="160"/>
        <v>9.4013641666666548</v>
      </c>
      <c r="AI106" s="105">
        <f t="shared" si="160"/>
        <v>12.844584166666642</v>
      </c>
      <c r="AJ106" s="105">
        <f t="shared" si="160"/>
        <v>3.1983841666666795</v>
      </c>
      <c r="AK106" s="105">
        <f t="shared" si="160"/>
        <v>-3.9245358333333265</v>
      </c>
      <c r="AL106" s="105">
        <f t="shared" si="160"/>
        <v>14.330234166666706</v>
      </c>
      <c r="AM106" s="105">
        <f t="shared" si="160"/>
        <v>12.663514166666657</v>
      </c>
      <c r="AN106" s="105">
        <f t="shared" si="160"/>
        <v>28.392024166666609</v>
      </c>
      <c r="AO106" s="105">
        <f t="shared" si="160"/>
        <v>64.802114166666641</v>
      </c>
      <c r="AP106" s="105">
        <f t="shared" si="160"/>
        <v>-4.2051658333333553</v>
      </c>
      <c r="AQ106" s="105">
        <f t="shared" si="160"/>
        <v>3.8508741666666459</v>
      </c>
      <c r="AR106" s="105">
        <f t="shared" si="160"/>
        <v>16.657934166666667</v>
      </c>
      <c r="AS106" s="105">
        <f t="shared" si="160"/>
        <v>13.920684166666737</v>
      </c>
      <c r="AT106" s="106">
        <f t="shared" si="160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" si="161">P106/P$24</f>
        <v>0.13569278851838168</v>
      </c>
      <c r="Q107" s="108">
        <f t="shared" ref="Q107" si="162">Q106/Q$24</f>
        <v>6.0322342514638111E-2</v>
      </c>
      <c r="R107" s="108">
        <f t="shared" ref="R107" si="163">R106/R$24</f>
        <v>2.1057967470723825E-2</v>
      </c>
      <c r="S107" s="108">
        <f t="shared" ref="S107" si="164">S106/S$24</f>
        <v>-3.2356317426344851E-2</v>
      </c>
      <c r="T107" s="108">
        <f t="shared" ref="T107" si="165">T106/T$24</f>
        <v>-0.12047970820631825</v>
      </c>
      <c r="U107" s="108">
        <f t="shared" ref="U107" si="166">U106/U$24</f>
        <v>-6.96156385566645E-2</v>
      </c>
      <c r="V107" s="108">
        <f t="shared" ref="V107" si="167">V106/V$24</f>
        <v>5.3498132360482814E-2</v>
      </c>
      <c r="W107" s="108">
        <f t="shared" ref="W107" si="168">W106/W$24</f>
        <v>5.966123766508908E-2</v>
      </c>
      <c r="X107" s="108">
        <f t="shared" ref="X107" si="169">X106/X$24</f>
        <v>-3.0081357218674151E-2</v>
      </c>
      <c r="Y107" s="108">
        <f t="shared" ref="Y107" si="170">Y106/Y$24</f>
        <v>-5.834514448811115E-2</v>
      </c>
      <c r="Z107" s="108">
        <f t="shared" ref="Z107" si="171">Z106/Z$24</f>
        <v>-0.2261034997508482</v>
      </c>
      <c r="AA107" s="108">
        <f t="shared" ref="AA107" si="172">AA106/AA$24</f>
        <v>-0.16525883459601992</v>
      </c>
      <c r="AB107" s="108">
        <f t="shared" ref="AB107" si="173">AB106/AB$24</f>
        <v>5.3447554272344149E-2</v>
      </c>
      <c r="AC107" s="108">
        <f t="shared" ref="AC107" si="174">AC106/AC$24</f>
        <v>-6.0311181723480878E-2</v>
      </c>
      <c r="AD107" s="108">
        <f t="shared" ref="AD107" si="175">AD106/AD$24</f>
        <v>4.9848544509318984E-2</v>
      </c>
      <c r="AE107" s="108">
        <f t="shared" ref="AE107" si="176">AE106/AE$24</f>
        <v>-4.6874408594875253E-2</v>
      </c>
      <c r="AF107" s="108">
        <f t="shared" ref="AF107" si="177">AF106/AF$24</f>
        <v>1.0810010256199862E-2</v>
      </c>
      <c r="AG107" s="108">
        <f t="shared" ref="AG107" si="178">AG106/AG$24</f>
        <v>0.12092699656368312</v>
      </c>
      <c r="AH107" s="108">
        <f t="shared" ref="AH107" si="179">AH106/AH$24</f>
        <v>6.0505322258432838E-2</v>
      </c>
      <c r="AI107" s="108">
        <f t="shared" ref="AI107" si="180">AI106/AI$24</f>
        <v>8.0342262027626898E-2</v>
      </c>
      <c r="AJ107" s="108">
        <f t="shared" ref="AJ107" si="181">AJ106/AJ$24</f>
        <v>1.9502436424338139E-2</v>
      </c>
      <c r="AK107" s="108">
        <f t="shared" ref="AK107" si="182">AK106/AK$24</f>
        <v>-2.1894906264956274E-2</v>
      </c>
      <c r="AL107" s="108">
        <f t="shared" ref="AL107" si="183">AL106/AL$24</f>
        <v>7.88716408229128E-2</v>
      </c>
      <c r="AM107" s="108">
        <f t="shared" ref="AM107" si="184">AM106/AM$24</f>
        <v>6.4378961011952951E-2</v>
      </c>
      <c r="AN107" s="108">
        <f t="shared" ref="AN107" si="185">AN106/AN$24</f>
        <v>0.13380724537277019</v>
      </c>
      <c r="AO107" s="108">
        <f t="shared" ref="AO107" si="186">AO106/AO$24</f>
        <v>0.26789203776702503</v>
      </c>
      <c r="AP107" s="108">
        <f t="shared" ref="AP107" si="187">AP106/AP$24</f>
        <v>-1.8165228084855076E-2</v>
      </c>
      <c r="AQ107" s="108">
        <f t="shared" ref="AQ107" si="188">AQ106/AQ$24</f>
        <v>1.6023979108586776E-2</v>
      </c>
      <c r="AR107" s="108">
        <f t="shared" ref="AR107" si="189">AR106/AR$24</f>
        <v>6.7660487312051501E-2</v>
      </c>
      <c r="AS107" s="108">
        <f t="shared" ref="AS107" si="190">AS106/AS$24</f>
        <v>5.6245347629939706E-2</v>
      </c>
      <c r="AT107" s="109">
        <f t="shared" ref="AT107" si="191">AT106/AT$24</f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192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192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193">+B50</f>
        <v>Travel, Meals &amp; Entertainment</v>
      </c>
      <c r="C150" s="83">
        <f t="shared" si="192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93"/>
        <v>Payment Collection Fees</v>
      </c>
      <c r="C151" s="83">
        <f t="shared" si="192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3"/>
        <v>Professional Organizations</v>
      </c>
      <c r="C152" s="83">
        <f t="shared" si="192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3"/>
        <v>S&amp;M Events</v>
      </c>
      <c r="C153" s="83">
        <f t="shared" si="192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3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3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194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4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4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4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194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194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6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6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6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6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6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6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6" priority="1">
      <formula>$K$3=1</formula>
    </cfRule>
  </conditionalFormatting>
  <conditionalFormatting sqref="A15:XFD24 A25:B25 D25:XFD25 A26:XFD26">
    <cfRule type="expression" dxfId="75" priority="11">
      <formula>$K$3=1</formula>
    </cfRule>
  </conditionalFormatting>
  <conditionalFormatting sqref="B11:D11">
    <cfRule type="expression" dxfId="74" priority="2">
      <formula>$K$3=1</formula>
    </cfRule>
  </conditionalFormatting>
  <conditionalFormatting sqref="B14:D14">
    <cfRule type="expression" dxfId="73" priority="8">
      <formula>$V$3=1</formula>
    </cfRule>
  </conditionalFormatting>
  <conditionalFormatting sqref="B6:F6">
    <cfRule type="expression" dxfId="72" priority="7">
      <formula>$V$3=1</formula>
    </cfRule>
  </conditionalFormatting>
  <conditionalFormatting sqref="C7:C10">
    <cfRule type="expression" dxfId="71" priority="4">
      <formula>$V$3=1</formula>
    </cfRule>
  </conditionalFormatting>
  <conditionalFormatting sqref="C15 B15:B27 D15:D27 K15:K27 C25:C27 A36:A47 E36:XFD47">
    <cfRule type="expression" dxfId="70" priority="18">
      <formula>$K$3=1</formula>
    </cfRule>
  </conditionalFormatting>
  <conditionalFormatting sqref="C15:C25">
    <cfRule type="expression" dxfId="69" priority="10">
      <formula>$V$3=1</formula>
    </cfRule>
  </conditionalFormatting>
  <conditionalFormatting sqref="C27">
    <cfRule type="expression" dxfId="68" priority="20">
      <formula>$V$3=1</formula>
    </cfRule>
  </conditionalFormatting>
  <conditionalFormatting sqref="C7:D10">
    <cfRule type="expression" dxfId="67" priority="5">
      <formula>$K$3=1</formula>
    </cfRule>
  </conditionalFormatting>
  <conditionalFormatting sqref="C11:D11">
    <cfRule type="expression" dxfId="66" priority="3">
      <formula>$V$3=1</formula>
    </cfRule>
  </conditionalFormatting>
  <conditionalFormatting sqref="K15:K27">
    <cfRule type="expression" dxfId="65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974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974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974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974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974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974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974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4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2094.12662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0.227210498524379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1.9409439327930222E-2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974</v>
      </c>
      <c r="D31" s="66">
        <f t="shared" ref="D31:E40" si="27">IFERROR(D8/C8-1,0)</f>
        <v>1.4811221920324669</v>
      </c>
      <c r="E31" s="66">
        <f t="shared" si="27"/>
        <v>0.35658009443613392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974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974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974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974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974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974</v>
      </c>
      <c r="D37" s="66">
        <f t="shared" si="27"/>
        <v>2.7281567592857328</v>
      </c>
      <c r="E37" s="66">
        <f t="shared" si="27"/>
        <v>1.4408257492372512E-2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974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974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983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0.1956861817079365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974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974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986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3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zoomScale="115" zoomScaleNormal="115" workbookViewId="0">
      <selection activeCell="C15" sqref="C15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</row>
    <row r="2" spans="1:18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</row>
    <row r="3" spans="1:18">
      <c r="A3" s="417"/>
      <c r="B3" s="415" t="s">
        <v>1943</v>
      </c>
      <c r="C3" s="417"/>
      <c r="D3" s="417"/>
      <c r="E3" s="417"/>
      <c r="F3" s="417"/>
      <c r="G3" s="417"/>
      <c r="H3" s="417"/>
      <c r="I3" s="417"/>
      <c r="J3" s="417"/>
      <c r="K3" s="417"/>
      <c r="L3" s="417" t="s">
        <v>276</v>
      </c>
      <c r="M3" s="446">
        <v>1</v>
      </c>
      <c r="N3" s="417"/>
      <c r="O3" s="417"/>
      <c r="P3" s="417"/>
      <c r="Q3" s="417"/>
      <c r="R3" s="417"/>
    </row>
    <row r="4" spans="1:18">
      <c r="A4" s="417"/>
      <c r="B4" s="450"/>
      <c r="C4" s="450"/>
      <c r="D4" s="450"/>
      <c r="E4" s="450"/>
      <c r="F4" s="450"/>
      <c r="G4" s="450"/>
      <c r="H4" s="450"/>
      <c r="I4" s="450"/>
      <c r="J4" s="450"/>
      <c r="K4" s="417"/>
      <c r="L4" s="417"/>
      <c r="M4" s="417"/>
      <c r="N4" s="417"/>
      <c r="O4" s="417"/>
      <c r="P4" s="417"/>
      <c r="Q4" s="417"/>
      <c r="R4" s="417"/>
    </row>
    <row r="5" spans="1:18" ht="33.950000000000003" customHeight="1">
      <c r="A5" s="417"/>
      <c r="B5" s="447" t="s">
        <v>1296</v>
      </c>
      <c r="C5" s="448" t="s">
        <v>1944</v>
      </c>
      <c r="D5" s="448" t="s">
        <v>1945</v>
      </c>
      <c r="E5" s="448" t="s">
        <v>1946</v>
      </c>
      <c r="F5" s="448" t="s">
        <v>1947</v>
      </c>
      <c r="G5" s="448" t="s">
        <v>1948</v>
      </c>
      <c r="H5" s="448" t="s">
        <v>1949</v>
      </c>
      <c r="I5" s="448" t="s">
        <v>1950</v>
      </c>
      <c r="J5" s="448" t="s">
        <v>1951</v>
      </c>
      <c r="K5" s="436"/>
      <c r="L5" s="436"/>
      <c r="M5" s="436"/>
      <c r="N5" s="436"/>
      <c r="O5" s="436"/>
      <c r="P5" s="436"/>
      <c r="Q5" s="436"/>
      <c r="R5" s="436"/>
    </row>
    <row r="6" spans="1:18" ht="12.95" customHeight="1">
      <c r="A6" s="417"/>
      <c r="B6" s="416" t="s">
        <v>467</v>
      </c>
      <c r="C6" s="437"/>
      <c r="D6" s="437"/>
      <c r="E6" s="437"/>
      <c r="F6" s="437"/>
      <c r="G6" s="437"/>
      <c r="H6" s="437"/>
      <c r="I6" s="437"/>
      <c r="J6" s="437"/>
      <c r="K6" s="436"/>
      <c r="L6" s="436"/>
      <c r="M6" s="436"/>
      <c r="N6" s="436"/>
      <c r="O6" s="436"/>
      <c r="P6" s="427" t="s">
        <v>1970</v>
      </c>
      <c r="Q6" s="427" t="s">
        <v>1971</v>
      </c>
      <c r="R6" s="436"/>
    </row>
    <row r="7" spans="1:18" ht="12.95" customHeight="1">
      <c r="A7" s="417"/>
      <c r="B7" s="417" t="s">
        <v>1300</v>
      </c>
      <c r="C7" s="430">
        <f>COUNTIFS('Full Customer List'!$C$7:$C$320,$C$34,'Full Customer List'!$E$7:$E$320,$B7)</f>
        <v>147</v>
      </c>
      <c r="D7" s="430">
        <f>SUMIFS('Full Customer List'!$F$7:$F$320,'Full Customer List'!$C$7:$C$320,$C$34,'Full Customer List'!$E$7:$E$320,$B7)</f>
        <v>3751</v>
      </c>
      <c r="E7" s="431">
        <f>SUMIFS('Full Customer List'!$G$7:$G$320,'Full Customer List'!$C$7:$C$320,$C$34,'Full Customer List'!$E$7:$E$320,$B7)</f>
        <v>233614.39333333328</v>
      </c>
      <c r="F7" s="431">
        <f>$E7*12</f>
        <v>2803372.7199999993</v>
      </c>
      <c r="G7" s="431">
        <f>IFERROR($E7/$C7,0)</f>
        <v>1589.2135600907027</v>
      </c>
      <c r="H7" s="431">
        <f>IFERROR($Q7/$D7,0)</f>
        <v>60.980110192837451</v>
      </c>
      <c r="I7" s="434">
        <f>IFERROR($D7/$P7,0)</f>
        <v>26.048611111111111</v>
      </c>
      <c r="J7" s="439">
        <f>IFERROR($E7/$E$11,0)</f>
        <v>0.90649998959425915</v>
      </c>
      <c r="K7" s="436"/>
      <c r="L7" s="436"/>
      <c r="M7" s="436"/>
      <c r="N7" s="436"/>
      <c r="O7" s="436"/>
      <c r="P7" s="428">
        <f>COUNTIFS('Full Customer List'!$C$7:$C$320,$C$34,'Full Customer List'!$E$7:$E$320,$B7,'Full Customer List'!$F$7:$F$320,"&gt;"&amp;$C$37)</f>
        <v>144</v>
      </c>
      <c r="Q7" s="428">
        <f>SUMIFS('Full Customer List'!$G$7:$G$320,'Full Customer List'!$C$7:$C$320,$C$34,'Full Customer List'!$E$7:$E$320,$B7,'Full Customer List'!$F$7:$F$320,"&gt;"&amp;$C$37)</f>
        <v>228736.39333333328</v>
      </c>
      <c r="R7" s="436"/>
    </row>
    <row r="8" spans="1:18" ht="12.95" customHeight="1">
      <c r="A8" s="417"/>
      <c r="B8" s="417" t="s">
        <v>1178</v>
      </c>
      <c r="C8" s="430">
        <f>COUNTIFS('Full Customer List'!$C$7:$C$320,$C$34,'Full Customer List'!$E$7:$E$320,$B8)</f>
        <v>30</v>
      </c>
      <c r="D8" s="430">
        <f>SUMIFS('Full Customer List'!$F$7:$F$320,'Full Customer List'!$C$7:$C$320,$C$34,'Full Customer List'!$E$7:$E$320,$B8)</f>
        <v>49</v>
      </c>
      <c r="E8" s="430">
        <f>SUMIFS('Full Customer List'!$G$7:$G$320,'Full Customer List'!$C$7:$C$320,$C$34,'Full Customer List'!$E$7:$E$320,$B8)</f>
        <v>13297.333333333332</v>
      </c>
      <c r="F8" s="430">
        <f t="shared" ref="F8:F10" si="0">$E8*12</f>
        <v>159568</v>
      </c>
      <c r="G8" s="430">
        <f t="shared" ref="G8:G10" si="1">IFERROR($E8/$C8,0)</f>
        <v>443.24444444444441</v>
      </c>
      <c r="H8" s="430">
        <f t="shared" ref="H8:H10" si="2">IFERROR($Q8/$D8,0)</f>
        <v>57.217687074829932</v>
      </c>
      <c r="I8" s="434">
        <f t="shared" ref="I8:I10" si="3">IFERROR($D8/$P8,0)</f>
        <v>8.1666666666666661</v>
      </c>
      <c r="J8" s="439">
        <f t="shared" ref="J8:J10" si="4">IFERROR($E8/$E$11,0)</f>
        <v>5.1597987419802233E-2</v>
      </c>
      <c r="K8" s="436"/>
      <c r="L8" s="436"/>
      <c r="M8" s="436"/>
      <c r="N8" s="436"/>
      <c r="O8" s="436"/>
      <c r="P8" s="428">
        <f>COUNTIFS('Full Customer List'!$C$7:$C$320,$C$34,'Full Customer List'!$E$7:$E$320,$B8,'Full Customer List'!$F$7:$F$320,"&gt;"&amp;$C$37)</f>
        <v>6</v>
      </c>
      <c r="Q8" s="428">
        <f>SUMIFS('Full Customer List'!$G$7:$G$320,'Full Customer List'!$C$7:$C$320,$C$34,'Full Customer List'!$E$7:$E$320,$B8,'Full Customer List'!$F$7:$F$320,"&gt;"&amp;$C$37)</f>
        <v>2803.6666666666665</v>
      </c>
      <c r="R8" s="436"/>
    </row>
    <row r="9" spans="1:18" ht="12.95" customHeight="1">
      <c r="A9" s="417"/>
      <c r="B9" s="417" t="s">
        <v>1303</v>
      </c>
      <c r="C9" s="430">
        <f>COUNTIFS('Full Customer List'!$C$7:$C$320,$C$34,'Full Customer List'!$E$7:$E$320,$B9)</f>
        <v>11</v>
      </c>
      <c r="D9" s="430">
        <f>SUMIFS('Full Customer List'!$F$7:$F$320,'Full Customer List'!$C$7:$C$320,$C$34,'Full Customer List'!$E$7:$E$320,$B9)</f>
        <v>0</v>
      </c>
      <c r="E9" s="430">
        <f>SUMIFS('Full Customer List'!$G$7:$G$320,'Full Customer List'!$C$7:$C$320,$C$34,'Full Customer List'!$E$7:$E$320,$B9)</f>
        <v>9448.5833333333339</v>
      </c>
      <c r="F9" s="430">
        <f t="shared" si="0"/>
        <v>113383</v>
      </c>
      <c r="G9" s="430">
        <f t="shared" si="1"/>
        <v>858.96212121212125</v>
      </c>
      <c r="H9" s="430">
        <f t="shared" si="2"/>
        <v>0</v>
      </c>
      <c r="I9" s="434">
        <f t="shared" si="3"/>
        <v>0</v>
      </c>
      <c r="J9" s="439">
        <f t="shared" si="4"/>
        <v>3.6663582971644924E-2</v>
      </c>
      <c r="K9" s="436"/>
      <c r="L9" s="436"/>
      <c r="M9" s="436"/>
      <c r="N9" s="436"/>
      <c r="O9" s="436"/>
      <c r="P9" s="428">
        <f>COUNTIFS('Full Customer List'!$C$7:$C$320,$C$34,'Full Customer List'!$E$7:$E$320,$B9,'Full Customer List'!$F$7:$F$320,"&gt;"&amp;$C$37)</f>
        <v>0</v>
      </c>
      <c r="Q9" s="428">
        <f>SUMIFS('Full Customer List'!$G$7:$G$320,'Full Customer List'!$C$7:$C$320,$C$34,'Full Customer List'!$E$7:$E$320,$B9,'Full Customer List'!$F$7:$F$320,"&gt;"&amp;$C$37)</f>
        <v>0</v>
      </c>
      <c r="R9" s="436"/>
    </row>
    <row r="10" spans="1:18" ht="12.95" customHeight="1">
      <c r="A10" s="417"/>
      <c r="B10" s="417" t="s">
        <v>1301</v>
      </c>
      <c r="C10" s="430">
        <f>COUNTIFS('Full Customer List'!$C$7:$C$320,$C$34,'Full Customer List'!$E$7:$E$320,$B10)</f>
        <v>2</v>
      </c>
      <c r="D10" s="430">
        <f>SUMIFS('Full Customer List'!$F$7:$F$320,'Full Customer List'!$C$7:$C$320,$C$34,'Full Customer List'!$E$7:$E$320,$B10)</f>
        <v>0</v>
      </c>
      <c r="E10" s="430">
        <f>SUMIFS('Full Customer List'!$G$7:$G$320,'Full Customer List'!$C$7:$C$320,$C$34,'Full Customer List'!$E$7:$E$320,$B10)</f>
        <v>1350</v>
      </c>
      <c r="F10" s="430">
        <f t="shared" si="0"/>
        <v>16200</v>
      </c>
      <c r="G10" s="430">
        <f t="shared" si="1"/>
        <v>675</v>
      </c>
      <c r="H10" s="430">
        <f t="shared" si="2"/>
        <v>0</v>
      </c>
      <c r="I10" s="434">
        <f t="shared" si="3"/>
        <v>0</v>
      </c>
      <c r="J10" s="439">
        <f t="shared" si="4"/>
        <v>5.2384400142935694E-3</v>
      </c>
      <c r="K10" s="436"/>
      <c r="L10" s="436"/>
      <c r="M10" s="436"/>
      <c r="N10" s="436"/>
      <c r="O10" s="436"/>
      <c r="P10" s="428">
        <f>COUNTIFS('Full Customer List'!$C$7:$C$320,$C$34,'Full Customer List'!$E$7:$E$320,$B10,'Full Customer List'!$F$7:$F$320,"&gt;"&amp;$C$37)</f>
        <v>0</v>
      </c>
      <c r="Q10" s="428">
        <f>SUMIFS('Full Customer List'!$G$7:$G$320,'Full Customer List'!$C$7:$C$320,$C$34,'Full Customer List'!$E$7:$E$320,$B10,'Full Customer List'!$F$7:$F$320,"&gt;"&amp;$C$37)</f>
        <v>0</v>
      </c>
      <c r="R10" s="436"/>
    </row>
    <row r="11" spans="1:18" ht="12.95" customHeight="1">
      <c r="A11" s="417"/>
      <c r="B11" s="438" t="s">
        <v>1871</v>
      </c>
      <c r="C11" s="440">
        <f>SUM(C7:C10)</f>
        <v>190</v>
      </c>
      <c r="D11" s="440">
        <f>SUM(D7:D10)</f>
        <v>3800</v>
      </c>
      <c r="E11" s="441">
        <f>SUM(E7:E10)</f>
        <v>257710.30999999997</v>
      </c>
      <c r="F11" s="441">
        <f>$E11*12</f>
        <v>3092523.7199999997</v>
      </c>
      <c r="G11" s="441">
        <f>IFERROR($E11/$C11,0)</f>
        <v>1356.3700526315788</v>
      </c>
      <c r="H11" s="441">
        <f>IFERROR($Q11/$D11,0)</f>
        <v>60.931594736842086</v>
      </c>
      <c r="I11" s="442">
        <f>IFERROR($D11/$P11,0)</f>
        <v>25.333333333333332</v>
      </c>
      <c r="J11" s="443">
        <f>SUM(J7:J10)</f>
        <v>0.99999999999999989</v>
      </c>
      <c r="K11" s="436"/>
      <c r="L11" s="436"/>
      <c r="M11" s="436"/>
      <c r="N11" s="436"/>
      <c r="O11" s="436"/>
      <c r="P11" s="428">
        <f>SUM(P7:P10)</f>
        <v>150</v>
      </c>
      <c r="Q11" s="428">
        <f>SUM(Q7:Q10)</f>
        <v>231540.05999999994</v>
      </c>
      <c r="R11" s="436"/>
    </row>
    <row r="12" spans="1:18" ht="12.95" customHeight="1">
      <c r="A12" s="417"/>
      <c r="B12" s="417"/>
      <c r="C12" s="417"/>
      <c r="D12" s="417"/>
      <c r="E12" s="417"/>
      <c r="F12" s="417"/>
      <c r="G12" s="417"/>
      <c r="H12" s="417"/>
      <c r="I12" s="417"/>
      <c r="J12" s="417"/>
      <c r="K12" s="436"/>
      <c r="L12" s="436"/>
      <c r="M12" s="436"/>
      <c r="N12" s="436"/>
      <c r="O12" s="436"/>
      <c r="P12" s="436"/>
      <c r="Q12" s="436"/>
      <c r="R12" s="436"/>
    </row>
    <row r="13" spans="1:18" ht="12.95" customHeight="1">
      <c r="A13" s="417"/>
      <c r="B13" s="447" t="s">
        <v>1972</v>
      </c>
      <c r="C13" s="448" t="s">
        <v>1197</v>
      </c>
      <c r="D13" s="417"/>
      <c r="E13" s="417"/>
      <c r="F13" s="417"/>
      <c r="G13" s="417"/>
      <c r="H13" s="417"/>
      <c r="I13" s="417"/>
      <c r="J13" s="417"/>
      <c r="K13" s="436"/>
      <c r="L13" s="436"/>
      <c r="M13" s="436"/>
      <c r="N13" s="436"/>
      <c r="O13" s="436"/>
      <c r="P13" s="436"/>
      <c r="Q13" s="436"/>
      <c r="R13" s="436"/>
    </row>
    <row r="14" spans="1:18" ht="12.95" customHeight="1">
      <c r="A14" s="417"/>
      <c r="B14" s="416" t="s">
        <v>1973</v>
      </c>
      <c r="C14" s="437"/>
      <c r="D14" s="417"/>
      <c r="E14" s="417"/>
      <c r="F14" s="417"/>
      <c r="G14" s="417"/>
      <c r="H14" s="417"/>
      <c r="I14" s="417"/>
      <c r="J14" s="417"/>
      <c r="K14" s="436"/>
      <c r="L14" s="436"/>
      <c r="M14" s="436"/>
      <c r="N14" s="436"/>
      <c r="O14" s="436"/>
      <c r="P14" s="436"/>
      <c r="Q14" s="436"/>
      <c r="R14" s="436"/>
    </row>
    <row r="15" spans="1:18" ht="12.95" customHeight="1">
      <c r="A15" s="417"/>
      <c r="B15" s="417" t="s">
        <v>1948</v>
      </c>
      <c r="C15" s="429">
        <f>$G$11</f>
        <v>1356.3700526315788</v>
      </c>
      <c r="D15" s="417"/>
      <c r="E15" s="417"/>
      <c r="F15" s="417"/>
      <c r="G15" s="417"/>
      <c r="H15" s="417"/>
      <c r="I15" s="417"/>
      <c r="J15" s="417"/>
      <c r="K15" s="436"/>
      <c r="L15" s="436"/>
      <c r="M15" s="436"/>
      <c r="N15" s="436"/>
      <c r="O15" s="436"/>
      <c r="P15" s="436"/>
      <c r="Q15" s="436"/>
      <c r="R15" s="436"/>
    </row>
    <row r="16" spans="1:18" ht="12.95" customHeight="1">
      <c r="A16" s="417"/>
      <c r="B16" s="417" t="s">
        <v>1974</v>
      </c>
      <c r="C16" s="430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17"/>
      <c r="E16" s="417"/>
      <c r="F16" s="417"/>
      <c r="G16" s="417"/>
      <c r="H16" s="417"/>
      <c r="I16" s="417"/>
      <c r="J16" s="417"/>
      <c r="K16" s="436"/>
      <c r="L16" s="436"/>
      <c r="M16" s="436"/>
      <c r="N16" s="436"/>
      <c r="O16" s="436"/>
      <c r="P16" s="436"/>
      <c r="Q16" s="436"/>
      <c r="R16" s="427" t="s">
        <v>1977</v>
      </c>
    </row>
    <row r="17" spans="1:18" ht="12.95" customHeight="1">
      <c r="A17" s="417"/>
      <c r="B17" s="417" t="s">
        <v>1975</v>
      </c>
      <c r="C17" s="430">
        <f>$C15*12</f>
        <v>16276.440631578946</v>
      </c>
      <c r="D17" s="417"/>
      <c r="E17" s="417"/>
      <c r="F17" s="417"/>
      <c r="G17" s="417"/>
      <c r="H17" s="417"/>
      <c r="I17" s="417"/>
      <c r="J17" s="417"/>
      <c r="K17" s="436"/>
      <c r="L17" s="436"/>
      <c r="M17" s="436"/>
      <c r="N17" s="436"/>
      <c r="O17" s="436"/>
      <c r="P17" s="436"/>
      <c r="Q17" s="436"/>
      <c r="R17" s="436"/>
    </row>
    <row r="18" spans="1:18" ht="12.95" customHeight="1">
      <c r="A18" s="417"/>
      <c r="B18" s="417" t="s">
        <v>1950</v>
      </c>
      <c r="C18" s="432">
        <f>$I$11</f>
        <v>25.333333333333332</v>
      </c>
      <c r="D18" s="417"/>
      <c r="E18" s="417"/>
      <c r="F18" s="417"/>
      <c r="G18" s="417"/>
      <c r="H18" s="417"/>
      <c r="I18" s="417"/>
      <c r="J18" s="417"/>
      <c r="K18" s="436"/>
      <c r="L18" s="436"/>
      <c r="M18" s="436"/>
      <c r="N18" s="436"/>
      <c r="O18" s="436"/>
      <c r="P18" s="436"/>
      <c r="Q18" s="436"/>
      <c r="R18" s="436"/>
    </row>
    <row r="19" spans="1:18" ht="12.95" customHeight="1">
      <c r="A19" s="417"/>
      <c r="B19" s="417" t="s">
        <v>1949</v>
      </c>
      <c r="C19" s="433">
        <f>$H$11</f>
        <v>60.931594736842086</v>
      </c>
      <c r="D19" s="417"/>
      <c r="E19" s="417"/>
      <c r="F19" s="417"/>
      <c r="G19" s="417"/>
      <c r="H19" s="417"/>
      <c r="I19" s="417"/>
      <c r="J19" s="417"/>
      <c r="K19" s="436"/>
      <c r="L19" s="436"/>
      <c r="M19" s="436"/>
      <c r="N19" s="436"/>
      <c r="O19" s="436"/>
      <c r="P19" s="436"/>
      <c r="Q19" s="436"/>
      <c r="R19" s="436"/>
    </row>
    <row r="20" spans="1:18" ht="12.95" customHeight="1">
      <c r="A20" s="417"/>
      <c r="B20" s="417" t="s">
        <v>1976</v>
      </c>
      <c r="C20" s="434">
        <f>($C$36-SUMIFS('Full Customer List'!$I$7:$I$320,'Full Customer List'!$C$7:$C$320,$C$34)/$C$41)/365</f>
        <v>1.4545061283345391</v>
      </c>
      <c r="D20" s="417"/>
      <c r="E20" s="417"/>
      <c r="F20" s="417"/>
      <c r="G20" s="417"/>
      <c r="H20" s="417"/>
      <c r="I20" s="417"/>
      <c r="J20" s="417"/>
      <c r="K20" s="436"/>
      <c r="L20" s="436"/>
      <c r="M20" s="436"/>
      <c r="N20" s="436"/>
      <c r="O20" s="436"/>
      <c r="P20" s="436"/>
      <c r="Q20" s="436"/>
      <c r="R20" s="436"/>
    </row>
    <row r="21" spans="1:18" ht="12.95" customHeight="1">
      <c r="A21" s="417"/>
      <c r="B21" s="417"/>
      <c r="C21" s="417"/>
      <c r="D21" s="417"/>
      <c r="E21" s="417"/>
      <c r="F21" s="417"/>
      <c r="G21" s="417"/>
      <c r="H21" s="417"/>
      <c r="I21" s="417"/>
      <c r="J21" s="417"/>
      <c r="K21" s="436"/>
      <c r="L21" s="436"/>
      <c r="M21" s="436"/>
      <c r="N21" s="436"/>
      <c r="O21" s="436"/>
      <c r="P21" s="436"/>
      <c r="Q21" s="436"/>
      <c r="R21" s="436"/>
    </row>
    <row r="22" spans="1:18" ht="33.950000000000003" customHeight="1">
      <c r="A22" s="417"/>
      <c r="B22" s="447" t="s">
        <v>1978</v>
      </c>
      <c r="C22" s="448" t="s">
        <v>1944</v>
      </c>
      <c r="D22" s="448" t="s">
        <v>1979</v>
      </c>
      <c r="E22" s="448" t="s">
        <v>1946</v>
      </c>
      <c r="F22" s="448" t="s">
        <v>1980</v>
      </c>
      <c r="G22" s="448" t="s">
        <v>1945</v>
      </c>
      <c r="H22" s="448" t="s">
        <v>1948</v>
      </c>
      <c r="I22" s="417"/>
      <c r="J22" s="417"/>
      <c r="K22" s="436"/>
      <c r="L22" s="436"/>
      <c r="M22" s="436"/>
      <c r="N22" s="436"/>
      <c r="O22" s="436"/>
      <c r="P22" s="436"/>
      <c r="Q22" s="436"/>
      <c r="R22" s="436"/>
    </row>
    <row r="23" spans="1:18" ht="12.95" customHeight="1">
      <c r="A23" s="417"/>
      <c r="B23" s="416" t="s">
        <v>1981</v>
      </c>
      <c r="C23" s="437"/>
      <c r="D23" s="437"/>
      <c r="E23" s="437"/>
      <c r="F23" s="437"/>
      <c r="G23" s="437"/>
      <c r="H23" s="437"/>
      <c r="I23" s="417"/>
      <c r="J23" s="417"/>
      <c r="K23" s="436"/>
      <c r="L23" s="436"/>
      <c r="M23" s="436"/>
      <c r="N23" s="427" t="s">
        <v>1982</v>
      </c>
      <c r="O23" s="427" t="s">
        <v>1983</v>
      </c>
      <c r="P23" s="436"/>
      <c r="Q23" s="436"/>
      <c r="R23" s="436"/>
    </row>
    <row r="24" spans="1:18" ht="12.95" customHeight="1">
      <c r="A24" s="417"/>
      <c r="B24" s="417" t="s">
        <v>1984</v>
      </c>
      <c r="C24" s="430">
        <f>COUNTIFS('Full Customer List'!$C$7:$C$320,$C$34,'Full Customer List'!$G$7:$G$320,"&gt;="&amp;$N24,'Full Customer List'!$G$7:$G$320,"&lt;"&amp;$O24)</f>
        <v>50</v>
      </c>
      <c r="D24" s="439">
        <f>IFERROR($C24/$C$31,0)</f>
        <v>0.26315789473684209</v>
      </c>
      <c r="E24" s="431">
        <f>SUMIFS('Full Customer List'!$G$7:$G$320,'Full Customer List'!$C$7:$C$320,$C$34,'Full Customer List'!$G$7:$G$320,"&gt;="&amp;$N24,'Full Customer List'!$G$7:$G$320,"&lt;"&amp;$O24)</f>
        <v>18941.34</v>
      </c>
      <c r="F24" s="439">
        <f>IFERROR($E24/$E$31,0)</f>
        <v>7.3498572874325457E-2</v>
      </c>
      <c r="G24" s="430">
        <f>SUMIFS('Full Customer List'!$F$7:$F$320,'Full Customer List'!$C$7:$C$320,$C$34,'Full Customer List'!$G$7:$G$320,"&gt;="&amp;$N24,'Full Customer List'!$G$7:$G$320,"&lt;"&amp;$O24)</f>
        <v>170</v>
      </c>
      <c r="H24" s="431">
        <f>IFERROR($E24/$C24,0)</f>
        <v>378.82679999999999</v>
      </c>
      <c r="I24" s="417"/>
      <c r="J24" s="417"/>
      <c r="K24" s="436"/>
      <c r="L24" s="436"/>
      <c r="M24" s="436"/>
      <c r="N24" s="435">
        <v>0</v>
      </c>
      <c r="O24" s="435">
        <v>500</v>
      </c>
      <c r="P24" s="436"/>
      <c r="Q24" s="436"/>
      <c r="R24" s="436"/>
    </row>
    <row r="25" spans="1:18" ht="12.95" customHeight="1">
      <c r="A25" s="417"/>
      <c r="B25" s="417" t="s">
        <v>1985</v>
      </c>
      <c r="C25" s="430">
        <f>COUNTIFS('Full Customer List'!$C$7:$C$320,$C$34,'Full Customer List'!$G$7:$G$320,"&gt;="&amp;$N25,'Full Customer List'!$G$7:$G$320,"&lt;"&amp;$O25)</f>
        <v>48</v>
      </c>
      <c r="D25" s="439">
        <f t="shared" ref="D25:D30" si="5">IFERROR($C25/$C$31,0)</f>
        <v>0.25263157894736843</v>
      </c>
      <c r="E25" s="430">
        <f>SUMIFS('Full Customer List'!$G$7:$G$320,'Full Customer List'!$C$7:$C$320,$C$34,'Full Customer List'!$G$7:$G$320,"&gt;="&amp;$N25,'Full Customer List'!$G$7:$G$320,"&lt;"&amp;$O25)</f>
        <v>35979.003333333327</v>
      </c>
      <c r="F25" s="439">
        <f t="shared" ref="F25:F30" si="6">IFERROR($E25/$E$31,0)</f>
        <v>0.13961025980424818</v>
      </c>
      <c r="G25" s="430">
        <f>SUMIFS('Full Customer List'!$F$7:$F$320,'Full Customer List'!$C$7:$C$320,$C$34,'Full Customer List'!$G$7:$G$320,"&gt;="&amp;$N25,'Full Customer List'!$G$7:$G$320,"&lt;"&amp;$O25)</f>
        <v>328</v>
      </c>
      <c r="H25" s="430">
        <f t="shared" ref="H25:H30" si="7">IFERROR($E25/$C25,0)</f>
        <v>749.56256944444431</v>
      </c>
      <c r="I25" s="417"/>
      <c r="J25" s="417"/>
      <c r="K25" s="436"/>
      <c r="L25" s="436"/>
      <c r="M25" s="436"/>
      <c r="N25" s="435">
        <v>500</v>
      </c>
      <c r="O25" s="435">
        <v>1000</v>
      </c>
      <c r="P25" s="436"/>
      <c r="Q25" s="436"/>
      <c r="R25" s="436"/>
    </row>
    <row r="26" spans="1:18" ht="12.95" customHeight="1">
      <c r="A26" s="417"/>
      <c r="B26" s="417" t="s">
        <v>1986</v>
      </c>
      <c r="C26" s="430">
        <f>COUNTIFS('Full Customer List'!$C$7:$C$320,$C$34,'Full Customer List'!$G$7:$G$320,"&gt;="&amp;$N26,'Full Customer List'!$G$7:$G$320,"&lt;"&amp;$O26)</f>
        <v>55</v>
      </c>
      <c r="D26" s="439">
        <f t="shared" si="5"/>
        <v>0.28947368421052633</v>
      </c>
      <c r="E26" s="430">
        <f>SUMIFS('Full Customer List'!$G$7:$G$320,'Full Customer List'!$C$7:$C$320,$C$34,'Full Customer List'!$G$7:$G$320,"&gt;="&amp;$N26,'Full Customer List'!$G$7:$G$320,"&lt;"&amp;$O26)</f>
        <v>80812.796666666647</v>
      </c>
      <c r="F26" s="439">
        <f t="shared" si="6"/>
        <v>0.31357999090787897</v>
      </c>
      <c r="G26" s="430">
        <f>SUMIFS('Full Customer List'!$F$7:$F$320,'Full Customer List'!$C$7:$C$320,$C$34,'Full Customer List'!$G$7:$G$320,"&gt;="&amp;$N26,'Full Customer List'!$G$7:$G$320,"&lt;"&amp;$O26)</f>
        <v>1220</v>
      </c>
      <c r="H26" s="430">
        <f t="shared" si="7"/>
        <v>1469.3235757575753</v>
      </c>
      <c r="I26" s="417"/>
      <c r="J26" s="417"/>
      <c r="K26" s="436"/>
      <c r="L26" s="436"/>
      <c r="M26" s="436"/>
      <c r="N26" s="435">
        <v>1000</v>
      </c>
      <c r="O26" s="435">
        <v>2000</v>
      </c>
      <c r="P26" s="436"/>
      <c r="Q26" s="436"/>
      <c r="R26" s="436"/>
    </row>
    <row r="27" spans="1:18" ht="12.95" customHeight="1">
      <c r="A27" s="417"/>
      <c r="B27" s="417" t="s">
        <v>1987</v>
      </c>
      <c r="C27" s="430">
        <f>COUNTIFS('Full Customer List'!$C$7:$C$320,$C$34,'Full Customer List'!$G$7:$G$320,"&gt;="&amp;$N27,'Full Customer List'!$G$7:$G$320,"&lt;"&amp;$O27)</f>
        <v>25</v>
      </c>
      <c r="D27" s="439">
        <f t="shared" si="5"/>
        <v>0.13157894736842105</v>
      </c>
      <c r="E27" s="430">
        <f>SUMIFS('Full Customer List'!$G$7:$G$320,'Full Customer List'!$C$7:$C$320,$C$34,'Full Customer List'!$G$7:$G$320,"&gt;="&amp;$N27,'Full Customer List'!$G$7:$G$320,"&lt;"&amp;$O27)</f>
        <v>60771.473333333342</v>
      </c>
      <c r="F27" s="439">
        <f t="shared" si="6"/>
        <v>0.23581312417548742</v>
      </c>
      <c r="G27" s="430">
        <f>SUMIFS('Full Customer List'!$F$7:$F$320,'Full Customer List'!$C$7:$C$320,$C$34,'Full Customer List'!$G$7:$G$320,"&gt;="&amp;$N27,'Full Customer List'!$G$7:$G$320,"&lt;"&amp;$O27)</f>
        <v>978</v>
      </c>
      <c r="H27" s="430">
        <f t="shared" si="7"/>
        <v>2430.8589333333339</v>
      </c>
      <c r="I27" s="417"/>
      <c r="J27" s="417"/>
      <c r="K27" s="436"/>
      <c r="L27" s="436"/>
      <c r="M27" s="436"/>
      <c r="N27" s="435">
        <v>2000</v>
      </c>
      <c r="O27" s="435">
        <v>3000</v>
      </c>
      <c r="P27" s="436"/>
      <c r="Q27" s="436"/>
      <c r="R27" s="436"/>
    </row>
    <row r="28" spans="1:18" ht="12.95" customHeight="1">
      <c r="A28" s="417"/>
      <c r="B28" s="417" t="s">
        <v>1988</v>
      </c>
      <c r="C28" s="430">
        <f>COUNTIFS('Full Customer List'!$C$7:$C$320,$C$34,'Full Customer List'!$G$7:$G$320,"&gt;="&amp;$N28,'Full Customer List'!$G$7:$G$320,"&lt;"&amp;$O28)</f>
        <v>7</v>
      </c>
      <c r="D28" s="439">
        <f t="shared" si="5"/>
        <v>3.6842105263157891E-2</v>
      </c>
      <c r="E28" s="430">
        <f>SUMIFS('Full Customer List'!$G$7:$G$320,'Full Customer List'!$C$7:$C$320,$C$34,'Full Customer List'!$G$7:$G$320,"&gt;="&amp;$N28,'Full Customer List'!$G$7:$G$320,"&lt;"&amp;$O28)</f>
        <v>24989.000000000004</v>
      </c>
      <c r="F28" s="439">
        <f t="shared" si="6"/>
        <v>9.6965464827542244E-2</v>
      </c>
      <c r="G28" s="430">
        <f>SUMIFS('Full Customer List'!$F$7:$F$320,'Full Customer List'!$C$7:$C$320,$C$34,'Full Customer List'!$G$7:$G$320,"&gt;="&amp;$N28,'Full Customer List'!$G$7:$G$320,"&lt;"&amp;$O28)</f>
        <v>451</v>
      </c>
      <c r="H28" s="430">
        <f t="shared" si="7"/>
        <v>3569.8571428571436</v>
      </c>
      <c r="I28" s="417"/>
      <c r="J28" s="417"/>
      <c r="K28" s="436"/>
      <c r="L28" s="436"/>
      <c r="M28" s="436"/>
      <c r="N28" s="435">
        <v>3000</v>
      </c>
      <c r="O28" s="435">
        <v>5000</v>
      </c>
      <c r="P28" s="436"/>
      <c r="Q28" s="436"/>
      <c r="R28" s="436"/>
    </row>
    <row r="29" spans="1:18" ht="12.95" customHeight="1">
      <c r="A29" s="417"/>
      <c r="B29" s="417" t="s">
        <v>1989</v>
      </c>
      <c r="C29" s="430">
        <f>COUNTIFS('Full Customer List'!$C$7:$C$320,$C$34,'Full Customer List'!$G$7:$G$320,"&gt;="&amp;$N29,'Full Customer List'!$G$7:$G$320,"&lt;"&amp;$O29)</f>
        <v>5</v>
      </c>
      <c r="D29" s="439">
        <f t="shared" si="5"/>
        <v>2.6315789473684209E-2</v>
      </c>
      <c r="E29" s="430">
        <f>SUMIFS('Full Customer List'!$G$7:$G$320,'Full Customer List'!$C$7:$C$320,$C$34,'Full Customer List'!$G$7:$G$320,"&gt;="&amp;$N29,'Full Customer List'!$G$7:$G$320,"&lt;"&amp;$O29)</f>
        <v>36216.69666666667</v>
      </c>
      <c r="F29" s="439">
        <f t="shared" si="6"/>
        <v>0.14053258741051794</v>
      </c>
      <c r="G29" s="430">
        <f>SUMIFS('Full Customer List'!$F$7:$F$320,'Full Customer List'!$C$7:$C$320,$C$34,'Full Customer List'!$G$7:$G$320,"&gt;="&amp;$N29,'Full Customer List'!$G$7:$G$320,"&lt;"&amp;$O29)</f>
        <v>653</v>
      </c>
      <c r="H29" s="430">
        <f t="shared" si="7"/>
        <v>7243.3393333333343</v>
      </c>
      <c r="I29" s="417"/>
      <c r="J29" s="417"/>
      <c r="K29" s="436"/>
      <c r="L29" s="436"/>
      <c r="M29" s="436"/>
      <c r="N29" s="435">
        <v>5000</v>
      </c>
      <c r="O29" s="435">
        <v>10000</v>
      </c>
      <c r="P29" s="436"/>
      <c r="Q29" s="436"/>
      <c r="R29" s="436"/>
    </row>
    <row r="30" spans="1:18" ht="12.95" customHeight="1">
      <c r="A30" s="417"/>
      <c r="B30" s="417" t="s">
        <v>1990</v>
      </c>
      <c r="C30" s="430">
        <f>COUNTIFS('Full Customer List'!$C$7:$C$320,$C$34,'Full Customer List'!$G$7:$G$320,"&gt;="&amp;$N30,'Full Customer List'!$G$7:$G$320,"&lt;"&amp;$O30)</f>
        <v>0</v>
      </c>
      <c r="D30" s="439">
        <f t="shared" si="5"/>
        <v>0</v>
      </c>
      <c r="E30" s="430">
        <f>SUMIFS('Full Customer List'!$G$7:$G$320,'Full Customer List'!$C$7:$C$320,$C$34,'Full Customer List'!$G$7:$G$320,"&gt;="&amp;$N30,'Full Customer List'!$G$7:$G$320,"&lt;"&amp;$O30)</f>
        <v>0</v>
      </c>
      <c r="F30" s="439">
        <f t="shared" si="6"/>
        <v>0</v>
      </c>
      <c r="G30" s="430">
        <f>SUMIFS('Full Customer List'!$F$7:$F$320,'Full Customer List'!$C$7:$C$320,$C$34,'Full Customer List'!$G$7:$G$320,"&gt;="&amp;$N30,'Full Customer List'!$G$7:$G$320,"&lt;"&amp;$O30)</f>
        <v>0</v>
      </c>
      <c r="H30" s="430">
        <f t="shared" si="7"/>
        <v>0</v>
      </c>
      <c r="I30" s="417"/>
      <c r="J30" s="417"/>
      <c r="K30" s="436"/>
      <c r="L30" s="436"/>
      <c r="M30" s="436"/>
      <c r="N30" s="435">
        <v>10000</v>
      </c>
      <c r="O30" s="433">
        <f>$C$38</f>
        <v>1000000000</v>
      </c>
      <c r="P30" s="436"/>
      <c r="Q30" s="436"/>
      <c r="R30" s="436"/>
    </row>
    <row r="31" spans="1:18" ht="12.95" customHeight="1">
      <c r="A31" s="417"/>
      <c r="B31" s="438" t="s">
        <v>1871</v>
      </c>
      <c r="C31" s="440">
        <f>SUM(C24:C30)</f>
        <v>190</v>
      </c>
      <c r="D31" s="444">
        <f>SUM(D24:D30)</f>
        <v>1</v>
      </c>
      <c r="E31" s="441">
        <f>SUM(E24:E30)</f>
        <v>257710.30999999994</v>
      </c>
      <c r="F31" s="444">
        <f>SUM(F24:F30)</f>
        <v>1.0000000000000002</v>
      </c>
      <c r="G31" s="440">
        <f>SUM(G24:G30)</f>
        <v>3800</v>
      </c>
      <c r="H31" s="445">
        <f>IFERROR($E31/$C31,0)</f>
        <v>1356.3700526315786</v>
      </c>
      <c r="I31" s="417"/>
      <c r="J31" s="417"/>
      <c r="K31" s="436"/>
      <c r="L31" s="436"/>
      <c r="M31" s="436"/>
      <c r="N31" s="436"/>
      <c r="O31" s="436"/>
      <c r="P31" s="436"/>
      <c r="Q31" s="436"/>
      <c r="R31" s="436"/>
    </row>
    <row r="32" spans="1:18" ht="12.95" customHeight="1">
      <c r="A32" s="417"/>
      <c r="B32" s="417"/>
      <c r="C32" s="417"/>
      <c r="D32" s="417"/>
      <c r="E32" s="417"/>
      <c r="F32" s="417"/>
      <c r="G32" s="417"/>
      <c r="H32" s="417"/>
      <c r="I32" s="417"/>
      <c r="J32" s="417"/>
      <c r="K32" s="436"/>
      <c r="L32" s="436"/>
      <c r="M32" s="436"/>
      <c r="N32" s="436"/>
      <c r="O32" s="436"/>
      <c r="P32" s="436"/>
      <c r="Q32" s="436"/>
      <c r="R32" s="436"/>
    </row>
    <row r="33" spans="1:18" ht="12.95" customHeight="1">
      <c r="A33" s="417"/>
      <c r="B33" s="416" t="s">
        <v>1952</v>
      </c>
      <c r="C33" s="418" t="s">
        <v>1197</v>
      </c>
      <c r="D33" s="416" t="s">
        <v>287</v>
      </c>
      <c r="E33" s="417"/>
      <c r="F33" s="417"/>
      <c r="G33" s="417"/>
      <c r="H33" s="417"/>
      <c r="I33" s="417"/>
      <c r="J33" s="417"/>
      <c r="K33" s="436"/>
      <c r="L33" s="436"/>
      <c r="M33" s="436"/>
      <c r="N33" s="436"/>
      <c r="O33" s="436"/>
      <c r="P33" s="436"/>
      <c r="Q33" s="436"/>
      <c r="R33" s="436"/>
    </row>
    <row r="34" spans="1:18" ht="12.95" customHeight="1">
      <c r="A34" s="417"/>
      <c r="B34" s="417" t="s">
        <v>1953</v>
      </c>
      <c r="C34" s="419" t="s">
        <v>497</v>
      </c>
      <c r="D34" s="417" t="s">
        <v>1954</v>
      </c>
      <c r="E34" s="417"/>
      <c r="F34" s="417"/>
      <c r="G34" s="417"/>
      <c r="H34" s="417"/>
      <c r="I34" s="417"/>
      <c r="J34" s="417"/>
      <c r="K34" s="436"/>
      <c r="L34" s="436"/>
      <c r="M34" s="436"/>
      <c r="N34" s="436"/>
      <c r="O34" s="436"/>
      <c r="P34" s="436"/>
      <c r="Q34" s="436"/>
      <c r="R34" s="436"/>
    </row>
    <row r="35" spans="1:18" ht="12.95" customHeight="1">
      <c r="A35" s="417"/>
      <c r="B35" s="417" t="s">
        <v>1955</v>
      </c>
      <c r="C35" s="419" t="s">
        <v>1901</v>
      </c>
      <c r="D35" s="417" t="s">
        <v>1956</v>
      </c>
      <c r="E35" s="417"/>
      <c r="F35" s="417"/>
      <c r="G35" s="417"/>
      <c r="H35" s="417"/>
      <c r="I35" s="417"/>
      <c r="J35" s="417"/>
      <c r="K35" s="436"/>
      <c r="L35" s="436"/>
      <c r="M35" s="436"/>
      <c r="N35" s="436"/>
      <c r="O35" s="436"/>
      <c r="P35" s="436"/>
      <c r="Q35" s="436"/>
      <c r="R35" s="436"/>
    </row>
    <row r="36" spans="1:18" ht="12.95" customHeight="1">
      <c r="A36" s="417"/>
      <c r="B36" s="417" t="s">
        <v>1957</v>
      </c>
      <c r="C36" s="420">
        <f>EOMONTH('Full Customer List'!$AC$6,0)</f>
        <v>46234</v>
      </c>
      <c r="D36" s="417" t="s">
        <v>1958</v>
      </c>
      <c r="E36" s="417"/>
      <c r="F36" s="417"/>
      <c r="G36" s="417"/>
      <c r="H36" s="417"/>
      <c r="I36" s="417"/>
      <c r="J36" s="417"/>
      <c r="K36" s="436"/>
      <c r="L36" s="436"/>
      <c r="M36" s="436"/>
      <c r="N36" s="436"/>
      <c r="O36" s="436"/>
      <c r="P36" s="436"/>
      <c r="Q36" s="436"/>
      <c r="R36" s="436"/>
    </row>
    <row r="37" spans="1:18" ht="12.95" customHeight="1">
      <c r="A37" s="417"/>
      <c r="B37" s="417" t="s">
        <v>1959</v>
      </c>
      <c r="C37" s="451">
        <v>0</v>
      </c>
      <c r="D37" s="417" t="s">
        <v>1960</v>
      </c>
      <c r="E37" s="417"/>
      <c r="F37" s="417"/>
      <c r="G37" s="417"/>
      <c r="H37" s="417"/>
      <c r="I37" s="417"/>
      <c r="J37" s="417"/>
      <c r="K37" s="436"/>
      <c r="L37" s="436"/>
      <c r="M37" s="436"/>
      <c r="N37" s="436"/>
      <c r="O37" s="436"/>
      <c r="P37" s="436"/>
      <c r="Q37" s="436"/>
      <c r="R37" s="436"/>
    </row>
    <row r="38" spans="1:18" ht="12.95" customHeight="1">
      <c r="A38" s="417"/>
      <c r="B38" s="417" t="s">
        <v>1961</v>
      </c>
      <c r="C38" s="421">
        <v>1000000000</v>
      </c>
      <c r="D38" s="417" t="s">
        <v>1962</v>
      </c>
      <c r="E38" s="417"/>
      <c r="F38" s="417"/>
      <c r="G38" s="417"/>
      <c r="H38" s="417"/>
      <c r="I38" s="417"/>
      <c r="J38" s="417"/>
      <c r="K38" s="436"/>
      <c r="L38" s="436"/>
      <c r="M38" s="436"/>
      <c r="N38" s="436"/>
      <c r="O38" s="436"/>
      <c r="P38" s="436"/>
      <c r="Q38" s="436"/>
      <c r="R38" s="436"/>
    </row>
    <row r="39" spans="1:18" ht="12.95" customHeight="1">
      <c r="A39" s="417"/>
      <c r="B39" s="417"/>
      <c r="C39" s="417"/>
      <c r="D39" s="417"/>
      <c r="E39" s="417"/>
      <c r="F39" s="417"/>
      <c r="G39" s="417"/>
      <c r="H39" s="417"/>
      <c r="I39" s="417"/>
      <c r="J39" s="417"/>
      <c r="K39" s="436"/>
      <c r="L39" s="436"/>
      <c r="M39" s="436"/>
      <c r="N39" s="436"/>
      <c r="O39" s="436"/>
      <c r="P39" s="436"/>
      <c r="Q39" s="436"/>
      <c r="R39" s="436"/>
    </row>
    <row r="40" spans="1:18" ht="12.95" customHeight="1">
      <c r="A40" s="417"/>
      <c r="B40" s="422" t="s">
        <v>1305</v>
      </c>
      <c r="C40" s="417"/>
      <c r="D40" s="417"/>
      <c r="E40" s="417"/>
      <c r="F40" s="417"/>
      <c r="G40" s="417"/>
      <c r="H40" s="417"/>
      <c r="I40" s="417"/>
      <c r="J40" s="417"/>
      <c r="K40" s="436"/>
      <c r="L40" s="436"/>
      <c r="M40" s="436"/>
      <c r="N40" s="436"/>
      <c r="O40" s="436"/>
      <c r="P40" s="436"/>
      <c r="Q40" s="436"/>
      <c r="R40" s="436"/>
    </row>
    <row r="41" spans="1:18" ht="12.95" customHeight="1">
      <c r="A41" s="417"/>
      <c r="B41" s="423" t="s">
        <v>1963</v>
      </c>
      <c r="C41" s="424">
        <f>COUNTIFS('Full Customer List'!$C$7:$C$320,$C$34)</f>
        <v>190</v>
      </c>
      <c r="D41" s="417"/>
      <c r="E41" s="417"/>
      <c r="F41" s="417"/>
      <c r="G41" s="417"/>
      <c r="H41" s="417"/>
      <c r="I41" s="417"/>
      <c r="J41" s="417"/>
      <c r="K41" s="436"/>
      <c r="L41" s="436"/>
      <c r="M41" s="436"/>
      <c r="N41" s="436"/>
      <c r="O41" s="436"/>
      <c r="P41" s="436"/>
      <c r="Q41" s="436"/>
      <c r="R41" s="436"/>
    </row>
    <row r="42" spans="1:18" ht="12.95" customHeight="1">
      <c r="A42" s="417"/>
      <c r="B42" s="423" t="s">
        <v>1964</v>
      </c>
      <c r="C42" s="425">
        <f>SUMIFS('Full Customer List'!$G$7:$G$320,'Full Customer List'!$C$7:$C$320,$C$34)</f>
        <v>257710.30999999994</v>
      </c>
      <c r="D42" s="417"/>
      <c r="E42" s="417"/>
      <c r="F42" s="417"/>
      <c r="G42" s="417"/>
      <c r="H42" s="417"/>
      <c r="I42" s="417"/>
      <c r="J42" s="417"/>
      <c r="K42" s="436"/>
      <c r="L42" s="436"/>
      <c r="M42" s="436"/>
      <c r="N42" s="436"/>
      <c r="O42" s="436"/>
      <c r="P42" s="436"/>
      <c r="Q42" s="436"/>
      <c r="R42" s="436"/>
    </row>
    <row r="43" spans="1:18" ht="12.95" customHeight="1">
      <c r="A43" s="417"/>
      <c r="B43" s="423" t="s">
        <v>1965</v>
      </c>
      <c r="C43" s="426">
        <f>COUNTIFS('Full Customer List'!$C$7:$C$320,$C$34,'Full Customer List'!$F$7:$F$320,"")</f>
        <v>35</v>
      </c>
      <c r="D43" s="417"/>
      <c r="E43" s="417"/>
      <c r="F43" s="417"/>
      <c r="G43" s="417"/>
      <c r="H43" s="417"/>
      <c r="I43" s="417"/>
      <c r="J43" s="417"/>
      <c r="K43" s="436"/>
      <c r="L43" s="436"/>
      <c r="M43" s="436"/>
      <c r="N43" s="436"/>
      <c r="O43" s="436"/>
      <c r="P43" s="436"/>
      <c r="Q43" s="436"/>
      <c r="R43" s="427" t="s">
        <v>1966</v>
      </c>
    </row>
    <row r="44" spans="1:18" ht="12.95" customHeight="1">
      <c r="A44" s="417"/>
      <c r="B44" s="423" t="s">
        <v>1967</v>
      </c>
      <c r="C44" s="424">
        <f>$C$11-$C$41</f>
        <v>0</v>
      </c>
      <c r="D44" s="417"/>
      <c r="E44" s="417"/>
      <c r="F44" s="417"/>
      <c r="G44" s="417"/>
      <c r="H44" s="417"/>
      <c r="I44" s="417"/>
      <c r="J44" s="417"/>
      <c r="K44" s="436"/>
      <c r="L44" s="436"/>
      <c r="M44" s="436"/>
      <c r="N44" s="436"/>
      <c r="O44" s="436"/>
      <c r="P44" s="436"/>
      <c r="Q44" s="436"/>
      <c r="R44" s="436"/>
    </row>
    <row r="45" spans="1:18" ht="12.95" customHeight="1">
      <c r="A45" s="417"/>
      <c r="B45" s="423" t="s">
        <v>1968</v>
      </c>
      <c r="C45" s="424">
        <f>$C$31-$C$41</f>
        <v>0</v>
      </c>
      <c r="D45" s="417"/>
      <c r="E45" s="417"/>
      <c r="F45" s="417"/>
      <c r="G45" s="417"/>
      <c r="H45" s="417"/>
      <c r="I45" s="417"/>
      <c r="J45" s="417"/>
      <c r="K45" s="436"/>
      <c r="L45" s="436"/>
      <c r="M45" s="436"/>
      <c r="N45" s="436"/>
      <c r="O45" s="436"/>
      <c r="P45" s="436"/>
      <c r="Q45" s="436"/>
      <c r="R45" s="436"/>
    </row>
    <row r="46" spans="1:18" ht="12.95" customHeight="1">
      <c r="A46" s="417"/>
      <c r="B46" s="423" t="s">
        <v>1969</v>
      </c>
      <c r="C46" s="425">
        <f>$E$31-$C$42</f>
        <v>0</v>
      </c>
      <c r="D46" s="417"/>
      <c r="E46" s="417"/>
      <c r="F46" s="417"/>
      <c r="G46" s="417"/>
      <c r="H46" s="417"/>
      <c r="I46" s="417"/>
      <c r="J46" s="417"/>
      <c r="K46" s="436"/>
      <c r="L46" s="436"/>
      <c r="M46" s="436"/>
      <c r="N46" s="436"/>
      <c r="O46" s="436"/>
      <c r="P46" s="436"/>
      <c r="Q46" s="436"/>
      <c r="R46" s="436"/>
    </row>
    <row r="47" spans="1:18" ht="14.25">
      <c r="A47" s="41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</row>
    <row r="48" spans="1:18" ht="14.25">
      <c r="A48" s="41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</row>
    <row r="49" spans="1:18" ht="14.25">
      <c r="A49" s="41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</row>
    <row r="50" spans="1:18" ht="14.25">
      <c r="A50" s="41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</row>
  </sheetData>
  <conditionalFormatting sqref="B6:J12 B14:J21 B23:J46">
    <cfRule type="expression" dxfId="62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="145" zoomScaleNormal="130" zoomScaleSheetLayoutView="145" workbookViewId="0">
      <selection activeCell="AF29" sqref="AF29"/>
    </sheetView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 t="shared" ref="AC1:AD1" si="2">EOMONTH(AC5,0)</f>
        <v>46265</v>
      </c>
      <c r="AD1" s="193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" si="3">EOMONTH(J5,0)+1</f>
        <v>45689</v>
      </c>
      <c r="L5" s="189">
        <f t="shared" ref="L5" si="4">EOMONTH(K5,0)+1</f>
        <v>45717</v>
      </c>
      <c r="M5" s="189">
        <f t="shared" ref="M5" si="5">EOMONTH(L5,0)+1</f>
        <v>45748</v>
      </c>
      <c r="N5" s="189">
        <f t="shared" ref="N5" si="6">EOMONTH(M5,0)+1</f>
        <v>45778</v>
      </c>
      <c r="O5" s="189">
        <f t="shared" ref="O5" si="7">EOMONTH(N5,0)+1</f>
        <v>45809</v>
      </c>
      <c r="P5" s="189">
        <f t="shared" ref="P5" si="8">EOMONTH(O5,0)+1</f>
        <v>45839</v>
      </c>
      <c r="Q5" s="189">
        <v>45870</v>
      </c>
      <c r="R5" s="189">
        <f t="shared" ref="R5:AB5" si="9">EOMONTH(Q5,0)+1</f>
        <v>45901</v>
      </c>
      <c r="S5" s="189">
        <f t="shared" si="9"/>
        <v>45931</v>
      </c>
      <c r="T5" s="189">
        <f t="shared" si="9"/>
        <v>45962</v>
      </c>
      <c r="U5" s="189">
        <f t="shared" si="9"/>
        <v>45992</v>
      </c>
      <c r="V5" s="189">
        <f t="shared" si="9"/>
        <v>46023</v>
      </c>
      <c r="W5" s="189">
        <f t="shared" si="9"/>
        <v>46054</v>
      </c>
      <c r="X5" s="189">
        <f t="shared" si="9"/>
        <v>46082</v>
      </c>
      <c r="Y5" s="189">
        <f t="shared" si="9"/>
        <v>46113</v>
      </c>
      <c r="Z5" s="189">
        <f t="shared" si="9"/>
        <v>46143</v>
      </c>
      <c r="AA5" s="189">
        <f t="shared" si="9"/>
        <v>46174</v>
      </c>
      <c r="AB5" s="189">
        <f t="shared" si="9"/>
        <v>46204</v>
      </c>
      <c r="AC5" s="189">
        <f t="shared" ref="AC5" si="10">EOMONTH(AB5,0)+1</f>
        <v>46235</v>
      </c>
      <c r="AD5" s="189">
        <f t="shared" ref="AD5" si="11"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12">+H13-H8-H12</f>
        <v>178</v>
      </c>
      <c r="J7" s="181">
        <f t="shared" ref="J7:P7" si="13">+J13-J8-J12</f>
        <v>145</v>
      </c>
      <c r="K7" s="181">
        <f t="shared" si="13"/>
        <v>147</v>
      </c>
      <c r="L7" s="181">
        <f t="shared" si="13"/>
        <v>148</v>
      </c>
      <c r="M7" s="181">
        <f t="shared" si="13"/>
        <v>154</v>
      </c>
      <c r="N7" s="181">
        <f t="shared" si="13"/>
        <v>159</v>
      </c>
      <c r="O7" s="181">
        <f t="shared" si="13"/>
        <v>165</v>
      </c>
      <c r="P7" s="181">
        <f t="shared" si="13"/>
        <v>165</v>
      </c>
      <c r="Q7" s="181">
        <f t="shared" si="12"/>
        <v>169</v>
      </c>
      <c r="R7" s="181">
        <f t="shared" si="12"/>
        <v>175</v>
      </c>
      <c r="S7" s="181">
        <f t="shared" si="12"/>
        <v>178</v>
      </c>
      <c r="T7" s="181">
        <f t="shared" si="12"/>
        <v>191</v>
      </c>
      <c r="U7" s="181">
        <f t="shared" si="12"/>
        <v>189</v>
      </c>
      <c r="V7" s="181">
        <f t="shared" si="12"/>
        <v>188</v>
      </c>
      <c r="W7" s="181">
        <f t="shared" si="12"/>
        <v>195</v>
      </c>
      <c r="X7" s="181">
        <f t="shared" si="12"/>
        <v>204</v>
      </c>
      <c r="Y7" s="181">
        <f t="shared" si="12"/>
        <v>203</v>
      </c>
      <c r="Z7" s="181">
        <f t="shared" si="12"/>
        <v>209</v>
      </c>
      <c r="AA7" s="181">
        <f>+AA13-AA8-AA12</f>
        <v>200</v>
      </c>
      <c r="AB7" s="181">
        <f>+AB13-AB8-AB12</f>
        <v>200</v>
      </c>
      <c r="AC7" s="181">
        <f t="shared" ref="AC7:AD7" si="14">+AC13-AC8-AC12</f>
        <v>185</v>
      </c>
      <c r="AD7" s="181">
        <f t="shared" si="14"/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 t="shared" ref="E9:E11" si="15">SUM(J9:U9)</f>
        <v>-33</v>
      </c>
      <c r="F9" s="194">
        <f t="shared" ref="F9:F11" si="16">SUM(V9:AD9)</f>
        <v>-30</v>
      </c>
      <c r="H9" s="194">
        <f t="shared" ref="H9:H11" si="17"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 t="shared" si="15"/>
        <v>-24</v>
      </c>
      <c r="F10" s="194">
        <f t="shared" si="16"/>
        <v>-21</v>
      </c>
      <c r="H10" s="194">
        <f t="shared" si="17"/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 t="shared" si="15"/>
        <v>-2</v>
      </c>
      <c r="F11" s="194">
        <f t="shared" si="16"/>
        <v>-9</v>
      </c>
      <c r="H11" s="194">
        <f t="shared" si="17"/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" si="18">+K7</f>
        <v>147</v>
      </c>
      <c r="K13" s="257">
        <f t="shared" ref="K13" si="19">+L7</f>
        <v>148</v>
      </c>
      <c r="L13" s="257">
        <f t="shared" ref="L13" si="20">+M7</f>
        <v>154</v>
      </c>
      <c r="M13" s="257">
        <f t="shared" ref="M13" si="21">+N7</f>
        <v>159</v>
      </c>
      <c r="N13" s="257">
        <f t="shared" ref="N13" si="22">+O7</f>
        <v>165</v>
      </c>
      <c r="O13" s="257">
        <f t="shared" ref="O13" si="23">+P7</f>
        <v>165</v>
      </c>
      <c r="P13" s="257">
        <f>+Q7</f>
        <v>169</v>
      </c>
      <c r="Q13" s="257">
        <f t="shared" ref="Q13:Y13" si="24">+R7</f>
        <v>175</v>
      </c>
      <c r="R13" s="257">
        <f t="shared" si="24"/>
        <v>178</v>
      </c>
      <c r="S13" s="259">
        <f t="shared" si="24"/>
        <v>191</v>
      </c>
      <c r="T13" s="257">
        <f t="shared" si="24"/>
        <v>189</v>
      </c>
      <c r="U13" s="257">
        <f t="shared" si="24"/>
        <v>188</v>
      </c>
      <c r="V13" s="257">
        <f t="shared" si="24"/>
        <v>195</v>
      </c>
      <c r="W13" s="257">
        <f t="shared" si="24"/>
        <v>204</v>
      </c>
      <c r="X13" s="257">
        <f t="shared" si="24"/>
        <v>203</v>
      </c>
      <c r="Y13" s="257">
        <f t="shared" si="24"/>
        <v>209</v>
      </c>
      <c r="Z13" s="257">
        <f t="shared" ref="Z13" si="25">+AA7</f>
        <v>200</v>
      </c>
      <c r="AA13" s="257">
        <f t="shared" ref="AA13" si="26">+AB7</f>
        <v>200</v>
      </c>
      <c r="AB13" s="257">
        <f t="shared" ref="AB13" si="27">+AC7</f>
        <v>185</v>
      </c>
      <c r="AC13" s="257">
        <f t="shared" ref="AC13" si="28"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29">AVERAGE(K7,K13)</f>
        <v>147.5</v>
      </c>
      <c r="L15" s="257">
        <f t="shared" si="29"/>
        <v>151</v>
      </c>
      <c r="M15" s="257">
        <f t="shared" si="29"/>
        <v>156.5</v>
      </c>
      <c r="N15" s="257">
        <f t="shared" si="29"/>
        <v>162</v>
      </c>
      <c r="O15" s="257">
        <f t="shared" si="29"/>
        <v>165</v>
      </c>
      <c r="P15" s="257">
        <f t="shared" si="29"/>
        <v>167</v>
      </c>
      <c r="Q15" s="257">
        <f t="shared" si="29"/>
        <v>172</v>
      </c>
      <c r="R15" s="257">
        <f t="shared" si="29"/>
        <v>176.5</v>
      </c>
      <c r="S15" s="259">
        <f t="shared" si="29"/>
        <v>184.5</v>
      </c>
      <c r="T15" s="257">
        <f t="shared" si="29"/>
        <v>190</v>
      </c>
      <c r="U15" s="257">
        <f t="shared" si="29"/>
        <v>188.5</v>
      </c>
      <c r="V15" s="257">
        <f t="shared" si="29"/>
        <v>191.5</v>
      </c>
      <c r="W15" s="257">
        <f t="shared" si="29"/>
        <v>199.5</v>
      </c>
      <c r="X15" s="257">
        <f t="shared" si="29"/>
        <v>203.5</v>
      </c>
      <c r="Y15" s="257">
        <f t="shared" si="29"/>
        <v>206</v>
      </c>
      <c r="Z15" s="257">
        <f t="shared" si="29"/>
        <v>204.5</v>
      </c>
      <c r="AA15" s="257">
        <f t="shared" si="29"/>
        <v>200</v>
      </c>
      <c r="AB15" s="257">
        <f t="shared" si="29"/>
        <v>192.5</v>
      </c>
      <c r="AC15" s="257">
        <f t="shared" si="29"/>
        <v>185.5</v>
      </c>
      <c r="AD15" s="260">
        <f t="shared" si="29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30">(J8+J7)/J7-1</f>
        <v>6.2068965517241281E-2</v>
      </c>
      <c r="K17" s="233">
        <f t="shared" si="30"/>
        <v>3.4013605442176909E-2</v>
      </c>
      <c r="L17" s="233">
        <f t="shared" si="30"/>
        <v>5.4054054054053946E-2</v>
      </c>
      <c r="M17" s="233">
        <f t="shared" si="30"/>
        <v>5.8441558441558517E-2</v>
      </c>
      <c r="N17" s="233">
        <f t="shared" si="30"/>
        <v>5.6603773584905648E-2</v>
      </c>
      <c r="O17" s="233">
        <f t="shared" si="30"/>
        <v>4.2424242424242475E-2</v>
      </c>
      <c r="P17" s="233">
        <f t="shared" si="30"/>
        <v>4.2424242424242475E-2</v>
      </c>
      <c r="Q17" s="233">
        <f t="shared" si="30"/>
        <v>4.7337278106508895E-2</v>
      </c>
      <c r="R17" s="233">
        <f t="shared" si="30"/>
        <v>4.5714285714285818E-2</v>
      </c>
      <c r="S17" s="243">
        <f t="shared" si="30"/>
        <v>7.8651685393258397E-2</v>
      </c>
      <c r="T17" s="233">
        <f t="shared" si="30"/>
        <v>3.6649214659685958E-2</v>
      </c>
      <c r="U17" s="233">
        <f t="shared" si="30"/>
        <v>5.8201058201058142E-2</v>
      </c>
      <c r="V17" s="233">
        <f t="shared" si="30"/>
        <v>5.8510638297872397E-2</v>
      </c>
      <c r="W17" s="233">
        <f t="shared" si="30"/>
        <v>5.6410256410256432E-2</v>
      </c>
      <c r="X17" s="233">
        <f t="shared" si="30"/>
        <v>2.9411764705882248E-2</v>
      </c>
      <c r="Y17" s="233">
        <f t="shared" si="30"/>
        <v>5.4187192118226646E-2</v>
      </c>
      <c r="Z17" s="233">
        <f t="shared" si="30"/>
        <v>3.3492822966507241E-2</v>
      </c>
      <c r="AA17" s="233">
        <f t="shared" si="30"/>
        <v>2.0000000000000018E-2</v>
      </c>
      <c r="AB17" s="233">
        <f t="shared" si="30"/>
        <v>2.4999999999999911E-2</v>
      </c>
      <c r="AC17" s="233">
        <f t="shared" ref="AC17:AD17" si="31">(AC8+AC7)/AC7-1</f>
        <v>1.6216216216216273E-2</v>
      </c>
      <c r="AD17" s="244">
        <f t="shared" si="31"/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32">(J12+J15)/J15-1</f>
        <v>-4.7945205479452024E-2</v>
      </c>
      <c r="K18" s="236">
        <f t="shared" si="32"/>
        <v>-2.7118644067796627E-2</v>
      </c>
      <c r="L18" s="236">
        <f t="shared" si="32"/>
        <v>-1.3245033112582738E-2</v>
      </c>
      <c r="M18" s="236">
        <f t="shared" si="32"/>
        <v>-2.5559105431309903E-2</v>
      </c>
      <c r="N18" s="236">
        <f t="shared" si="32"/>
        <v>-1.851851851851849E-2</v>
      </c>
      <c r="O18" s="236">
        <f t="shared" si="32"/>
        <v>-4.2424242424242475E-2</v>
      </c>
      <c r="P18" s="236">
        <f t="shared" si="32"/>
        <v>-1.7964071856287456E-2</v>
      </c>
      <c r="Q18" s="236">
        <f t="shared" si="32"/>
        <v>-1.1627906976744207E-2</v>
      </c>
      <c r="R18" s="236">
        <f t="shared" si="32"/>
        <v>-2.8328611898016942E-2</v>
      </c>
      <c r="S18" s="238">
        <f t="shared" si="32"/>
        <v>-5.4200542005420349E-3</v>
      </c>
      <c r="T18" s="236">
        <f t="shared" si="32"/>
        <v>-4.7368421052631615E-2</v>
      </c>
      <c r="U18" s="236">
        <f t="shared" si="32"/>
        <v>-6.3660477453580944E-2</v>
      </c>
      <c r="V18" s="236">
        <f t="shared" si="32"/>
        <v>-2.0887728459530019E-2</v>
      </c>
      <c r="W18" s="236">
        <f t="shared" si="32"/>
        <v>-1.0025062656641603E-2</v>
      </c>
      <c r="X18" s="236">
        <f t="shared" si="32"/>
        <v>-3.4398034398034349E-2</v>
      </c>
      <c r="Y18" s="236">
        <f t="shared" si="32"/>
        <v>-2.4271844660194164E-2</v>
      </c>
      <c r="Z18" s="236">
        <f t="shared" si="32"/>
        <v>-7.8239608801956018E-2</v>
      </c>
      <c r="AA18" s="236">
        <f t="shared" si="32"/>
        <v>-2.0000000000000018E-2</v>
      </c>
      <c r="AB18" s="236">
        <f t="shared" si="32"/>
        <v>-0.10389610389610393</v>
      </c>
      <c r="AC18" s="236">
        <f t="shared" si="32"/>
        <v>-1.0781671159029615E-2</v>
      </c>
      <c r="AD18" s="237">
        <f t="shared" si="32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" si="33">EOMONTH(J20,0)+1</f>
        <v>45689</v>
      </c>
      <c r="L20" s="189">
        <f t="shared" ref="L20" si="34">EOMONTH(K20,0)+1</f>
        <v>45717</v>
      </c>
      <c r="M20" s="189">
        <f t="shared" ref="M20" si="35">EOMONTH(L20,0)+1</f>
        <v>45748</v>
      </c>
      <c r="N20" s="189">
        <f t="shared" ref="N20" si="36">EOMONTH(M20,0)+1</f>
        <v>45778</v>
      </c>
      <c r="O20" s="189">
        <f t="shared" ref="O20" si="37">EOMONTH(N20,0)+1</f>
        <v>45809</v>
      </c>
      <c r="P20" s="189">
        <f t="shared" ref="P20" si="38">EOMONTH(O20,0)+1</f>
        <v>45839</v>
      </c>
      <c r="Q20" s="189">
        <v>45870</v>
      </c>
      <c r="R20" s="189">
        <f t="shared" ref="R20" si="39">EOMONTH(Q20,0)+1</f>
        <v>45901</v>
      </c>
      <c r="S20" s="189">
        <f t="shared" ref="S20" si="40">EOMONTH(R20,0)+1</f>
        <v>45931</v>
      </c>
      <c r="T20" s="189">
        <f t="shared" ref="T20" si="41">EOMONTH(S20,0)+1</f>
        <v>45962</v>
      </c>
      <c r="U20" s="189">
        <f t="shared" ref="U20" si="42">EOMONTH(T20,0)+1</f>
        <v>45992</v>
      </c>
      <c r="V20" s="189">
        <f t="shared" ref="V20" si="43">EOMONTH(U20,0)+1</f>
        <v>46023</v>
      </c>
      <c r="W20" s="189">
        <f t="shared" ref="W20" si="44">EOMONTH(V20,0)+1</f>
        <v>46054</v>
      </c>
      <c r="X20" s="189">
        <f t="shared" ref="X20" si="45">EOMONTH(W20,0)+1</f>
        <v>46082</v>
      </c>
      <c r="Y20" s="189">
        <f t="shared" ref="Y20" si="46">EOMONTH(X20,0)+1</f>
        <v>46113</v>
      </c>
      <c r="Z20" s="189">
        <f t="shared" ref="Z20" si="47">EOMONTH(Y20,0)+1</f>
        <v>46143</v>
      </c>
      <c r="AA20" s="189">
        <f t="shared" ref="AA20" si="48">EOMONTH(Z20,0)+1</f>
        <v>46174</v>
      </c>
      <c r="AB20" s="189">
        <f t="shared" ref="AB20" si="49">EOMONTH(AA20,0)+1</f>
        <v>46204</v>
      </c>
      <c r="AC20" s="189">
        <f t="shared" ref="AC20" si="50">EOMONTH(AB20,0)+1</f>
        <v>46235</v>
      </c>
      <c r="AD20" s="189">
        <f t="shared" ref="AD20" si="51">EOMONTH(AC20,0)+1</f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 t="shared" ref="H22" si="52">+H28-H23-H27</f>
        <v>151</v>
      </c>
      <c r="J22" s="181">
        <f t="shared" ref="J22:Z22" si="53">+J28-J23-J27</f>
        <v>113</v>
      </c>
      <c r="K22" s="181">
        <f t="shared" si="53"/>
        <v>118</v>
      </c>
      <c r="L22" s="181">
        <f t="shared" si="53"/>
        <v>120</v>
      </c>
      <c r="M22" s="181">
        <f t="shared" si="53"/>
        <v>126</v>
      </c>
      <c r="N22" s="181">
        <f t="shared" si="53"/>
        <v>131</v>
      </c>
      <c r="O22" s="181">
        <f t="shared" si="53"/>
        <v>138</v>
      </c>
      <c r="P22" s="181">
        <f t="shared" si="53"/>
        <v>138</v>
      </c>
      <c r="Q22" s="181">
        <f t="shared" si="53"/>
        <v>143</v>
      </c>
      <c r="R22" s="181">
        <f t="shared" si="53"/>
        <v>148</v>
      </c>
      <c r="S22" s="181">
        <f t="shared" si="53"/>
        <v>151</v>
      </c>
      <c r="T22" s="181">
        <f t="shared" si="53"/>
        <v>156</v>
      </c>
      <c r="U22" s="181">
        <f t="shared" si="53"/>
        <v>155</v>
      </c>
      <c r="V22" s="181">
        <f t="shared" si="53"/>
        <v>157</v>
      </c>
      <c r="W22" s="181">
        <f t="shared" si="53"/>
        <v>164</v>
      </c>
      <c r="X22" s="181">
        <f t="shared" si="53"/>
        <v>172</v>
      </c>
      <c r="Y22" s="181">
        <f t="shared" si="53"/>
        <v>173</v>
      </c>
      <c r="Z22" s="181">
        <f t="shared" si="53"/>
        <v>179</v>
      </c>
      <c r="AA22" s="181">
        <f>+AA28-AA23-AA27</f>
        <v>171</v>
      </c>
      <c r="AB22" s="181">
        <f>+AB28-AB23-AB27</f>
        <v>171</v>
      </c>
      <c r="AC22" s="181">
        <f t="shared" ref="AC22:AD22" si="54">+AC28-AC23-AC27</f>
        <v>172</v>
      </c>
      <c r="AD22" s="181">
        <f t="shared" si="54"/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55">+J38+J53+J83</f>
        <v>9</v>
      </c>
      <c r="K23" s="192">
        <f t="shared" si="55"/>
        <v>5</v>
      </c>
      <c r="L23" s="192">
        <f t="shared" si="55"/>
        <v>8</v>
      </c>
      <c r="M23" s="192">
        <f t="shared" si="55"/>
        <v>9</v>
      </c>
      <c r="N23" s="192">
        <f t="shared" si="55"/>
        <v>9</v>
      </c>
      <c r="O23" s="192">
        <f t="shared" si="55"/>
        <v>6</v>
      </c>
      <c r="P23" s="192">
        <f t="shared" si="55"/>
        <v>7</v>
      </c>
      <c r="Q23" s="192">
        <f t="shared" si="55"/>
        <v>7</v>
      </c>
      <c r="R23" s="192">
        <f t="shared" si="55"/>
        <v>6</v>
      </c>
      <c r="S23" s="192">
        <f t="shared" si="55"/>
        <v>6</v>
      </c>
      <c r="T23" s="192">
        <f t="shared" si="55"/>
        <v>7</v>
      </c>
      <c r="U23" s="192">
        <f t="shared" si="55"/>
        <v>11</v>
      </c>
      <c r="V23" s="192">
        <f t="shared" si="55"/>
        <v>10</v>
      </c>
      <c r="W23" s="192">
        <f t="shared" si="55"/>
        <v>9</v>
      </c>
      <c r="X23" s="192">
        <f t="shared" si="55"/>
        <v>6</v>
      </c>
      <c r="Y23" s="192">
        <f t="shared" si="55"/>
        <v>11</v>
      </c>
      <c r="Z23" s="192">
        <f t="shared" si="55"/>
        <v>7</v>
      </c>
      <c r="AA23" s="192">
        <f t="shared" si="55"/>
        <v>4</v>
      </c>
      <c r="AB23" s="192">
        <f t="shared" si="55"/>
        <v>5</v>
      </c>
      <c r="AC23" s="192">
        <f t="shared" si="55"/>
        <v>3</v>
      </c>
      <c r="AD23" s="192">
        <f t="shared" si="55"/>
        <v>4</v>
      </c>
    </row>
    <row r="24" spans="2:34">
      <c r="B24" s="262" t="s">
        <v>1528</v>
      </c>
      <c r="E24" s="194">
        <f t="shared" ref="E24:E26" si="56">SUM(J24:U24)</f>
        <v>-26</v>
      </c>
      <c r="F24" s="194">
        <f t="shared" ref="F24:F26" si="57">SUM(V24:AD24)</f>
        <v>-25</v>
      </c>
      <c r="H24" s="194">
        <f t="shared" ref="H24:H26" si="58">SUM(S24:AD24)</f>
        <v>-34</v>
      </c>
      <c r="J24" s="192">
        <f t="shared" ref="J24:AD24" si="59">+J39+J54+J84</f>
        <v>0</v>
      </c>
      <c r="K24" s="192">
        <f t="shared" si="59"/>
        <v>-2</v>
      </c>
      <c r="L24" s="192">
        <f t="shared" si="59"/>
        <v>-1</v>
      </c>
      <c r="M24" s="192">
        <f t="shared" si="59"/>
        <v>-3</v>
      </c>
      <c r="N24" s="192">
        <f t="shared" si="59"/>
        <v>0</v>
      </c>
      <c r="O24" s="192">
        <f t="shared" si="59"/>
        <v>-5</v>
      </c>
      <c r="P24" s="192">
        <f t="shared" si="59"/>
        <v>-2</v>
      </c>
      <c r="Q24" s="192">
        <f t="shared" si="59"/>
        <v>-2</v>
      </c>
      <c r="R24" s="192">
        <f t="shared" si="59"/>
        <v>-2</v>
      </c>
      <c r="S24" s="192">
        <f t="shared" si="59"/>
        <v>-1</v>
      </c>
      <c r="T24" s="192">
        <f t="shared" si="59"/>
        <v>-3</v>
      </c>
      <c r="U24" s="192">
        <f t="shared" si="59"/>
        <v>-5</v>
      </c>
      <c r="V24" s="192">
        <f t="shared" si="59"/>
        <v>-1</v>
      </c>
      <c r="W24" s="192">
        <f t="shared" si="59"/>
        <v>-1</v>
      </c>
      <c r="X24" s="192">
        <f t="shared" si="59"/>
        <v>-2</v>
      </c>
      <c r="Y24" s="192">
        <f t="shared" si="59"/>
        <v>-3</v>
      </c>
      <c r="Z24" s="192">
        <f t="shared" si="59"/>
        <v>-12</v>
      </c>
      <c r="AA24" s="192">
        <f t="shared" si="59"/>
        <v>-4</v>
      </c>
      <c r="AB24" s="192">
        <f t="shared" si="59"/>
        <v>-2</v>
      </c>
      <c r="AC24" s="192">
        <f t="shared" si="59"/>
        <v>0</v>
      </c>
      <c r="AD24" s="192">
        <f t="shared" si="59"/>
        <v>0</v>
      </c>
    </row>
    <row r="25" spans="2:34">
      <c r="B25" s="262" t="s">
        <v>1529</v>
      </c>
      <c r="E25" s="194">
        <f t="shared" si="56"/>
        <v>-20</v>
      </c>
      <c r="F25" s="194">
        <f t="shared" si="57"/>
        <v>-6</v>
      </c>
      <c r="H25" s="194">
        <f t="shared" si="58"/>
        <v>-15</v>
      </c>
      <c r="J25" s="192">
        <f t="shared" ref="J25:AD25" si="60">+J40+J55+J85</f>
        <v>-4</v>
      </c>
      <c r="K25" s="192">
        <f t="shared" si="60"/>
        <v>-1</v>
      </c>
      <c r="L25" s="192">
        <f t="shared" si="60"/>
        <v>-1</v>
      </c>
      <c r="M25" s="192">
        <f t="shared" si="60"/>
        <v>-1</v>
      </c>
      <c r="N25" s="192">
        <f t="shared" si="60"/>
        <v>-2</v>
      </c>
      <c r="O25" s="192">
        <f t="shared" si="60"/>
        <v>-1</v>
      </c>
      <c r="P25" s="192">
        <f t="shared" si="60"/>
        <v>0</v>
      </c>
      <c r="Q25" s="192">
        <f t="shared" si="60"/>
        <v>0</v>
      </c>
      <c r="R25" s="192">
        <f t="shared" si="60"/>
        <v>-1</v>
      </c>
      <c r="S25" s="192">
        <f t="shared" si="60"/>
        <v>0</v>
      </c>
      <c r="T25" s="192">
        <f t="shared" si="60"/>
        <v>-5</v>
      </c>
      <c r="U25" s="192">
        <f t="shared" si="60"/>
        <v>-4</v>
      </c>
      <c r="V25" s="192">
        <f t="shared" si="60"/>
        <v>-2</v>
      </c>
      <c r="W25" s="192">
        <f t="shared" si="60"/>
        <v>0</v>
      </c>
      <c r="X25" s="192">
        <f t="shared" si="60"/>
        <v>0</v>
      </c>
      <c r="Y25" s="192">
        <f t="shared" si="60"/>
        <v>-1</v>
      </c>
      <c r="Z25" s="192">
        <f t="shared" si="60"/>
        <v>-2</v>
      </c>
      <c r="AA25" s="192">
        <f t="shared" si="60"/>
        <v>0</v>
      </c>
      <c r="AB25" s="192">
        <f t="shared" si="60"/>
        <v>-1</v>
      </c>
      <c r="AC25" s="192">
        <f t="shared" si="60"/>
        <v>0</v>
      </c>
      <c r="AD25" s="192">
        <f t="shared" si="60"/>
        <v>0</v>
      </c>
    </row>
    <row r="26" spans="2:34">
      <c r="B26" s="262" t="s">
        <v>1530</v>
      </c>
      <c r="E26" s="194">
        <f t="shared" si="56"/>
        <v>0</v>
      </c>
      <c r="F26" s="194">
        <f t="shared" si="57"/>
        <v>-8</v>
      </c>
      <c r="H26" s="194">
        <f t="shared" si="58"/>
        <v>-8</v>
      </c>
      <c r="J26" s="192">
        <f t="shared" ref="J26:AD26" si="61">+J41+J56+J86</f>
        <v>0</v>
      </c>
      <c r="K26" s="192">
        <f t="shared" si="61"/>
        <v>0</v>
      </c>
      <c r="L26" s="192">
        <f t="shared" si="61"/>
        <v>0</v>
      </c>
      <c r="M26" s="192">
        <f t="shared" si="61"/>
        <v>0</v>
      </c>
      <c r="N26" s="192">
        <f t="shared" si="61"/>
        <v>0</v>
      </c>
      <c r="O26" s="192">
        <f t="shared" si="61"/>
        <v>0</v>
      </c>
      <c r="P26" s="192">
        <f t="shared" si="61"/>
        <v>0</v>
      </c>
      <c r="Q26" s="192">
        <f t="shared" si="61"/>
        <v>0</v>
      </c>
      <c r="R26" s="192">
        <f t="shared" si="61"/>
        <v>0</v>
      </c>
      <c r="S26" s="192">
        <f t="shared" si="61"/>
        <v>0</v>
      </c>
      <c r="T26" s="192">
        <f t="shared" si="61"/>
        <v>0</v>
      </c>
      <c r="U26" s="192">
        <f t="shared" si="61"/>
        <v>0</v>
      </c>
      <c r="V26" s="192">
        <f t="shared" si="61"/>
        <v>0</v>
      </c>
      <c r="W26" s="192">
        <f t="shared" si="61"/>
        <v>0</v>
      </c>
      <c r="X26" s="192">
        <f t="shared" si="61"/>
        <v>-3</v>
      </c>
      <c r="Y26" s="192">
        <f t="shared" si="61"/>
        <v>-1</v>
      </c>
      <c r="Z26" s="192">
        <f t="shared" si="61"/>
        <v>-1</v>
      </c>
      <c r="AA26" s="192">
        <f t="shared" si="61"/>
        <v>0</v>
      </c>
      <c r="AB26" s="192">
        <f t="shared" si="61"/>
        <v>-1</v>
      </c>
      <c r="AC26" s="192">
        <f t="shared" si="61"/>
        <v>-2</v>
      </c>
      <c r="AD26" s="192">
        <f t="shared" si="61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62">+J42+J57+J87</f>
        <v>-4</v>
      </c>
      <c r="K27" s="255">
        <f t="shared" si="62"/>
        <v>-3</v>
      </c>
      <c r="L27" s="255">
        <f t="shared" si="62"/>
        <v>-2</v>
      </c>
      <c r="M27" s="255">
        <f t="shared" si="62"/>
        <v>-4</v>
      </c>
      <c r="N27" s="255">
        <f t="shared" si="62"/>
        <v>-2</v>
      </c>
      <c r="O27" s="255">
        <f t="shared" si="62"/>
        <v>-6</v>
      </c>
      <c r="P27" s="255">
        <f t="shared" si="62"/>
        <v>-2</v>
      </c>
      <c r="Q27" s="255">
        <f t="shared" si="62"/>
        <v>-2</v>
      </c>
      <c r="R27" s="255">
        <f t="shared" si="62"/>
        <v>-3</v>
      </c>
      <c r="S27" s="255">
        <f t="shared" si="62"/>
        <v>-1</v>
      </c>
      <c r="T27" s="255">
        <f t="shared" si="62"/>
        <v>-8</v>
      </c>
      <c r="U27" s="255">
        <f t="shared" si="62"/>
        <v>-9</v>
      </c>
      <c r="V27" s="255">
        <f t="shared" si="62"/>
        <v>-3</v>
      </c>
      <c r="W27" s="255">
        <f t="shared" si="62"/>
        <v>-1</v>
      </c>
      <c r="X27" s="255">
        <f t="shared" si="62"/>
        <v>-5</v>
      </c>
      <c r="Y27" s="255">
        <f t="shared" si="62"/>
        <v>-5</v>
      </c>
      <c r="Z27" s="255">
        <f t="shared" si="62"/>
        <v>-15</v>
      </c>
      <c r="AA27" s="255">
        <f t="shared" si="62"/>
        <v>-4</v>
      </c>
      <c r="AB27" s="255">
        <f t="shared" si="62"/>
        <v>-4</v>
      </c>
      <c r="AC27" s="255">
        <f t="shared" si="62"/>
        <v>-2</v>
      </c>
      <c r="AD27" s="255">
        <f t="shared" si="62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" si="63">+K22</f>
        <v>118</v>
      </c>
      <c r="K28" s="257">
        <f t="shared" ref="K28" si="64">+L22</f>
        <v>120</v>
      </c>
      <c r="L28" s="257">
        <f t="shared" ref="L28" si="65">+M22</f>
        <v>126</v>
      </c>
      <c r="M28" s="257">
        <f t="shared" ref="M28" si="66">+N22</f>
        <v>131</v>
      </c>
      <c r="N28" s="257">
        <f t="shared" ref="N28" si="67">+O22</f>
        <v>138</v>
      </c>
      <c r="O28" s="257">
        <f t="shared" ref="O28" si="68">+P22</f>
        <v>138</v>
      </c>
      <c r="P28" s="257">
        <f>+Q22</f>
        <v>143</v>
      </c>
      <c r="Q28" s="257">
        <f t="shared" ref="Q28" si="69">+R22</f>
        <v>148</v>
      </c>
      <c r="R28" s="257">
        <f t="shared" ref="R28" si="70">+S22</f>
        <v>151</v>
      </c>
      <c r="S28" s="259">
        <f t="shared" ref="S28" si="71">+T22</f>
        <v>156</v>
      </c>
      <c r="T28" s="257">
        <f t="shared" ref="T28" si="72">+U22</f>
        <v>155</v>
      </c>
      <c r="U28" s="257">
        <f t="shared" ref="U28" si="73">+V22</f>
        <v>157</v>
      </c>
      <c r="V28" s="257">
        <f t="shared" ref="V28" si="74">+W22</f>
        <v>164</v>
      </c>
      <c r="W28" s="257">
        <f t="shared" ref="W28" si="75">+X22</f>
        <v>172</v>
      </c>
      <c r="X28" s="257">
        <f t="shared" ref="X28" si="76">+Y22</f>
        <v>173</v>
      </c>
      <c r="Y28" s="257">
        <f t="shared" ref="Y28" si="77">+Z22</f>
        <v>179</v>
      </c>
      <c r="Z28" s="257">
        <f t="shared" ref="Z28" si="78">+AA22</f>
        <v>171</v>
      </c>
      <c r="AA28" s="257">
        <f>+AB22</f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79">AVERAGE(K22,K28)</f>
        <v>119</v>
      </c>
      <c r="L30" s="257">
        <f t="shared" si="79"/>
        <v>123</v>
      </c>
      <c r="M30" s="257">
        <f t="shared" si="79"/>
        <v>128.5</v>
      </c>
      <c r="N30" s="257">
        <f t="shared" si="79"/>
        <v>134.5</v>
      </c>
      <c r="O30" s="257">
        <f t="shared" si="79"/>
        <v>138</v>
      </c>
      <c r="P30" s="257">
        <f t="shared" si="79"/>
        <v>140.5</v>
      </c>
      <c r="Q30" s="257">
        <f t="shared" si="79"/>
        <v>145.5</v>
      </c>
      <c r="R30" s="257">
        <f t="shared" si="79"/>
        <v>149.5</v>
      </c>
      <c r="S30" s="259">
        <f t="shared" si="79"/>
        <v>153.5</v>
      </c>
      <c r="T30" s="257">
        <f t="shared" si="79"/>
        <v>155.5</v>
      </c>
      <c r="U30" s="257">
        <f t="shared" si="79"/>
        <v>156</v>
      </c>
      <c r="V30" s="257">
        <f t="shared" si="79"/>
        <v>160.5</v>
      </c>
      <c r="W30" s="257">
        <f t="shared" si="79"/>
        <v>168</v>
      </c>
      <c r="X30" s="257">
        <f t="shared" si="79"/>
        <v>172.5</v>
      </c>
      <c r="Y30" s="257">
        <f t="shared" si="79"/>
        <v>176</v>
      </c>
      <c r="Z30" s="257">
        <f t="shared" si="79"/>
        <v>175</v>
      </c>
      <c r="AA30" s="257">
        <f t="shared" si="79"/>
        <v>171</v>
      </c>
      <c r="AB30" s="257">
        <f t="shared" si="79"/>
        <v>171.5</v>
      </c>
      <c r="AC30" s="257">
        <f t="shared" si="79"/>
        <v>172.5</v>
      </c>
      <c r="AD30" s="260">
        <f t="shared" si="79"/>
        <v>175</v>
      </c>
      <c r="AF30" s="181"/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80">(J23+J22)/J22-1</f>
        <v>7.9646017699114946E-2</v>
      </c>
      <c r="K32" s="233">
        <f t="shared" si="80"/>
        <v>4.2372881355932313E-2</v>
      </c>
      <c r="L32" s="233">
        <f t="shared" si="80"/>
        <v>6.6666666666666652E-2</v>
      </c>
      <c r="M32" s="233">
        <f t="shared" si="80"/>
        <v>7.1428571428571397E-2</v>
      </c>
      <c r="N32" s="233">
        <f t="shared" si="80"/>
        <v>6.8702290076335881E-2</v>
      </c>
      <c r="O32" s="233">
        <f t="shared" si="80"/>
        <v>4.3478260869565188E-2</v>
      </c>
      <c r="P32" s="233">
        <f t="shared" si="80"/>
        <v>5.0724637681159424E-2</v>
      </c>
      <c r="Q32" s="233">
        <f t="shared" si="80"/>
        <v>4.8951048951048959E-2</v>
      </c>
      <c r="R32" s="233">
        <f t="shared" si="80"/>
        <v>4.0540540540540571E-2</v>
      </c>
      <c r="S32" s="243">
        <f t="shared" si="80"/>
        <v>3.9735099337748325E-2</v>
      </c>
      <c r="T32" s="233">
        <f t="shared" si="80"/>
        <v>4.4871794871794934E-2</v>
      </c>
      <c r="U32" s="233">
        <f t="shared" si="80"/>
        <v>7.0967741935483941E-2</v>
      </c>
      <c r="V32" s="233">
        <f t="shared" si="80"/>
        <v>6.3694267515923553E-2</v>
      </c>
      <c r="W32" s="233">
        <f t="shared" si="80"/>
        <v>5.4878048780487854E-2</v>
      </c>
      <c r="X32" s="233">
        <f t="shared" si="80"/>
        <v>3.488372093023262E-2</v>
      </c>
      <c r="Y32" s="233">
        <f t="shared" si="80"/>
        <v>6.3583815028901647E-2</v>
      </c>
      <c r="Z32" s="233">
        <f t="shared" si="80"/>
        <v>3.9106145251396551E-2</v>
      </c>
      <c r="AA32" s="233">
        <f t="shared" si="80"/>
        <v>2.3391812865497075E-2</v>
      </c>
      <c r="AB32" s="233">
        <f t="shared" si="80"/>
        <v>2.9239766081871288E-2</v>
      </c>
      <c r="AC32" s="233">
        <f t="shared" ref="AC32:AD32" si="81">(AC23+AC22)/AC22-1</f>
        <v>1.744186046511631E-2</v>
      </c>
      <c r="AD32" s="244">
        <f t="shared" si="81"/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82">(J27+J30)/J30-1</f>
        <v>-3.4632034632034681E-2</v>
      </c>
      <c r="K33" s="236">
        <f t="shared" si="82"/>
        <v>-2.5210084033613467E-2</v>
      </c>
      <c r="L33" s="236">
        <f t="shared" si="82"/>
        <v>-1.6260162601625994E-2</v>
      </c>
      <c r="M33" s="236">
        <f t="shared" si="82"/>
        <v>-3.1128404669260701E-2</v>
      </c>
      <c r="N33" s="236">
        <f t="shared" si="82"/>
        <v>-1.4869888475836479E-2</v>
      </c>
      <c r="O33" s="236">
        <f t="shared" si="82"/>
        <v>-4.3478260869565188E-2</v>
      </c>
      <c r="P33" s="236">
        <f t="shared" si="82"/>
        <v>-1.4234875444839812E-2</v>
      </c>
      <c r="Q33" s="236">
        <f t="shared" si="82"/>
        <v>-1.3745704467353903E-2</v>
      </c>
      <c r="R33" s="236">
        <f t="shared" si="82"/>
        <v>-2.006688963210701E-2</v>
      </c>
      <c r="S33" s="238">
        <f t="shared" si="82"/>
        <v>-6.514657980456029E-3</v>
      </c>
      <c r="T33" s="236">
        <f t="shared" si="82"/>
        <v>-5.144694533762062E-2</v>
      </c>
      <c r="U33" s="236">
        <f t="shared" si="82"/>
        <v>-5.7692307692307709E-2</v>
      </c>
      <c r="V33" s="236">
        <f t="shared" si="82"/>
        <v>-1.8691588785046731E-2</v>
      </c>
      <c r="W33" s="236">
        <f t="shared" si="82"/>
        <v>-5.9523809523809312E-3</v>
      </c>
      <c r="X33" s="236">
        <f t="shared" si="82"/>
        <v>-2.8985507246376829E-2</v>
      </c>
      <c r="Y33" s="236">
        <f t="shared" si="82"/>
        <v>-2.8409090909090939E-2</v>
      </c>
      <c r="Z33" s="236">
        <f t="shared" si="82"/>
        <v>-8.5714285714285743E-2</v>
      </c>
      <c r="AA33" s="236">
        <f t="shared" si="82"/>
        <v>-2.3391812865497075E-2</v>
      </c>
      <c r="AB33" s="236">
        <f t="shared" si="82"/>
        <v>-2.3323615160349864E-2</v>
      </c>
      <c r="AC33" s="236">
        <f t="shared" si="82"/>
        <v>-1.1594202898550732E-2</v>
      </c>
      <c r="AD33" s="237">
        <f t="shared" si="8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" si="83">EOMONTH(J35,0)+1</f>
        <v>45689</v>
      </c>
      <c r="L35" s="189">
        <f t="shared" ref="L35" si="84">EOMONTH(K35,0)+1</f>
        <v>45717</v>
      </c>
      <c r="M35" s="189">
        <f t="shared" ref="M35" si="85">EOMONTH(L35,0)+1</f>
        <v>45748</v>
      </c>
      <c r="N35" s="189">
        <f t="shared" ref="N35" si="86">EOMONTH(M35,0)+1</f>
        <v>45778</v>
      </c>
      <c r="O35" s="189">
        <f t="shared" ref="O35" si="87">EOMONTH(N35,0)+1</f>
        <v>45809</v>
      </c>
      <c r="P35" s="189">
        <f t="shared" ref="P35" si="88">EOMONTH(O35,0)+1</f>
        <v>45839</v>
      </c>
      <c r="Q35" s="189">
        <v>45870</v>
      </c>
      <c r="R35" s="189">
        <f t="shared" ref="R35" si="89">EOMONTH(Q35,0)+1</f>
        <v>45901</v>
      </c>
      <c r="S35" s="189">
        <f t="shared" ref="S35" si="90">EOMONTH(R35,0)+1</f>
        <v>45931</v>
      </c>
      <c r="T35" s="189">
        <f t="shared" ref="T35" si="91">EOMONTH(S35,0)+1</f>
        <v>45962</v>
      </c>
      <c r="U35" s="189">
        <f t="shared" ref="U35" si="92">EOMONTH(T35,0)+1</f>
        <v>45992</v>
      </c>
      <c r="V35" s="189">
        <f t="shared" ref="V35" si="93">EOMONTH(U35,0)+1</f>
        <v>46023</v>
      </c>
      <c r="W35" s="189">
        <f t="shared" ref="W35" si="94">EOMONTH(V35,0)+1</f>
        <v>46054</v>
      </c>
      <c r="X35" s="189">
        <f t="shared" ref="X35" si="95">EOMONTH(W35,0)+1</f>
        <v>46082</v>
      </c>
      <c r="Y35" s="189">
        <f t="shared" ref="Y35" si="96">EOMONTH(X35,0)+1</f>
        <v>46113</v>
      </c>
      <c r="Z35" s="189">
        <f t="shared" ref="Z35" si="97">EOMONTH(Y35,0)+1</f>
        <v>46143</v>
      </c>
      <c r="AA35" s="189">
        <f t="shared" ref="AA35" si="98">EOMONTH(Z35,0)+1</f>
        <v>46174</v>
      </c>
      <c r="AB35" s="189">
        <f t="shared" ref="AB35" si="99">EOMONTH(AA35,0)+1</f>
        <v>46204</v>
      </c>
      <c r="AC35" s="189">
        <f t="shared" ref="AC35" si="100">EOMONTH(AB35,0)+1</f>
        <v>46235</v>
      </c>
      <c r="AD35" s="189">
        <f t="shared" ref="AD35" si="101">EOMONTH(AC35,0)+1</f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102">+J43-J38-J42</f>
        <v>68</v>
      </c>
      <c r="K37" s="181">
        <f t="shared" si="102"/>
        <v>75</v>
      </c>
      <c r="L37" s="181">
        <f t="shared" si="102"/>
        <v>77</v>
      </c>
      <c r="M37" s="181">
        <f t="shared" si="102"/>
        <v>83</v>
      </c>
      <c r="N37" s="181">
        <f t="shared" si="102"/>
        <v>90</v>
      </c>
      <c r="O37" s="181">
        <f t="shared" si="102"/>
        <v>95</v>
      </c>
      <c r="P37" s="181">
        <f t="shared" si="102"/>
        <v>98</v>
      </c>
      <c r="Q37" s="181">
        <f t="shared" si="102"/>
        <v>101</v>
      </c>
      <c r="R37" s="181">
        <f t="shared" si="102"/>
        <v>105</v>
      </c>
      <c r="S37" s="181">
        <f t="shared" si="102"/>
        <v>109</v>
      </c>
      <c r="T37" s="181">
        <f t="shared" si="102"/>
        <v>113</v>
      </c>
      <c r="U37" s="181">
        <f t="shared" si="102"/>
        <v>118</v>
      </c>
      <c r="V37" s="181">
        <f t="shared" si="102"/>
        <v>124</v>
      </c>
      <c r="W37" s="181">
        <f t="shared" si="102"/>
        <v>130</v>
      </c>
      <c r="X37" s="181">
        <f t="shared" si="102"/>
        <v>135</v>
      </c>
      <c r="Y37" s="181">
        <f t="shared" si="102"/>
        <v>136</v>
      </c>
      <c r="Z37" s="181">
        <f t="shared" si="102"/>
        <v>140</v>
      </c>
      <c r="AA37" s="181">
        <f t="shared" si="102"/>
        <v>140</v>
      </c>
      <c r="AB37" s="181">
        <f t="shared" si="102"/>
        <v>141</v>
      </c>
      <c r="AC37" s="181">
        <f t="shared" si="102"/>
        <v>142</v>
      </c>
      <c r="AD37" s="181">
        <f t="shared" si="102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 t="shared" ref="E39" si="103">SUM(J39:U39)</f>
        <v>-2</v>
      </c>
      <c r="F39" s="194">
        <f t="shared" ref="F39" si="104">SUM(V39:AD39)</f>
        <v>-14</v>
      </c>
      <c r="H39" s="194">
        <f t="shared" ref="H39" si="105"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 t="shared" ref="E40" si="106">SUM(J40:U40)</f>
        <v>-1</v>
      </c>
      <c r="F40" s="194">
        <f t="shared" ref="F40" si="107">SUM(V40:AD40)</f>
        <v>-4</v>
      </c>
      <c r="H40" s="194">
        <f t="shared" ref="H40" si="108"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 t="shared" ref="E41" si="109">SUM(J41:U41)</f>
        <v>0</v>
      </c>
      <c r="F41" s="194">
        <f t="shared" ref="F41" si="110">SUM(V41:AD41)</f>
        <v>-7</v>
      </c>
      <c r="H41" s="194">
        <f t="shared" ref="H41" si="111"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112">+K37</f>
        <v>75</v>
      </c>
      <c r="K43" s="257">
        <f t="shared" si="112"/>
        <v>77</v>
      </c>
      <c r="L43" s="257">
        <f t="shared" si="112"/>
        <v>83</v>
      </c>
      <c r="M43" s="257">
        <f t="shared" si="112"/>
        <v>90</v>
      </c>
      <c r="N43" s="257">
        <f t="shared" si="112"/>
        <v>95</v>
      </c>
      <c r="O43" s="257">
        <f t="shared" si="112"/>
        <v>98</v>
      </c>
      <c r="P43" s="257">
        <f t="shared" si="112"/>
        <v>101</v>
      </c>
      <c r="Q43" s="257">
        <f t="shared" si="112"/>
        <v>105</v>
      </c>
      <c r="R43" s="257">
        <f t="shared" si="112"/>
        <v>109</v>
      </c>
      <c r="S43" s="259">
        <f t="shared" si="112"/>
        <v>113</v>
      </c>
      <c r="T43" s="257">
        <f t="shared" si="112"/>
        <v>118</v>
      </c>
      <c r="U43" s="257">
        <f t="shared" si="112"/>
        <v>124</v>
      </c>
      <c r="V43" s="257">
        <f t="shared" si="112"/>
        <v>130</v>
      </c>
      <c r="W43" s="257">
        <f t="shared" si="112"/>
        <v>135</v>
      </c>
      <c r="X43" s="257">
        <f t="shared" si="112"/>
        <v>136</v>
      </c>
      <c r="Y43" s="257">
        <f t="shared" si="112"/>
        <v>140</v>
      </c>
      <c r="Z43" s="257">
        <f t="shared" si="112"/>
        <v>140</v>
      </c>
      <c r="AA43" s="257">
        <f t="shared" si="112"/>
        <v>141</v>
      </c>
      <c r="AB43" s="257">
        <f t="shared" si="112"/>
        <v>142</v>
      </c>
      <c r="AC43" s="257">
        <f t="shared" si="112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113">AVERAGE(K37,K43)</f>
        <v>76</v>
      </c>
      <c r="L45" s="257">
        <f t="shared" si="113"/>
        <v>80</v>
      </c>
      <c r="M45" s="257">
        <f t="shared" si="113"/>
        <v>86.5</v>
      </c>
      <c r="N45" s="257">
        <f t="shared" si="113"/>
        <v>92.5</v>
      </c>
      <c r="O45" s="257">
        <f t="shared" si="113"/>
        <v>96.5</v>
      </c>
      <c r="P45" s="257">
        <f t="shared" si="113"/>
        <v>99.5</v>
      </c>
      <c r="Q45" s="257">
        <f t="shared" si="113"/>
        <v>103</v>
      </c>
      <c r="R45" s="257">
        <f t="shared" si="113"/>
        <v>107</v>
      </c>
      <c r="S45" s="259">
        <f t="shared" si="113"/>
        <v>111</v>
      </c>
      <c r="T45" s="257">
        <f t="shared" si="113"/>
        <v>115.5</v>
      </c>
      <c r="U45" s="257">
        <f t="shared" si="113"/>
        <v>121</v>
      </c>
      <c r="V45" s="257">
        <f t="shared" si="113"/>
        <v>127</v>
      </c>
      <c r="W45" s="257">
        <f t="shared" si="113"/>
        <v>132.5</v>
      </c>
      <c r="X45" s="257">
        <f t="shared" si="113"/>
        <v>135.5</v>
      </c>
      <c r="Y45" s="257">
        <f t="shared" si="113"/>
        <v>138</v>
      </c>
      <c r="Z45" s="257">
        <f t="shared" si="113"/>
        <v>140</v>
      </c>
      <c r="AA45" s="257">
        <f t="shared" si="113"/>
        <v>140.5</v>
      </c>
      <c r="AB45" s="257">
        <f t="shared" si="113"/>
        <v>141.5</v>
      </c>
      <c r="AC45" s="257">
        <f t="shared" si="113"/>
        <v>142.5</v>
      </c>
      <c r="AD45" s="260">
        <f t="shared" si="113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114">(J38+J37)/J37-1</f>
        <v>0.10294117647058831</v>
      </c>
      <c r="K47" s="233">
        <f t="shared" si="114"/>
        <v>2.6666666666666616E-2</v>
      </c>
      <c r="L47" s="233">
        <f t="shared" si="114"/>
        <v>7.7922077922077948E-2</v>
      </c>
      <c r="M47" s="233">
        <f t="shared" si="114"/>
        <v>8.43373493975903E-2</v>
      </c>
      <c r="N47" s="233">
        <f t="shared" si="114"/>
        <v>5.555555555555558E-2</v>
      </c>
      <c r="O47" s="233">
        <f t="shared" si="114"/>
        <v>3.1578947368421151E-2</v>
      </c>
      <c r="P47" s="233">
        <f t="shared" si="114"/>
        <v>5.1020408163265252E-2</v>
      </c>
      <c r="Q47" s="233">
        <f t="shared" si="114"/>
        <v>3.9603960396039639E-2</v>
      </c>
      <c r="R47" s="233">
        <f t="shared" si="114"/>
        <v>3.8095238095238182E-2</v>
      </c>
      <c r="S47" s="243">
        <f t="shared" si="114"/>
        <v>3.669724770642202E-2</v>
      </c>
      <c r="T47" s="233">
        <f t="shared" si="114"/>
        <v>4.4247787610619538E-2</v>
      </c>
      <c r="U47" s="233">
        <f t="shared" si="114"/>
        <v>5.9322033898305149E-2</v>
      </c>
      <c r="V47" s="233">
        <f t="shared" si="114"/>
        <v>5.6451612903225756E-2</v>
      </c>
      <c r="W47" s="233">
        <f t="shared" si="114"/>
        <v>4.6153846153846212E-2</v>
      </c>
      <c r="X47" s="233">
        <f t="shared" si="114"/>
        <v>3.7037037037036979E-2</v>
      </c>
      <c r="Y47" s="233">
        <f t="shared" si="114"/>
        <v>5.8823529411764719E-2</v>
      </c>
      <c r="Z47" s="233">
        <f t="shared" si="114"/>
        <v>5.0000000000000044E-2</v>
      </c>
      <c r="AA47" s="233">
        <f t="shared" si="114"/>
        <v>2.857142857142847E-2</v>
      </c>
      <c r="AB47" s="233">
        <f t="shared" si="114"/>
        <v>2.8368794326241176E-2</v>
      </c>
      <c r="AC47" s="233">
        <f t="shared" si="114"/>
        <v>2.1126760563380254E-2</v>
      </c>
      <c r="AD47" s="244">
        <f t="shared" si="114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115">(J42+J45)/J45-1</f>
        <v>0</v>
      </c>
      <c r="K48" s="236">
        <f t="shared" si="115"/>
        <v>0</v>
      </c>
      <c r="L48" s="236">
        <f t="shared" si="115"/>
        <v>0</v>
      </c>
      <c r="M48" s="236">
        <f t="shared" si="115"/>
        <v>0</v>
      </c>
      <c r="N48" s="236">
        <f t="shared" si="115"/>
        <v>0</v>
      </c>
      <c r="O48" s="236">
        <f t="shared" si="115"/>
        <v>0</v>
      </c>
      <c r="P48" s="236">
        <f t="shared" si="115"/>
        <v>-2.010050251256279E-2</v>
      </c>
      <c r="Q48" s="236">
        <f t="shared" si="115"/>
        <v>0</v>
      </c>
      <c r="R48" s="236">
        <f t="shared" si="115"/>
        <v>0</v>
      </c>
      <c r="S48" s="238">
        <f t="shared" si="115"/>
        <v>0</v>
      </c>
      <c r="T48" s="236">
        <f t="shared" si="115"/>
        <v>0</v>
      </c>
      <c r="U48" s="236">
        <f t="shared" si="115"/>
        <v>-8.2644628099173278E-3</v>
      </c>
      <c r="V48" s="236">
        <f t="shared" si="115"/>
        <v>-7.8740157480314821E-3</v>
      </c>
      <c r="W48" s="236">
        <f t="shared" si="115"/>
        <v>-7.547169811320753E-3</v>
      </c>
      <c r="X48" s="236">
        <f t="shared" si="115"/>
        <v>-2.9520295202952074E-2</v>
      </c>
      <c r="Y48" s="236">
        <f t="shared" si="115"/>
        <v>-2.8985507246376829E-2</v>
      </c>
      <c r="Z48" s="236">
        <f t="shared" si="115"/>
        <v>-5.0000000000000044E-2</v>
      </c>
      <c r="AA48" s="236">
        <f t="shared" si="115"/>
        <v>-2.1352313167259829E-2</v>
      </c>
      <c r="AB48" s="236">
        <f t="shared" si="115"/>
        <v>-2.1201413427561877E-2</v>
      </c>
      <c r="AC48" s="236">
        <f t="shared" si="115"/>
        <v>-1.4035087719298289E-2</v>
      </c>
      <c r="AD48" s="237">
        <f t="shared" si="115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" si="116">EOMONTH(J50,0)+1</f>
        <v>45689</v>
      </c>
      <c r="L50" s="189">
        <f t="shared" ref="L50" si="117">EOMONTH(K50,0)+1</f>
        <v>45717</v>
      </c>
      <c r="M50" s="189">
        <f t="shared" ref="M50" si="118">EOMONTH(L50,0)+1</f>
        <v>45748</v>
      </c>
      <c r="N50" s="189">
        <f t="shared" ref="N50" si="119">EOMONTH(M50,0)+1</f>
        <v>45778</v>
      </c>
      <c r="O50" s="189">
        <f t="shared" ref="O50" si="120">EOMONTH(N50,0)+1</f>
        <v>45809</v>
      </c>
      <c r="P50" s="189">
        <f t="shared" ref="P50" si="121">EOMONTH(O50,0)+1</f>
        <v>45839</v>
      </c>
      <c r="Q50" s="189">
        <v>45870</v>
      </c>
      <c r="R50" s="189">
        <f t="shared" ref="R50" si="122">EOMONTH(Q50,0)+1</f>
        <v>45901</v>
      </c>
      <c r="S50" s="189">
        <f t="shared" ref="S50" si="123">EOMONTH(R50,0)+1</f>
        <v>45931</v>
      </c>
      <c r="T50" s="189">
        <f t="shared" ref="T50" si="124">EOMONTH(S50,0)+1</f>
        <v>45962</v>
      </c>
      <c r="U50" s="189">
        <f t="shared" ref="U50" si="125">EOMONTH(T50,0)+1</f>
        <v>45992</v>
      </c>
      <c r="V50" s="189">
        <f t="shared" ref="V50" si="126">EOMONTH(U50,0)+1</f>
        <v>46023</v>
      </c>
      <c r="W50" s="189">
        <f t="shared" ref="W50" si="127">EOMONTH(V50,0)+1</f>
        <v>46054</v>
      </c>
      <c r="X50" s="189">
        <f t="shared" ref="X50" si="128">EOMONTH(W50,0)+1</f>
        <v>46082</v>
      </c>
      <c r="Y50" s="189">
        <f t="shared" ref="Y50" si="129">EOMONTH(X50,0)+1</f>
        <v>46113</v>
      </c>
      <c r="Z50" s="189">
        <f t="shared" ref="Z50" si="130">EOMONTH(Y50,0)+1</f>
        <v>46143</v>
      </c>
      <c r="AA50" s="189">
        <f t="shared" ref="AA50" si="131">EOMONTH(Z50,0)+1</f>
        <v>46174</v>
      </c>
      <c r="AB50" s="189">
        <f t="shared" ref="AB50" si="132">EOMONTH(AA50,0)+1</f>
        <v>46204</v>
      </c>
      <c r="AC50" s="189">
        <f t="shared" ref="AC50" si="133">EOMONTH(AB50,0)+1</f>
        <v>46235</v>
      </c>
      <c r="AD50" s="189">
        <f t="shared" ref="AD50" si="134">EOMONTH(AC50,0)+1</f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 t="shared" ref="H52" si="135">+H58-H53-H57</f>
        <v>25</v>
      </c>
      <c r="J52" s="181">
        <f t="shared" ref="J52:Z52" si="136">+J58-J53-J57</f>
        <v>15</v>
      </c>
      <c r="K52" s="181">
        <f t="shared" si="136"/>
        <v>17</v>
      </c>
      <c r="L52" s="181">
        <f t="shared" si="136"/>
        <v>17</v>
      </c>
      <c r="M52" s="181">
        <f t="shared" si="136"/>
        <v>17</v>
      </c>
      <c r="N52" s="181">
        <f t="shared" si="136"/>
        <v>18</v>
      </c>
      <c r="O52" s="181">
        <f t="shared" si="136"/>
        <v>20</v>
      </c>
      <c r="P52" s="181">
        <f t="shared" si="136"/>
        <v>22</v>
      </c>
      <c r="Q52" s="181">
        <f t="shared" si="136"/>
        <v>23</v>
      </c>
      <c r="R52" s="181">
        <f t="shared" si="136"/>
        <v>25</v>
      </c>
      <c r="S52" s="181">
        <f t="shared" si="136"/>
        <v>25</v>
      </c>
      <c r="T52" s="181">
        <f t="shared" si="136"/>
        <v>26</v>
      </c>
      <c r="U52" s="181">
        <f t="shared" si="136"/>
        <v>27</v>
      </c>
      <c r="V52" s="181">
        <f t="shared" si="136"/>
        <v>30</v>
      </c>
      <c r="W52" s="181">
        <f t="shared" si="136"/>
        <v>33</v>
      </c>
      <c r="X52" s="181">
        <f t="shared" si="136"/>
        <v>36</v>
      </c>
      <c r="Y52" s="181">
        <f t="shared" si="136"/>
        <v>36</v>
      </c>
      <c r="Z52" s="181">
        <f t="shared" si="136"/>
        <v>37</v>
      </c>
      <c r="AA52" s="181">
        <f>+AA58-AA53-AA57</f>
        <v>30</v>
      </c>
      <c r="AB52" s="181">
        <f>+AB58-AB53-AB57</f>
        <v>29</v>
      </c>
      <c r="AC52" s="181">
        <f t="shared" ref="AC52:AD52" si="137">+AC58-AC53-AC57</f>
        <v>30</v>
      </c>
      <c r="AD52" s="181">
        <f t="shared" si="137"/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 t="shared" ref="E54:E56" si="138">SUM(J54:U54)</f>
        <v>0</v>
      </c>
      <c r="F54" s="194">
        <f t="shared" ref="F54:F56" si="139">SUM(V54:AD54)</f>
        <v>-9</v>
      </c>
      <c r="H54" s="194">
        <f t="shared" ref="H54:H56" si="140"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 t="shared" si="138"/>
        <v>0</v>
      </c>
      <c r="F55" s="194">
        <f t="shared" si="139"/>
        <v>0</v>
      </c>
      <c r="H55" s="194">
        <f t="shared" si="140"/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 t="shared" si="138"/>
        <v>0</v>
      </c>
      <c r="F56" s="194">
        <f t="shared" si="139"/>
        <v>-1</v>
      </c>
      <c r="H56" s="194">
        <f t="shared" si="140"/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141">+K52</f>
        <v>17</v>
      </c>
      <c r="K58" s="257">
        <f t="shared" si="141"/>
        <v>17</v>
      </c>
      <c r="L58" s="257">
        <f t="shared" si="141"/>
        <v>17</v>
      </c>
      <c r="M58" s="257">
        <f t="shared" si="141"/>
        <v>18</v>
      </c>
      <c r="N58" s="257">
        <f t="shared" si="141"/>
        <v>20</v>
      </c>
      <c r="O58" s="257">
        <f t="shared" si="141"/>
        <v>22</v>
      </c>
      <c r="P58" s="257">
        <f t="shared" si="141"/>
        <v>23</v>
      </c>
      <c r="Q58" s="257">
        <f t="shared" si="141"/>
        <v>25</v>
      </c>
      <c r="R58" s="257">
        <f t="shared" si="141"/>
        <v>25</v>
      </c>
      <c r="S58" s="259">
        <f t="shared" si="141"/>
        <v>26</v>
      </c>
      <c r="T58" s="257">
        <f t="shared" si="141"/>
        <v>27</v>
      </c>
      <c r="U58" s="257">
        <f t="shared" si="141"/>
        <v>30</v>
      </c>
      <c r="V58" s="257">
        <f t="shared" si="141"/>
        <v>33</v>
      </c>
      <c r="W58" s="257">
        <f t="shared" si="141"/>
        <v>36</v>
      </c>
      <c r="X58" s="257">
        <f t="shared" si="141"/>
        <v>36</v>
      </c>
      <c r="Y58" s="257">
        <f t="shared" si="141"/>
        <v>37</v>
      </c>
      <c r="Z58" s="257">
        <f t="shared" si="141"/>
        <v>30</v>
      </c>
      <c r="AA58" s="257">
        <f t="shared" si="141"/>
        <v>29</v>
      </c>
      <c r="AB58" s="257">
        <f t="shared" si="141"/>
        <v>30</v>
      </c>
      <c r="AC58" s="257">
        <f t="shared" si="141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142">AVERAGE(K52,K58)</f>
        <v>17</v>
      </c>
      <c r="L60" s="257">
        <f t="shared" si="142"/>
        <v>17</v>
      </c>
      <c r="M60" s="257">
        <f t="shared" si="142"/>
        <v>17.5</v>
      </c>
      <c r="N60" s="257">
        <f t="shared" si="142"/>
        <v>19</v>
      </c>
      <c r="O60" s="257">
        <f t="shared" si="142"/>
        <v>21</v>
      </c>
      <c r="P60" s="257">
        <f t="shared" si="142"/>
        <v>22.5</v>
      </c>
      <c r="Q60" s="257">
        <f t="shared" si="142"/>
        <v>24</v>
      </c>
      <c r="R60" s="257">
        <f t="shared" si="142"/>
        <v>25</v>
      </c>
      <c r="S60" s="259">
        <f t="shared" si="142"/>
        <v>25.5</v>
      </c>
      <c r="T60" s="257">
        <f t="shared" si="142"/>
        <v>26.5</v>
      </c>
      <c r="U60" s="257">
        <f t="shared" si="142"/>
        <v>28.5</v>
      </c>
      <c r="V60" s="257">
        <f t="shared" si="142"/>
        <v>31.5</v>
      </c>
      <c r="W60" s="257">
        <f t="shared" si="142"/>
        <v>34.5</v>
      </c>
      <c r="X60" s="257">
        <f t="shared" si="142"/>
        <v>36</v>
      </c>
      <c r="Y60" s="257">
        <f t="shared" si="142"/>
        <v>36.5</v>
      </c>
      <c r="Z60" s="257">
        <f t="shared" si="142"/>
        <v>33.5</v>
      </c>
      <c r="AA60" s="257">
        <f t="shared" si="142"/>
        <v>29.5</v>
      </c>
      <c r="AB60" s="257">
        <f t="shared" si="142"/>
        <v>29.5</v>
      </c>
      <c r="AC60" s="257">
        <f t="shared" si="142"/>
        <v>30</v>
      </c>
      <c r="AD60" s="260">
        <f t="shared" si="142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143">(J53+J52)/J52-1</f>
        <v>0.1333333333333333</v>
      </c>
      <c r="K62" s="233">
        <f t="shared" si="143"/>
        <v>0</v>
      </c>
      <c r="L62" s="233">
        <f t="shared" si="143"/>
        <v>0</v>
      </c>
      <c r="M62" s="233">
        <f t="shared" si="143"/>
        <v>5.8823529411764719E-2</v>
      </c>
      <c r="N62" s="233">
        <f t="shared" si="143"/>
        <v>0.11111111111111116</v>
      </c>
      <c r="O62" s="233">
        <f t="shared" si="143"/>
        <v>0.10000000000000009</v>
      </c>
      <c r="P62" s="233">
        <f t="shared" si="143"/>
        <v>4.5454545454545414E-2</v>
      </c>
      <c r="Q62" s="233">
        <f t="shared" si="143"/>
        <v>8.6956521739130377E-2</v>
      </c>
      <c r="R62" s="233">
        <f t="shared" si="143"/>
        <v>0</v>
      </c>
      <c r="S62" s="243">
        <f t="shared" si="143"/>
        <v>4.0000000000000036E-2</v>
      </c>
      <c r="T62" s="233">
        <f t="shared" si="143"/>
        <v>3.8461538461538547E-2</v>
      </c>
      <c r="U62" s="233">
        <f t="shared" si="143"/>
        <v>0.11111111111111116</v>
      </c>
      <c r="V62" s="233">
        <f t="shared" si="143"/>
        <v>0.10000000000000009</v>
      </c>
      <c r="W62" s="233">
        <f t="shared" si="143"/>
        <v>9.0909090909090828E-2</v>
      </c>
      <c r="X62" s="233">
        <f t="shared" si="143"/>
        <v>2.7777777777777679E-2</v>
      </c>
      <c r="Y62" s="233">
        <f t="shared" si="143"/>
        <v>5.555555555555558E-2</v>
      </c>
      <c r="Z62" s="233">
        <f t="shared" si="143"/>
        <v>0</v>
      </c>
      <c r="AA62" s="233">
        <f t="shared" si="143"/>
        <v>0</v>
      </c>
      <c r="AB62" s="233">
        <f t="shared" si="143"/>
        <v>3.4482758620689724E-2</v>
      </c>
      <c r="AC62" s="233">
        <f t="shared" ref="AC62:AD62" si="144">(AC53+AC52)/AC52-1</f>
        <v>0</v>
      </c>
      <c r="AD62" s="244">
        <f t="shared" si="144"/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145">(J57+J60)/J60-1</f>
        <v>0</v>
      </c>
      <c r="K63" s="236">
        <f t="shared" si="145"/>
        <v>0</v>
      </c>
      <c r="L63" s="236">
        <f t="shared" si="145"/>
        <v>0</v>
      </c>
      <c r="M63" s="236">
        <f t="shared" si="145"/>
        <v>0</v>
      </c>
      <c r="N63" s="236">
        <f t="shared" si="145"/>
        <v>0</v>
      </c>
      <c r="O63" s="236">
        <f t="shared" si="145"/>
        <v>0</v>
      </c>
      <c r="P63" s="236">
        <f t="shared" si="145"/>
        <v>0</v>
      </c>
      <c r="Q63" s="236">
        <f t="shared" si="145"/>
        <v>0</v>
      </c>
      <c r="R63" s="236">
        <f t="shared" si="145"/>
        <v>0</v>
      </c>
      <c r="S63" s="238">
        <f t="shared" si="145"/>
        <v>0</v>
      </c>
      <c r="T63" s="236">
        <f t="shared" si="145"/>
        <v>0</v>
      </c>
      <c r="U63" s="236">
        <f t="shared" si="145"/>
        <v>0</v>
      </c>
      <c r="V63" s="236">
        <f t="shared" si="145"/>
        <v>0</v>
      </c>
      <c r="W63" s="236">
        <f t="shared" si="145"/>
        <v>0</v>
      </c>
      <c r="X63" s="236">
        <f t="shared" si="145"/>
        <v>-2.777777777777779E-2</v>
      </c>
      <c r="Y63" s="236">
        <f t="shared" si="145"/>
        <v>-2.7397260273972601E-2</v>
      </c>
      <c r="Z63" s="236">
        <f t="shared" si="145"/>
        <v>-0.20895522388059706</v>
      </c>
      <c r="AA63" s="236">
        <f t="shared" si="145"/>
        <v>-3.3898305084745783E-2</v>
      </c>
      <c r="AB63" s="236">
        <f t="shared" si="145"/>
        <v>0</v>
      </c>
      <c r="AC63" s="236">
        <f t="shared" si="145"/>
        <v>0</v>
      </c>
      <c r="AD63" s="237">
        <f t="shared" si="145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" si="146">EOMONTH(J65,0)+1</f>
        <v>45689</v>
      </c>
      <c r="L65" s="189">
        <f t="shared" ref="L65" si="147">EOMONTH(K65,0)+1</f>
        <v>45717</v>
      </c>
      <c r="M65" s="189">
        <f t="shared" ref="M65" si="148">EOMONTH(L65,0)+1</f>
        <v>45748</v>
      </c>
      <c r="N65" s="189">
        <f t="shared" ref="N65" si="149">EOMONTH(M65,0)+1</f>
        <v>45778</v>
      </c>
      <c r="O65" s="189">
        <f t="shared" ref="O65" si="150">EOMONTH(N65,0)+1</f>
        <v>45809</v>
      </c>
      <c r="P65" s="189">
        <f t="shared" ref="P65" si="151">EOMONTH(O65,0)+1</f>
        <v>45839</v>
      </c>
      <c r="Q65" s="189">
        <v>45870</v>
      </c>
      <c r="R65" s="189">
        <f t="shared" ref="R65" si="152">EOMONTH(Q65,0)+1</f>
        <v>45901</v>
      </c>
      <c r="S65" s="189">
        <f t="shared" ref="S65" si="153">EOMONTH(R65,0)+1</f>
        <v>45931</v>
      </c>
      <c r="T65" s="189">
        <f t="shared" ref="T65" si="154">EOMONTH(S65,0)+1</f>
        <v>45962</v>
      </c>
      <c r="U65" s="189">
        <f t="shared" ref="U65" si="155">EOMONTH(T65,0)+1</f>
        <v>45992</v>
      </c>
      <c r="V65" s="189">
        <f t="shared" ref="V65" si="156">EOMONTH(U65,0)+1</f>
        <v>46023</v>
      </c>
      <c r="W65" s="189">
        <f t="shared" ref="W65" si="157">EOMONTH(V65,0)+1</f>
        <v>46054</v>
      </c>
      <c r="X65" s="189">
        <f t="shared" ref="X65" si="158">EOMONTH(W65,0)+1</f>
        <v>46082</v>
      </c>
      <c r="Y65" s="189">
        <f t="shared" ref="Y65" si="159">EOMONTH(X65,0)+1</f>
        <v>46113</v>
      </c>
      <c r="Z65" s="189">
        <f t="shared" ref="Z65" si="160">EOMONTH(Y65,0)+1</f>
        <v>46143</v>
      </c>
      <c r="AA65" s="189">
        <f t="shared" ref="AA65" si="161">EOMONTH(Z65,0)+1</f>
        <v>46174</v>
      </c>
      <c r="AB65" s="189">
        <f t="shared" ref="AB65" si="162">EOMONTH(AA65,0)+1</f>
        <v>46204</v>
      </c>
      <c r="AC65" s="189">
        <f t="shared" ref="AC65" si="163">EOMONTH(AB65,0)+1</f>
        <v>46235</v>
      </c>
      <c r="AD65" s="189">
        <f t="shared" ref="AD65" si="164">EOMONTH(AC65,0)+1</f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 t="shared" ref="H67" si="165">+H73-H68-H72</f>
        <v>26</v>
      </c>
      <c r="J67" s="181">
        <f t="shared" ref="J67:Z67" si="166">+J73-J68-J72</f>
        <v>32</v>
      </c>
      <c r="K67" s="181">
        <f t="shared" si="166"/>
        <v>29</v>
      </c>
      <c r="L67" s="181">
        <f t="shared" si="166"/>
        <v>28</v>
      </c>
      <c r="M67" s="181">
        <f t="shared" si="166"/>
        <v>28</v>
      </c>
      <c r="N67" s="181">
        <f t="shared" si="166"/>
        <v>28</v>
      </c>
      <c r="O67" s="181">
        <f t="shared" si="166"/>
        <v>27</v>
      </c>
      <c r="P67" s="181">
        <f t="shared" si="166"/>
        <v>27</v>
      </c>
      <c r="Q67" s="181">
        <f t="shared" si="166"/>
        <v>26</v>
      </c>
      <c r="R67" s="181">
        <f t="shared" si="166"/>
        <v>27</v>
      </c>
      <c r="S67" s="181">
        <f t="shared" si="166"/>
        <v>26</v>
      </c>
      <c r="T67" s="181">
        <f t="shared" si="166"/>
        <v>26</v>
      </c>
      <c r="U67" s="181">
        <f t="shared" si="166"/>
        <v>26</v>
      </c>
      <c r="V67" s="181">
        <f t="shared" si="166"/>
        <v>23</v>
      </c>
      <c r="W67" s="181">
        <f t="shared" si="166"/>
        <v>22</v>
      </c>
      <c r="X67" s="181">
        <f t="shared" si="166"/>
        <v>21</v>
      </c>
      <c r="Y67" s="181">
        <f t="shared" si="166"/>
        <v>19</v>
      </c>
      <c r="Z67" s="181">
        <f t="shared" si="166"/>
        <v>19</v>
      </c>
      <c r="AA67" s="181">
        <f>+AA73-AA68-AA72</f>
        <v>18</v>
      </c>
      <c r="AB67" s="181">
        <f>+AB73-AB68-AB72</f>
        <v>18</v>
      </c>
      <c r="AC67" s="181">
        <f t="shared" ref="AC67:AD67" si="167">+AC73-AC68-AC72</f>
        <v>2</v>
      </c>
      <c r="AD67" s="181">
        <f t="shared" si="167"/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 t="shared" ref="E69:E71" si="168">SUM(J69:U69)</f>
        <v>-7</v>
      </c>
      <c r="F69" s="194">
        <f t="shared" ref="F69:F71" si="169">SUM(V69:AD69)</f>
        <v>-5</v>
      </c>
      <c r="H69" s="194">
        <f t="shared" ref="H69:H71" si="170"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 t="shared" si="168"/>
        <v>-4</v>
      </c>
      <c r="F70" s="194">
        <f t="shared" si="169"/>
        <v>-15</v>
      </c>
      <c r="H70" s="194">
        <f t="shared" si="170"/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 t="shared" si="168"/>
        <v>0</v>
      </c>
      <c r="F71" s="194">
        <f t="shared" si="169"/>
        <v>-1</v>
      </c>
      <c r="H71" s="194">
        <f t="shared" si="170"/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171">+K67</f>
        <v>29</v>
      </c>
      <c r="K73" s="257">
        <f t="shared" si="171"/>
        <v>28</v>
      </c>
      <c r="L73" s="257">
        <f t="shared" si="171"/>
        <v>28</v>
      </c>
      <c r="M73" s="257">
        <f t="shared" si="171"/>
        <v>28</v>
      </c>
      <c r="N73" s="257">
        <f t="shared" si="171"/>
        <v>27</v>
      </c>
      <c r="O73" s="257">
        <f t="shared" si="171"/>
        <v>27</v>
      </c>
      <c r="P73" s="257">
        <f t="shared" si="171"/>
        <v>26</v>
      </c>
      <c r="Q73" s="257">
        <f t="shared" si="171"/>
        <v>27</v>
      </c>
      <c r="R73" s="257">
        <f t="shared" si="171"/>
        <v>26</v>
      </c>
      <c r="S73" s="259">
        <f t="shared" si="171"/>
        <v>26</v>
      </c>
      <c r="T73" s="257">
        <f t="shared" si="171"/>
        <v>26</v>
      </c>
      <c r="U73" s="257">
        <f t="shared" si="171"/>
        <v>23</v>
      </c>
      <c r="V73" s="257">
        <f t="shared" si="171"/>
        <v>22</v>
      </c>
      <c r="W73" s="257">
        <f t="shared" si="171"/>
        <v>21</v>
      </c>
      <c r="X73" s="257">
        <f t="shared" si="171"/>
        <v>19</v>
      </c>
      <c r="Y73" s="257">
        <f t="shared" si="171"/>
        <v>19</v>
      </c>
      <c r="Z73" s="257">
        <f t="shared" si="171"/>
        <v>18</v>
      </c>
      <c r="AA73" s="257">
        <f t="shared" si="171"/>
        <v>18</v>
      </c>
      <c r="AB73" s="257">
        <f t="shared" si="171"/>
        <v>2</v>
      </c>
      <c r="AC73" s="257">
        <f t="shared" si="171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172">AVERAGE(K67,K73)</f>
        <v>28.5</v>
      </c>
      <c r="L75" s="257">
        <f t="shared" si="172"/>
        <v>28</v>
      </c>
      <c r="M75" s="257">
        <f t="shared" si="172"/>
        <v>28</v>
      </c>
      <c r="N75" s="257">
        <f t="shared" si="172"/>
        <v>27.5</v>
      </c>
      <c r="O75" s="257">
        <f t="shared" si="172"/>
        <v>27</v>
      </c>
      <c r="P75" s="257">
        <f t="shared" si="172"/>
        <v>26.5</v>
      </c>
      <c r="Q75" s="257">
        <f t="shared" si="172"/>
        <v>26.5</v>
      </c>
      <c r="R75" s="257">
        <f t="shared" si="172"/>
        <v>26.5</v>
      </c>
      <c r="S75" s="259">
        <f t="shared" si="172"/>
        <v>26</v>
      </c>
      <c r="T75" s="257">
        <f t="shared" si="172"/>
        <v>26</v>
      </c>
      <c r="U75" s="257">
        <f t="shared" si="172"/>
        <v>24.5</v>
      </c>
      <c r="V75" s="257">
        <f t="shared" si="172"/>
        <v>22.5</v>
      </c>
      <c r="W75" s="257">
        <f t="shared" si="172"/>
        <v>21.5</v>
      </c>
      <c r="X75" s="257">
        <f t="shared" si="172"/>
        <v>20</v>
      </c>
      <c r="Y75" s="257">
        <f t="shared" si="172"/>
        <v>19</v>
      </c>
      <c r="Z75" s="257">
        <f t="shared" si="172"/>
        <v>18.5</v>
      </c>
      <c r="AA75" s="257">
        <f t="shared" si="172"/>
        <v>18</v>
      </c>
      <c r="AB75" s="257">
        <f t="shared" si="172"/>
        <v>10</v>
      </c>
      <c r="AC75" s="257">
        <f t="shared" si="172"/>
        <v>2</v>
      </c>
      <c r="AD75" s="260">
        <f t="shared" si="172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173">(J68+J67)/J67-1</f>
        <v>0</v>
      </c>
      <c r="K77" s="233">
        <f t="shared" si="173"/>
        <v>0</v>
      </c>
      <c r="L77" s="233">
        <f t="shared" si="173"/>
        <v>0</v>
      </c>
      <c r="M77" s="233">
        <f t="shared" si="173"/>
        <v>0</v>
      </c>
      <c r="N77" s="233">
        <f t="shared" si="173"/>
        <v>0</v>
      </c>
      <c r="O77" s="233">
        <f t="shared" si="173"/>
        <v>3.7037037037036979E-2</v>
      </c>
      <c r="P77" s="233">
        <f t="shared" si="173"/>
        <v>0</v>
      </c>
      <c r="Q77" s="233">
        <f t="shared" si="173"/>
        <v>3.8461538461538547E-2</v>
      </c>
      <c r="R77" s="233">
        <f t="shared" si="173"/>
        <v>0</v>
      </c>
      <c r="S77" s="243">
        <f t="shared" si="173"/>
        <v>0</v>
      </c>
      <c r="T77" s="233">
        <f t="shared" si="173"/>
        <v>0</v>
      </c>
      <c r="U77" s="233">
        <f t="shared" si="173"/>
        <v>0</v>
      </c>
      <c r="V77" s="233">
        <f t="shared" si="173"/>
        <v>0</v>
      </c>
      <c r="W77" s="233">
        <f t="shared" si="173"/>
        <v>0</v>
      </c>
      <c r="X77" s="233">
        <f t="shared" si="173"/>
        <v>0</v>
      </c>
      <c r="Y77" s="233">
        <f t="shared" si="173"/>
        <v>0</v>
      </c>
      <c r="Z77" s="233">
        <f t="shared" si="173"/>
        <v>0</v>
      </c>
      <c r="AA77" s="233">
        <f t="shared" si="173"/>
        <v>0</v>
      </c>
      <c r="AB77" s="233">
        <f t="shared" si="173"/>
        <v>0</v>
      </c>
      <c r="AC77" s="233">
        <f t="shared" ref="AC77:AD77" si="174">(AC68+AC67)/AC67-1</f>
        <v>0</v>
      </c>
      <c r="AD77" s="244">
        <f t="shared" si="174"/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175">(J72+J75)/J75-1</f>
        <v>-9.8360655737704916E-2</v>
      </c>
      <c r="K78" s="236">
        <f t="shared" si="175"/>
        <v>-3.5087719298245612E-2</v>
      </c>
      <c r="L78" s="236">
        <f t="shared" si="175"/>
        <v>0</v>
      </c>
      <c r="M78" s="236">
        <f t="shared" si="175"/>
        <v>0</v>
      </c>
      <c r="N78" s="236">
        <f t="shared" si="175"/>
        <v>-3.6363636363636376E-2</v>
      </c>
      <c r="O78" s="236">
        <f t="shared" si="175"/>
        <v>-3.703703703703709E-2</v>
      </c>
      <c r="P78" s="236">
        <f t="shared" si="175"/>
        <v>-3.7735849056603765E-2</v>
      </c>
      <c r="Q78" s="236">
        <f t="shared" si="175"/>
        <v>0</v>
      </c>
      <c r="R78" s="236">
        <f t="shared" si="175"/>
        <v>-3.7735849056603765E-2</v>
      </c>
      <c r="S78" s="238">
        <f t="shared" si="175"/>
        <v>0</v>
      </c>
      <c r="T78" s="236">
        <f t="shared" si="175"/>
        <v>0</v>
      </c>
      <c r="U78" s="236">
        <f t="shared" si="175"/>
        <v>-0.12244897959183676</v>
      </c>
      <c r="V78" s="236">
        <f t="shared" si="175"/>
        <v>-4.4444444444444398E-2</v>
      </c>
      <c r="W78" s="236">
        <f t="shared" si="175"/>
        <v>-4.6511627906976716E-2</v>
      </c>
      <c r="X78" s="236">
        <f t="shared" si="175"/>
        <v>-9.9999999999999978E-2</v>
      </c>
      <c r="Y78" s="236">
        <f t="shared" si="175"/>
        <v>0</v>
      </c>
      <c r="Z78" s="236">
        <f t="shared" si="175"/>
        <v>-5.4054054054054057E-2</v>
      </c>
      <c r="AA78" s="236">
        <f t="shared" si="175"/>
        <v>0</v>
      </c>
      <c r="AB78" s="236">
        <f t="shared" si="175"/>
        <v>-1.6</v>
      </c>
      <c r="AC78" s="236">
        <f t="shared" si="175"/>
        <v>0</v>
      </c>
      <c r="AD78" s="237">
        <f t="shared" si="175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" si="176">EOMONTH(J80,0)+1</f>
        <v>45689</v>
      </c>
      <c r="L80" s="189">
        <f t="shared" ref="L80" si="177">EOMONTH(K80,0)+1</f>
        <v>45717</v>
      </c>
      <c r="M80" s="189">
        <f t="shared" ref="M80" si="178">EOMONTH(L80,0)+1</f>
        <v>45748</v>
      </c>
      <c r="N80" s="189">
        <f t="shared" ref="N80" si="179">EOMONTH(M80,0)+1</f>
        <v>45778</v>
      </c>
      <c r="O80" s="189">
        <f t="shared" ref="O80" si="180">EOMONTH(N80,0)+1</f>
        <v>45809</v>
      </c>
      <c r="P80" s="189">
        <f t="shared" ref="P80" si="181">EOMONTH(O80,0)+1</f>
        <v>45839</v>
      </c>
      <c r="Q80" s="189">
        <v>45870</v>
      </c>
      <c r="R80" s="189">
        <f t="shared" ref="R80" si="182">EOMONTH(Q80,0)+1</f>
        <v>45901</v>
      </c>
      <c r="S80" s="189">
        <f t="shared" ref="S80" si="183">EOMONTH(R80,0)+1</f>
        <v>45931</v>
      </c>
      <c r="T80" s="189">
        <f t="shared" ref="T80" si="184">EOMONTH(S80,0)+1</f>
        <v>45962</v>
      </c>
      <c r="U80" s="189">
        <f t="shared" ref="U80" si="185">EOMONTH(T80,0)+1</f>
        <v>45992</v>
      </c>
      <c r="V80" s="189">
        <f t="shared" ref="V80" si="186">EOMONTH(U80,0)+1</f>
        <v>46023</v>
      </c>
      <c r="W80" s="189">
        <f t="shared" ref="W80" si="187">EOMONTH(V80,0)+1</f>
        <v>46054</v>
      </c>
      <c r="X80" s="189">
        <f t="shared" ref="X80" si="188">EOMONTH(W80,0)+1</f>
        <v>46082</v>
      </c>
      <c r="Y80" s="189">
        <f t="shared" ref="Y80" si="189">EOMONTH(X80,0)+1</f>
        <v>46113</v>
      </c>
      <c r="Z80" s="189">
        <f t="shared" ref="Z80" si="190">EOMONTH(Y80,0)+1</f>
        <v>46143</v>
      </c>
      <c r="AA80" s="189">
        <f t="shared" ref="AA80" si="191">EOMONTH(Z80,0)+1</f>
        <v>46174</v>
      </c>
      <c r="AB80" s="189">
        <f t="shared" ref="AB80" si="192">EOMONTH(AA80,0)+1</f>
        <v>46204</v>
      </c>
      <c r="AC80" s="189">
        <f t="shared" ref="AC80" si="193">EOMONTH(AB80,0)+1</f>
        <v>46235</v>
      </c>
      <c r="AD80" s="189">
        <f t="shared" ref="AD80" si="194">EOMONTH(AC80,0)+1</f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 t="shared" ref="H82" si="195">+H88-H83-H87</f>
        <v>17</v>
      </c>
      <c r="J82" s="181">
        <f t="shared" ref="J82:Z82" si="196">+J88-J83-J87</f>
        <v>30</v>
      </c>
      <c r="K82" s="181">
        <f t="shared" si="196"/>
        <v>26</v>
      </c>
      <c r="L82" s="181">
        <f t="shared" si="196"/>
        <v>26</v>
      </c>
      <c r="M82" s="181">
        <f t="shared" si="196"/>
        <v>26</v>
      </c>
      <c r="N82" s="181">
        <f t="shared" si="196"/>
        <v>23</v>
      </c>
      <c r="O82" s="181">
        <f t="shared" si="196"/>
        <v>23</v>
      </c>
      <c r="P82" s="181">
        <f t="shared" si="196"/>
        <v>18</v>
      </c>
      <c r="Q82" s="181">
        <f t="shared" si="196"/>
        <v>19</v>
      </c>
      <c r="R82" s="181">
        <f t="shared" si="196"/>
        <v>18</v>
      </c>
      <c r="S82" s="181">
        <f t="shared" si="196"/>
        <v>17</v>
      </c>
      <c r="T82" s="181">
        <f t="shared" si="196"/>
        <v>17</v>
      </c>
      <c r="U82" s="181">
        <f t="shared" si="196"/>
        <v>10</v>
      </c>
      <c r="V82" s="181">
        <f t="shared" si="196"/>
        <v>3</v>
      </c>
      <c r="W82" s="181">
        <f t="shared" si="196"/>
        <v>1</v>
      </c>
      <c r="X82" s="181">
        <f t="shared" si="196"/>
        <v>1</v>
      </c>
      <c r="Y82" s="181">
        <f t="shared" si="196"/>
        <v>1</v>
      </c>
      <c r="Z82" s="181">
        <f t="shared" si="196"/>
        <v>2</v>
      </c>
      <c r="AA82" s="181">
        <f>+AA88-AA83-AA87</f>
        <v>1</v>
      </c>
      <c r="AB82" s="181">
        <f>+AB88-AB83-AB87</f>
        <v>1</v>
      </c>
      <c r="AC82" s="181">
        <f t="shared" ref="AC82:AD82" si="197">+AC88-AC83-AC87</f>
        <v>0</v>
      </c>
      <c r="AD82" s="181">
        <f t="shared" si="197"/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 t="shared" ref="E84:E86" si="198">SUM(J84:U84)</f>
        <v>-24</v>
      </c>
      <c r="F84" s="194">
        <f t="shared" ref="F84:F86" si="199">SUM(V84:AD84)</f>
        <v>-2</v>
      </c>
      <c r="H84" s="194">
        <f t="shared" ref="H84:H86" si="200"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 t="shared" si="198"/>
        <v>-19</v>
      </c>
      <c r="F85" s="194">
        <f t="shared" si="199"/>
        <v>-2</v>
      </c>
      <c r="H85" s="194">
        <f t="shared" si="200"/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 t="shared" si="198"/>
        <v>0</v>
      </c>
      <c r="F86" s="194">
        <f t="shared" si="199"/>
        <v>0</v>
      </c>
      <c r="H86" s="194">
        <f t="shared" si="200"/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201">+K82</f>
        <v>26</v>
      </c>
      <c r="K88" s="257">
        <f t="shared" si="201"/>
        <v>26</v>
      </c>
      <c r="L88" s="257">
        <f t="shared" si="201"/>
        <v>26</v>
      </c>
      <c r="M88" s="257">
        <f t="shared" si="201"/>
        <v>23</v>
      </c>
      <c r="N88" s="257">
        <f t="shared" si="201"/>
        <v>23</v>
      </c>
      <c r="O88" s="257">
        <f t="shared" si="201"/>
        <v>18</v>
      </c>
      <c r="P88" s="257">
        <f t="shared" si="201"/>
        <v>19</v>
      </c>
      <c r="Q88" s="257">
        <f t="shared" si="201"/>
        <v>18</v>
      </c>
      <c r="R88" s="257">
        <f t="shared" si="201"/>
        <v>17</v>
      </c>
      <c r="S88" s="259">
        <f t="shared" si="201"/>
        <v>17</v>
      </c>
      <c r="T88" s="257">
        <f t="shared" si="201"/>
        <v>10</v>
      </c>
      <c r="U88" s="257">
        <f t="shared" si="201"/>
        <v>3</v>
      </c>
      <c r="V88" s="257">
        <f t="shared" si="201"/>
        <v>1</v>
      </c>
      <c r="W88" s="257">
        <f t="shared" si="201"/>
        <v>1</v>
      </c>
      <c r="X88" s="257">
        <f t="shared" si="201"/>
        <v>1</v>
      </c>
      <c r="Y88" s="257">
        <f t="shared" si="201"/>
        <v>2</v>
      </c>
      <c r="Z88" s="257">
        <f t="shared" si="201"/>
        <v>1</v>
      </c>
      <c r="AA88" s="257">
        <f t="shared" si="201"/>
        <v>1</v>
      </c>
      <c r="AB88" s="257">
        <f t="shared" si="201"/>
        <v>0</v>
      </c>
      <c r="AC88" s="257">
        <f t="shared" si="201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202">AVERAGE(K82,K88)</f>
        <v>26</v>
      </c>
      <c r="L90" s="257">
        <f t="shared" si="202"/>
        <v>26</v>
      </c>
      <c r="M90" s="257">
        <f t="shared" si="202"/>
        <v>24.5</v>
      </c>
      <c r="N90" s="257">
        <f t="shared" si="202"/>
        <v>23</v>
      </c>
      <c r="O90" s="257">
        <f t="shared" si="202"/>
        <v>20.5</v>
      </c>
      <c r="P90" s="257">
        <f t="shared" si="202"/>
        <v>18.5</v>
      </c>
      <c r="Q90" s="257">
        <f t="shared" si="202"/>
        <v>18.5</v>
      </c>
      <c r="R90" s="257">
        <f t="shared" si="202"/>
        <v>17.5</v>
      </c>
      <c r="S90" s="259">
        <f t="shared" si="202"/>
        <v>17</v>
      </c>
      <c r="T90" s="257">
        <f t="shared" si="202"/>
        <v>13.5</v>
      </c>
      <c r="U90" s="257">
        <f t="shared" si="202"/>
        <v>6.5</v>
      </c>
      <c r="V90" s="257">
        <f t="shared" si="202"/>
        <v>2</v>
      </c>
      <c r="W90" s="257">
        <f t="shared" si="202"/>
        <v>1</v>
      </c>
      <c r="X90" s="257">
        <f t="shared" si="202"/>
        <v>1</v>
      </c>
      <c r="Y90" s="257">
        <f t="shared" si="202"/>
        <v>1.5</v>
      </c>
      <c r="Z90" s="257">
        <f t="shared" si="202"/>
        <v>1.5</v>
      </c>
      <c r="AA90" s="257">
        <f t="shared" si="202"/>
        <v>1</v>
      </c>
      <c r="AB90" s="257">
        <f t="shared" si="202"/>
        <v>0.5</v>
      </c>
      <c r="AC90" s="257">
        <f t="shared" si="202"/>
        <v>0</v>
      </c>
      <c r="AD90" s="260">
        <f t="shared" si="202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203">(J83+J82)/J82-1</f>
        <v>0</v>
      </c>
      <c r="K92" s="233">
        <f t="shared" si="203"/>
        <v>0.11538461538461542</v>
      </c>
      <c r="L92" s="233">
        <f t="shared" si="203"/>
        <v>7.6923076923076872E-2</v>
      </c>
      <c r="M92" s="233">
        <f t="shared" si="203"/>
        <v>3.8461538461538547E-2</v>
      </c>
      <c r="N92" s="233">
        <f t="shared" si="203"/>
        <v>8.6956521739130377E-2</v>
      </c>
      <c r="O92" s="233">
        <f t="shared" si="203"/>
        <v>4.3478260869565188E-2</v>
      </c>
      <c r="P92" s="233">
        <f t="shared" si="203"/>
        <v>5.555555555555558E-2</v>
      </c>
      <c r="Q92" s="233">
        <f t="shared" si="203"/>
        <v>5.2631578947368363E-2</v>
      </c>
      <c r="R92" s="233">
        <f t="shared" si="203"/>
        <v>0.11111111111111116</v>
      </c>
      <c r="S92" s="243">
        <f t="shared" si="203"/>
        <v>5.8823529411764719E-2</v>
      </c>
      <c r="T92" s="233">
        <f t="shared" si="203"/>
        <v>5.8823529411764719E-2</v>
      </c>
      <c r="U92" s="233">
        <f t="shared" si="203"/>
        <v>0.10000000000000009</v>
      </c>
      <c r="V92" s="233">
        <f t="shared" si="203"/>
        <v>0</v>
      </c>
      <c r="W92" s="233">
        <f t="shared" si="203"/>
        <v>0</v>
      </c>
      <c r="X92" s="233">
        <f t="shared" si="203"/>
        <v>0</v>
      </c>
      <c r="Y92" s="233">
        <f t="shared" si="203"/>
        <v>1</v>
      </c>
      <c r="Z92" s="233">
        <f t="shared" si="203"/>
        <v>0</v>
      </c>
      <c r="AA92" s="233">
        <f t="shared" si="203"/>
        <v>0</v>
      </c>
      <c r="AB92" s="233">
        <f t="shared" si="203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204">(J87+J90)/J90-1</f>
        <v>-0.1428571428571429</v>
      </c>
      <c r="K93" s="236">
        <f t="shared" si="204"/>
        <v>-0.11538461538461542</v>
      </c>
      <c r="L93" s="236">
        <f t="shared" si="204"/>
        <v>-7.6923076923076872E-2</v>
      </c>
      <c r="M93" s="236">
        <f t="shared" si="204"/>
        <v>-0.16326530612244894</v>
      </c>
      <c r="N93" s="236">
        <f t="shared" si="204"/>
        <v>-8.6956521739130488E-2</v>
      </c>
      <c r="O93" s="236">
        <f t="shared" si="204"/>
        <v>-0.29268292682926833</v>
      </c>
      <c r="P93" s="236">
        <f t="shared" si="204"/>
        <v>0</v>
      </c>
      <c r="Q93" s="236">
        <f t="shared" si="204"/>
        <v>-0.10810810810810811</v>
      </c>
      <c r="R93" s="236">
        <f t="shared" si="204"/>
        <v>-0.17142857142857137</v>
      </c>
      <c r="S93" s="238">
        <f t="shared" si="204"/>
        <v>-5.8823529411764719E-2</v>
      </c>
      <c r="T93" s="236">
        <f t="shared" si="204"/>
        <v>-0.59259259259259256</v>
      </c>
      <c r="U93" s="236">
        <f t="shared" si="204"/>
        <v>-1.2307692307692308</v>
      </c>
      <c r="V93" s="236">
        <f t="shared" si="204"/>
        <v>-1</v>
      </c>
      <c r="W93" s="236">
        <f t="shared" si="204"/>
        <v>0</v>
      </c>
      <c r="X93" s="236">
        <f t="shared" si="204"/>
        <v>0</v>
      </c>
      <c r="Y93" s="236">
        <f t="shared" si="204"/>
        <v>0</v>
      </c>
      <c r="Z93" s="236">
        <f t="shared" si="204"/>
        <v>-0.66666666666666674</v>
      </c>
      <c r="AA93" s="236">
        <f t="shared" si="204"/>
        <v>0</v>
      </c>
      <c r="AB93" s="236">
        <f t="shared" si="204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" si="205">EOMONTH(J95,0)+1</f>
        <v>45689</v>
      </c>
      <c r="L95" s="189">
        <f t="shared" ref="L95" si="206">EOMONTH(K95,0)+1</f>
        <v>45717</v>
      </c>
      <c r="M95" s="189">
        <f t="shared" ref="M95" si="207">EOMONTH(L95,0)+1</f>
        <v>45748</v>
      </c>
      <c r="N95" s="189">
        <f t="shared" ref="N95" si="208">EOMONTH(M95,0)+1</f>
        <v>45778</v>
      </c>
      <c r="O95" s="189">
        <f t="shared" ref="O95" si="209">EOMONTH(N95,0)+1</f>
        <v>45809</v>
      </c>
      <c r="P95" s="189">
        <f t="shared" ref="P95" si="210">EOMONTH(O95,0)+1</f>
        <v>45839</v>
      </c>
      <c r="Q95" s="189">
        <v>45870</v>
      </c>
      <c r="R95" s="189">
        <f t="shared" ref="R95" si="211">EOMONTH(Q95,0)+1</f>
        <v>45901</v>
      </c>
      <c r="S95" s="189">
        <f t="shared" ref="S95" si="212">EOMONTH(R95,0)+1</f>
        <v>45931</v>
      </c>
      <c r="T95" s="189">
        <f t="shared" ref="T95" si="213">EOMONTH(S95,0)+1</f>
        <v>45962</v>
      </c>
      <c r="U95" s="189">
        <f t="shared" ref="U95" si="214">EOMONTH(T95,0)+1</f>
        <v>45992</v>
      </c>
      <c r="V95" s="189">
        <f t="shared" ref="V95" si="215">EOMONTH(U95,0)+1</f>
        <v>46023</v>
      </c>
      <c r="W95" s="189">
        <f t="shared" ref="W95" si="216">EOMONTH(V95,0)+1</f>
        <v>46054</v>
      </c>
      <c r="X95" s="189">
        <f t="shared" ref="X95" si="217">EOMONTH(W95,0)+1</f>
        <v>46082</v>
      </c>
      <c r="Y95" s="189">
        <f t="shared" ref="Y95" si="218">EOMONTH(X95,0)+1</f>
        <v>46113</v>
      </c>
      <c r="Z95" s="189">
        <f t="shared" ref="Z95" si="219">EOMONTH(Y95,0)+1</f>
        <v>46143</v>
      </c>
      <c r="AA95" s="189">
        <f t="shared" ref="AA95" si="220">EOMONTH(Z95,0)+1</f>
        <v>46174</v>
      </c>
      <c r="AB95" s="189">
        <f t="shared" ref="AB95" si="221">EOMONTH(AA95,0)+1</f>
        <v>46204</v>
      </c>
      <c r="AC95" s="189">
        <f t="shared" ref="AC95" si="222">EOMONTH(AB95,0)+1</f>
        <v>46235</v>
      </c>
      <c r="AD95" s="189">
        <f t="shared" ref="AD95" si="223">EOMONTH(AC95,0)+1</f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 t="shared" ref="H97" si="224">+H103-H98-H102</f>
        <v>1</v>
      </c>
      <c r="J97" s="181">
        <f t="shared" ref="J97:Z97" si="225">+J103-J98-J102</f>
        <v>0</v>
      </c>
      <c r="K97" s="181">
        <f t="shared" si="225"/>
        <v>0</v>
      </c>
      <c r="L97" s="181">
        <f t="shared" si="225"/>
        <v>0</v>
      </c>
      <c r="M97" s="181">
        <f t="shared" si="225"/>
        <v>0</v>
      </c>
      <c r="N97" s="181">
        <f t="shared" si="225"/>
        <v>0</v>
      </c>
      <c r="O97" s="181">
        <f t="shared" si="225"/>
        <v>0</v>
      </c>
      <c r="P97" s="181">
        <f t="shared" si="225"/>
        <v>0</v>
      </c>
      <c r="Q97" s="181">
        <f t="shared" si="225"/>
        <v>0</v>
      </c>
      <c r="R97" s="181">
        <f t="shared" si="225"/>
        <v>0</v>
      </c>
      <c r="S97" s="181">
        <f t="shared" si="225"/>
        <v>1</v>
      </c>
      <c r="T97" s="181">
        <f t="shared" si="225"/>
        <v>9</v>
      </c>
      <c r="U97" s="181">
        <f t="shared" si="225"/>
        <v>8</v>
      </c>
      <c r="V97" s="181">
        <f t="shared" si="225"/>
        <v>8</v>
      </c>
      <c r="W97" s="181">
        <f t="shared" si="225"/>
        <v>9</v>
      </c>
      <c r="X97" s="181">
        <f t="shared" si="225"/>
        <v>11</v>
      </c>
      <c r="Y97" s="181">
        <f t="shared" si="225"/>
        <v>11</v>
      </c>
      <c r="Z97" s="181">
        <f t="shared" si="225"/>
        <v>11</v>
      </c>
      <c r="AA97" s="181">
        <f>+AA103-AA98-AA102</f>
        <v>11</v>
      </c>
      <c r="AB97" s="181">
        <f>+AB103-AB98-AB102</f>
        <v>11</v>
      </c>
      <c r="AC97" s="181">
        <f t="shared" ref="AC97:AD97" si="226">+AC103-AC98-AC102</f>
        <v>11</v>
      </c>
      <c r="AD97" s="181">
        <f t="shared" si="226"/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 t="shared" ref="E99:E101" si="227">SUM(J99:U99)</f>
        <v>0</v>
      </c>
      <c r="F99" s="194">
        <f t="shared" ref="F99:F101" si="228">SUM(V99:AD99)</f>
        <v>0</v>
      </c>
      <c r="H99" s="194">
        <f t="shared" ref="H99:H101" si="229"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 t="shared" si="227"/>
        <v>0</v>
      </c>
      <c r="F100" s="194">
        <f t="shared" si="228"/>
        <v>0</v>
      </c>
      <c r="H100" s="194">
        <f t="shared" si="229"/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 t="shared" si="227"/>
        <v>-2</v>
      </c>
      <c r="F101" s="194">
        <f t="shared" si="228"/>
        <v>0</v>
      </c>
      <c r="H101" s="194">
        <f t="shared" si="229"/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230">+K97</f>
        <v>0</v>
      </c>
      <c r="K103" s="257">
        <f t="shared" si="230"/>
        <v>0</v>
      </c>
      <c r="L103" s="257">
        <f t="shared" si="230"/>
        <v>0</v>
      </c>
      <c r="M103" s="257">
        <f t="shared" si="230"/>
        <v>0</v>
      </c>
      <c r="N103" s="257">
        <f t="shared" si="230"/>
        <v>0</v>
      </c>
      <c r="O103" s="257">
        <f t="shared" si="230"/>
        <v>0</v>
      </c>
      <c r="P103" s="257">
        <f t="shared" si="230"/>
        <v>0</v>
      </c>
      <c r="Q103" s="257">
        <f t="shared" si="230"/>
        <v>0</v>
      </c>
      <c r="R103" s="257">
        <f t="shared" si="230"/>
        <v>1</v>
      </c>
      <c r="S103" s="257">
        <f t="shared" si="230"/>
        <v>9</v>
      </c>
      <c r="T103" s="257">
        <f t="shared" si="230"/>
        <v>8</v>
      </c>
      <c r="U103" s="257">
        <f t="shared" si="230"/>
        <v>8</v>
      </c>
      <c r="V103" s="257">
        <f t="shared" si="230"/>
        <v>9</v>
      </c>
      <c r="W103" s="257">
        <f t="shared" si="230"/>
        <v>11</v>
      </c>
      <c r="X103" s="257">
        <f t="shared" si="230"/>
        <v>11</v>
      </c>
      <c r="Y103" s="257">
        <f t="shared" si="230"/>
        <v>11</v>
      </c>
      <c r="Z103" s="257">
        <f t="shared" si="230"/>
        <v>11</v>
      </c>
      <c r="AA103" s="257">
        <f t="shared" si="230"/>
        <v>11</v>
      </c>
      <c r="AB103" s="257">
        <f t="shared" si="230"/>
        <v>11</v>
      </c>
      <c r="AC103" s="257">
        <f t="shared" si="230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231">AVERAGE(K97,K103)</f>
        <v>0</v>
      </c>
      <c r="L105" s="257">
        <f t="shared" si="231"/>
        <v>0</v>
      </c>
      <c r="M105" s="257">
        <f t="shared" si="231"/>
        <v>0</v>
      </c>
      <c r="N105" s="257">
        <f t="shared" si="231"/>
        <v>0</v>
      </c>
      <c r="O105" s="257">
        <f t="shared" si="231"/>
        <v>0</v>
      </c>
      <c r="P105" s="257">
        <f t="shared" si="231"/>
        <v>0</v>
      </c>
      <c r="Q105" s="257">
        <f t="shared" si="231"/>
        <v>0</v>
      </c>
      <c r="R105" s="257">
        <f t="shared" si="231"/>
        <v>0.5</v>
      </c>
      <c r="S105" s="259">
        <f t="shared" si="231"/>
        <v>5</v>
      </c>
      <c r="T105" s="257">
        <f t="shared" si="231"/>
        <v>8.5</v>
      </c>
      <c r="U105" s="257">
        <f t="shared" si="231"/>
        <v>8</v>
      </c>
      <c r="V105" s="257">
        <f t="shared" si="231"/>
        <v>8.5</v>
      </c>
      <c r="W105" s="257">
        <f t="shared" si="231"/>
        <v>10</v>
      </c>
      <c r="X105" s="257">
        <f t="shared" si="231"/>
        <v>11</v>
      </c>
      <c r="Y105" s="257">
        <f t="shared" si="231"/>
        <v>11</v>
      </c>
      <c r="Z105" s="257">
        <f t="shared" si="231"/>
        <v>11</v>
      </c>
      <c r="AA105" s="257">
        <f t="shared" si="231"/>
        <v>11</v>
      </c>
      <c r="AB105" s="257">
        <f t="shared" si="231"/>
        <v>11</v>
      </c>
      <c r="AC105" s="257">
        <f t="shared" si="231"/>
        <v>11</v>
      </c>
      <c r="AD105" s="260">
        <f t="shared" si="231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232">IFERROR((J98+J97)/J97-1,0)</f>
        <v>0</v>
      </c>
      <c r="K107" s="233">
        <f t="shared" si="232"/>
        <v>0</v>
      </c>
      <c r="L107" s="233">
        <f t="shared" si="232"/>
        <v>0</v>
      </c>
      <c r="M107" s="233">
        <f t="shared" si="232"/>
        <v>0</v>
      </c>
      <c r="N107" s="233">
        <f t="shared" si="232"/>
        <v>0</v>
      </c>
      <c r="O107" s="233">
        <f t="shared" si="232"/>
        <v>0</v>
      </c>
      <c r="P107" s="233">
        <f t="shared" si="232"/>
        <v>0</v>
      </c>
      <c r="Q107" s="233">
        <f t="shared" si="232"/>
        <v>0</v>
      </c>
      <c r="R107" s="233">
        <f t="shared" si="232"/>
        <v>0</v>
      </c>
      <c r="S107" s="233">
        <f t="shared" ref="S107:T107" si="233">(S98+S97)/S97-1</f>
        <v>8</v>
      </c>
      <c r="T107" s="233">
        <f t="shared" si="233"/>
        <v>0</v>
      </c>
      <c r="U107" s="233">
        <f t="shared" ref="U107:AD107" si="234">IFERROR((U98+U97)/U97-1,0)</f>
        <v>0</v>
      </c>
      <c r="V107" s="233">
        <f t="shared" si="234"/>
        <v>0.125</v>
      </c>
      <c r="W107" s="233">
        <f t="shared" si="234"/>
        <v>0.22222222222222232</v>
      </c>
      <c r="X107" s="233">
        <f t="shared" si="234"/>
        <v>0</v>
      </c>
      <c r="Y107" s="233">
        <f t="shared" si="234"/>
        <v>0</v>
      </c>
      <c r="Z107" s="233">
        <f t="shared" si="234"/>
        <v>0</v>
      </c>
      <c r="AA107" s="233">
        <f t="shared" si="234"/>
        <v>0</v>
      </c>
      <c r="AB107" s="233">
        <f t="shared" si="234"/>
        <v>0</v>
      </c>
      <c r="AC107" s="233">
        <f t="shared" si="234"/>
        <v>0</v>
      </c>
      <c r="AD107" s="244">
        <f t="shared" si="234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235">(J102+J105)/J105-1</f>
        <v>#DIV/0!</v>
      </c>
      <c r="K108" s="236" t="e">
        <f t="shared" si="235"/>
        <v>#DIV/0!</v>
      </c>
      <c r="L108" s="236" t="e">
        <f t="shared" si="235"/>
        <v>#DIV/0!</v>
      </c>
      <c r="M108" s="236" t="e">
        <f t="shared" si="235"/>
        <v>#DIV/0!</v>
      </c>
      <c r="N108" s="236" t="e">
        <f t="shared" si="235"/>
        <v>#DIV/0!</v>
      </c>
      <c r="O108" s="236" t="e">
        <f t="shared" si="235"/>
        <v>#DIV/0!</v>
      </c>
      <c r="P108" s="236" t="e">
        <f t="shared" si="235"/>
        <v>#DIV/0!</v>
      </c>
      <c r="Q108" s="236" t="e">
        <f t="shared" si="235"/>
        <v>#DIV/0!</v>
      </c>
      <c r="R108" s="236">
        <f t="shared" si="235"/>
        <v>-2</v>
      </c>
      <c r="S108" s="236">
        <f t="shared" si="235"/>
        <v>0</v>
      </c>
      <c r="T108" s="236">
        <f t="shared" si="235"/>
        <v>-0.11764705882352944</v>
      </c>
      <c r="U108" s="236">
        <f t="shared" si="235"/>
        <v>0</v>
      </c>
      <c r="V108" s="236">
        <f t="shared" si="235"/>
        <v>0</v>
      </c>
      <c r="W108" s="236">
        <f t="shared" si="235"/>
        <v>0</v>
      </c>
      <c r="X108" s="236">
        <f t="shared" si="235"/>
        <v>0</v>
      </c>
      <c r="Y108" s="236">
        <f t="shared" si="235"/>
        <v>0</v>
      </c>
      <c r="Z108" s="236">
        <f t="shared" si="235"/>
        <v>0</v>
      </c>
      <c r="AA108" s="236">
        <f t="shared" si="235"/>
        <v>0</v>
      </c>
      <c r="AB108" s="236">
        <f t="shared" si="235"/>
        <v>0</v>
      </c>
      <c r="AC108" s="236">
        <f t="shared" si="235"/>
        <v>0</v>
      </c>
      <c r="AD108" s="237">
        <f t="shared" si="235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61" priority="1">
      <formula>$AG$3=1</formula>
    </cfRule>
  </conditionalFormatting>
  <conditionalFormatting sqref="B6:H6 J6:AH6">
    <cfRule type="expression" dxfId="60" priority="19">
      <formula>$Y$3=1</formula>
    </cfRule>
  </conditionalFormatting>
  <conditionalFormatting sqref="B21:H21 J21:AH21">
    <cfRule type="expression" dxfId="59" priority="7">
      <formula>$Y$3=1</formula>
    </cfRule>
  </conditionalFormatting>
  <conditionalFormatting sqref="B36:H36">
    <cfRule type="expression" dxfId="58" priority="6">
      <formula>$Y$3=1</formula>
    </cfRule>
  </conditionalFormatting>
  <conditionalFormatting sqref="B51:H51">
    <cfRule type="expression" dxfId="57" priority="5">
      <formula>$Y$3=1</formula>
    </cfRule>
  </conditionalFormatting>
  <conditionalFormatting sqref="B66:H66">
    <cfRule type="expression" dxfId="56" priority="4">
      <formula>$Y$3=1</formula>
    </cfRule>
  </conditionalFormatting>
  <conditionalFormatting sqref="B81:H81">
    <cfRule type="expression" dxfId="55" priority="3">
      <formula>$Y$3=1</formula>
    </cfRule>
  </conditionalFormatting>
  <conditionalFormatting sqref="B96:H96">
    <cfRule type="expression" dxfId="54" priority="2">
      <formula>$Y$3=1</formula>
    </cfRule>
  </conditionalFormatting>
  <conditionalFormatting sqref="J36:AH36">
    <cfRule type="expression" dxfId="53" priority="17">
      <formula>$Y$3=1</formula>
    </cfRule>
  </conditionalFormatting>
  <conditionalFormatting sqref="J51:AH51">
    <cfRule type="expression" dxfId="52" priority="13">
      <formula>$Y$3=1</formula>
    </cfRule>
  </conditionalFormatting>
  <conditionalFormatting sqref="J66:AH66">
    <cfRule type="expression" dxfId="51" priority="16">
      <formula>$Y$3=1</formula>
    </cfRule>
  </conditionalFormatting>
  <conditionalFormatting sqref="J81:AH81">
    <cfRule type="expression" dxfId="50" priority="15">
      <formula>$Y$3=1</formula>
    </cfRule>
  </conditionalFormatting>
  <conditionalFormatting sqref="J96:AH96">
    <cfRule type="expression" dxfId="49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" si="2">EOMONTH(C117,0)+1</f>
        <v>45689</v>
      </c>
      <c r="E117" s="189">
        <f t="shared" ref="E117" si="3">EOMONTH(D117,0)+1</f>
        <v>45717</v>
      </c>
      <c r="F117" s="189">
        <f t="shared" ref="F117" si="4">EOMONTH(E117,0)+1</f>
        <v>45748</v>
      </c>
      <c r="G117" s="189">
        <f t="shared" ref="G117" si="5">EOMONTH(F117,0)+1</f>
        <v>45778</v>
      </c>
      <c r="H117" s="189">
        <f t="shared" ref="H117" si="6">EOMONTH(G117,0)+1</f>
        <v>45809</v>
      </c>
      <c r="I117" s="189">
        <f t="shared" ref="I117" si="7">EOMONTH(H117,0)+1</f>
        <v>45839</v>
      </c>
      <c r="J117" s="189">
        <v>45870</v>
      </c>
      <c r="K117" s="189">
        <f t="shared" ref="K117" si="8">EOMONTH(J117,0)+1</f>
        <v>45901</v>
      </c>
      <c r="L117" s="189">
        <f t="shared" ref="L117" si="9">EOMONTH(K117,0)+1</f>
        <v>45931</v>
      </c>
      <c r="M117" s="189">
        <f t="shared" ref="M117" si="10">EOMONTH(L117,0)+1</f>
        <v>45962</v>
      </c>
      <c r="N117" s="189">
        <f t="shared" ref="N117" si="11">EOMONTH(M117,0)+1</f>
        <v>45992</v>
      </c>
      <c r="O117" s="189">
        <f t="shared" ref="O117" si="12">EOMONTH(N117,0)+1</f>
        <v>46023</v>
      </c>
      <c r="P117" s="189">
        <f t="shared" ref="P117" si="13">EOMONTH(O117,0)+1</f>
        <v>46054</v>
      </c>
      <c r="Q117" s="189">
        <f t="shared" ref="Q117" si="14">EOMONTH(P117,0)+1</f>
        <v>46082</v>
      </c>
      <c r="R117" s="189">
        <f t="shared" ref="R117" si="15">EOMONTH(Q117,0)+1</f>
        <v>46113</v>
      </c>
      <c r="S117" s="189">
        <f t="shared" ref="S117" si="16">EOMONTH(R117,0)+1</f>
        <v>46143</v>
      </c>
      <c r="T117" s="189">
        <f t="shared" ref="T117" si="17">EOMONTH(S117,0)+1</f>
        <v>46174</v>
      </c>
      <c r="U117" s="189">
        <f t="shared" ref="U117" si="18">EOMONTH(T117,0)+1</f>
        <v>46204</v>
      </c>
      <c r="V117" s="189">
        <f t="shared" ref="V117" si="19">EOMONTH(U117,0)+1</f>
        <v>46235</v>
      </c>
      <c r="W117" s="189">
        <f t="shared" ref="W117" si="20">EOMONTH(V117,0)+1</f>
        <v>46266</v>
      </c>
    </row>
    <row r="118" spans="2:23">
      <c r="B118" s="263" t="s">
        <v>1534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" si="22">EOMONTH(C121,0)+1</f>
        <v>45689</v>
      </c>
      <c r="E121" s="189">
        <f t="shared" ref="E121" si="23">EOMONTH(D121,0)+1</f>
        <v>45717</v>
      </c>
      <c r="F121" s="189">
        <f t="shared" ref="F121" si="24">EOMONTH(E121,0)+1</f>
        <v>45748</v>
      </c>
      <c r="G121" s="189">
        <f t="shared" ref="G121" si="25">EOMONTH(F121,0)+1</f>
        <v>45778</v>
      </c>
      <c r="H121" s="189">
        <f t="shared" ref="H121" si="26">EOMONTH(G121,0)+1</f>
        <v>45809</v>
      </c>
      <c r="I121" s="189">
        <f t="shared" ref="I121" si="27">EOMONTH(H121,0)+1</f>
        <v>45839</v>
      </c>
      <c r="J121" s="189">
        <v>45870</v>
      </c>
      <c r="K121" s="189">
        <f t="shared" ref="K121" si="28">EOMONTH(J121,0)+1</f>
        <v>45901</v>
      </c>
      <c r="L121" s="189">
        <f t="shared" ref="L121" si="29">EOMONTH(K121,0)+1</f>
        <v>45931</v>
      </c>
      <c r="M121" s="189">
        <f t="shared" ref="M121" si="30">EOMONTH(L121,0)+1</f>
        <v>45962</v>
      </c>
      <c r="N121" s="189">
        <f t="shared" ref="N121" si="31">EOMONTH(M121,0)+1</f>
        <v>45992</v>
      </c>
      <c r="O121" s="189">
        <f t="shared" ref="O121" si="32">EOMONTH(N121,0)+1</f>
        <v>46023</v>
      </c>
      <c r="P121" s="189">
        <f t="shared" ref="P121" si="33">EOMONTH(O121,0)+1</f>
        <v>46054</v>
      </c>
      <c r="Q121" s="189">
        <f t="shared" ref="Q121" si="34">EOMONTH(P121,0)+1</f>
        <v>46082</v>
      </c>
      <c r="R121" s="189">
        <f t="shared" ref="R121" si="35">EOMONTH(Q121,0)+1</f>
        <v>46113</v>
      </c>
      <c r="S121" s="189">
        <f t="shared" ref="S121" si="36">EOMONTH(R121,0)+1</f>
        <v>46143</v>
      </c>
      <c r="T121" s="189">
        <f t="shared" ref="T121" si="37">EOMONTH(S121,0)+1</f>
        <v>46174</v>
      </c>
      <c r="U121" s="189">
        <f t="shared" ref="U121" si="38">EOMONTH(T121,0)+1</f>
        <v>46204</v>
      </c>
      <c r="V121" s="189">
        <f t="shared" ref="V121" si="39">EOMONTH(U121,0)+1</f>
        <v>46235</v>
      </c>
      <c r="W121" s="189">
        <f t="shared" ref="W121" si="40">EOMONTH(V121,0)+1</f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" si="41">EOMONTH(C125,0)+1</f>
        <v>45689</v>
      </c>
      <c r="E125" s="189">
        <f t="shared" ref="E125" si="42">EOMONTH(D125,0)+1</f>
        <v>45717</v>
      </c>
      <c r="F125" s="189">
        <f t="shared" ref="F125" si="43">EOMONTH(E125,0)+1</f>
        <v>45748</v>
      </c>
      <c r="G125" s="189">
        <f t="shared" ref="G125" si="44">EOMONTH(F125,0)+1</f>
        <v>45778</v>
      </c>
      <c r="H125" s="189">
        <f t="shared" ref="H125" si="45">EOMONTH(G125,0)+1</f>
        <v>45809</v>
      </c>
      <c r="I125" s="189">
        <f t="shared" ref="I125" si="46">EOMONTH(H125,0)+1</f>
        <v>45839</v>
      </c>
      <c r="J125" s="189">
        <v>45870</v>
      </c>
      <c r="K125" s="189">
        <f t="shared" ref="K125" si="47">EOMONTH(J125,0)+1</f>
        <v>45901</v>
      </c>
      <c r="L125" s="189">
        <f t="shared" ref="L125" si="48">EOMONTH(K125,0)+1</f>
        <v>45931</v>
      </c>
      <c r="M125" s="189">
        <f t="shared" ref="M125" si="49">EOMONTH(L125,0)+1</f>
        <v>45962</v>
      </c>
      <c r="N125" s="189">
        <f t="shared" ref="N125" si="50">EOMONTH(M125,0)+1</f>
        <v>45992</v>
      </c>
      <c r="O125" s="189">
        <f t="shared" ref="O125" si="51">EOMONTH(N125,0)+1</f>
        <v>46023</v>
      </c>
      <c r="P125" s="189">
        <f t="shared" ref="P125" si="52">EOMONTH(O125,0)+1</f>
        <v>46054</v>
      </c>
      <c r="Q125" s="189">
        <f t="shared" ref="Q125" si="53">EOMONTH(P125,0)+1</f>
        <v>46082</v>
      </c>
      <c r="R125" s="189">
        <f t="shared" ref="R125" si="54">EOMONTH(Q125,0)+1</f>
        <v>46113</v>
      </c>
      <c r="S125" s="189">
        <f t="shared" ref="S125" si="55">EOMONTH(R125,0)+1</f>
        <v>46143</v>
      </c>
      <c r="T125" s="189">
        <f t="shared" ref="T125" si="56">EOMONTH(S125,0)+1</f>
        <v>46174</v>
      </c>
      <c r="U125" s="189">
        <f t="shared" ref="U125" si="57">EOMONTH(T125,0)+1</f>
        <v>46204</v>
      </c>
      <c r="V125" s="189">
        <f t="shared" ref="V125" si="58">EOMONTH(U125,0)+1</f>
        <v>46235</v>
      </c>
      <c r="W125" s="189">
        <f t="shared" ref="W125" si="59">EOMONTH(V125,0)+1</f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48" priority="1">
      <formula>$AG$3=1</formula>
    </cfRule>
  </conditionalFormatting>
  <conditionalFormatting sqref="B6:H6 J6:AH6">
    <cfRule type="expression" dxfId="47" priority="19">
      <formula>$Y$3=1</formula>
    </cfRule>
  </conditionalFormatting>
  <conditionalFormatting sqref="B22:H22 J22:AH22">
    <cfRule type="expression" dxfId="46" priority="7">
      <formula>$Y$3=1</formula>
    </cfRule>
  </conditionalFormatting>
  <conditionalFormatting sqref="B38:H38">
    <cfRule type="expression" dxfId="45" priority="6">
      <formula>$Y$3=1</formula>
    </cfRule>
  </conditionalFormatting>
  <conditionalFormatting sqref="B54:H54">
    <cfRule type="expression" dxfId="44" priority="5">
      <formula>$Y$3=1</formula>
    </cfRule>
  </conditionalFormatting>
  <conditionalFormatting sqref="B70:H70">
    <cfRule type="expression" dxfId="43" priority="4">
      <formula>$Y$3=1</formula>
    </cfRule>
  </conditionalFormatting>
  <conditionalFormatting sqref="B86:H86">
    <cfRule type="expression" dxfId="42" priority="3">
      <formula>$Y$3=1</formula>
    </cfRule>
  </conditionalFormatting>
  <conditionalFormatting sqref="B102:H102">
    <cfRule type="expression" dxfId="41" priority="2">
      <formula>$Y$3=1</formula>
    </cfRule>
  </conditionalFormatting>
  <conditionalFormatting sqref="J38:AH38">
    <cfRule type="expression" dxfId="40" priority="17">
      <formula>$Y$3=1</formula>
    </cfRule>
  </conditionalFormatting>
  <conditionalFormatting sqref="J54:AH54">
    <cfRule type="expression" dxfId="39" priority="13">
      <formula>$Y$3=1</formula>
    </cfRule>
  </conditionalFormatting>
  <conditionalFormatting sqref="J70:AH70">
    <cfRule type="expression" dxfId="38" priority="16">
      <formula>$Y$3=1</formula>
    </cfRule>
  </conditionalFormatting>
  <conditionalFormatting sqref="J86:AH86">
    <cfRule type="expression" dxfId="37" priority="15">
      <formula>$Y$3=1</formula>
    </cfRule>
  </conditionalFormatting>
  <conditionalFormatting sqref="J102:AH102">
    <cfRule type="expression" dxfId="36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35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X47" sqref="X47"/>
    </sheetView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 t="shared" ref="T19" si="0"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 t="shared" ref="T25:T28" si="1"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 t="shared" si="1"/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 t="shared" si="1"/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 t="shared" si="1"/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 t="shared" ref="P34:P35" si="6"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 t="shared" si="7"/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 t="shared" ref="D68" si="12"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 t="shared" ref="K68" si="13">SUM(K44:K67)</f>
        <v>0</v>
      </c>
      <c r="L68" s="221"/>
      <c r="M68" s="220">
        <f t="shared" ref="M68:N68" si="14">SUM(M44:M67)</f>
        <v>0</v>
      </c>
      <c r="N68" s="220">
        <f t="shared" si="14"/>
        <v>0</v>
      </c>
      <c r="O68" s="221"/>
      <c r="P68" s="220">
        <f>SUM(P44:P67)</f>
        <v>0</v>
      </c>
      <c r="Q68" s="220">
        <f t="shared" ref="Q68" si="15">SUM(Q44:Q67)</f>
        <v>0</v>
      </c>
      <c r="R68" s="221"/>
      <c r="S68" s="220">
        <f t="shared" ref="S68:T68" si="16">SUM(S44:S67)</f>
        <v>0</v>
      </c>
      <c r="T68" s="220">
        <f t="shared" si="16"/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4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3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F15" sqref="F15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 t="shared" ref="C15:D15" si="8">(C9+C12)/C12-1</f>
        <v>-0.4247787610619469</v>
      </c>
      <c r="D15" s="237">
        <f t="shared" si="8"/>
        <v>-0.3439490445859873</v>
      </c>
      <c r="E15" s="245"/>
      <c r="F15" s="239">
        <f>(F9+F12)/F12-1</f>
        <v>-0.46666666666666667</v>
      </c>
      <c r="H15" s="238">
        <f t="shared" ref="H15:AB15" si="9">(H9+H12)/H12-1</f>
        <v>-2.2727272727272707E-2</v>
      </c>
      <c r="I15" s="236">
        <f t="shared" si="9"/>
        <v>-0.11235955056179781</v>
      </c>
      <c r="J15" s="236">
        <f t="shared" si="9"/>
        <v>-6.6666666666666652E-2</v>
      </c>
      <c r="K15" s="236">
        <f t="shared" si="9"/>
        <v>0</v>
      </c>
      <c r="L15" s="236">
        <f t="shared" si="9"/>
        <v>-4.081632653061229E-2</v>
      </c>
      <c r="M15" s="236">
        <f t="shared" si="9"/>
        <v>-5.8823529411764719E-2</v>
      </c>
      <c r="N15" s="236">
        <f t="shared" si="9"/>
        <v>0</v>
      </c>
      <c r="O15" s="236">
        <f t="shared" si="9"/>
        <v>-3.3898305084745783E-2</v>
      </c>
      <c r="P15" s="236">
        <f t="shared" si="9"/>
        <v>0</v>
      </c>
      <c r="Q15" s="238">
        <f t="shared" si="9"/>
        <v>0</v>
      </c>
      <c r="R15" s="236">
        <f t="shared" si="9"/>
        <v>-7.4626865671641784E-2</v>
      </c>
      <c r="S15" s="236">
        <f t="shared" si="9"/>
        <v>-4.3795620437956151E-2</v>
      </c>
      <c r="T15" s="236">
        <f t="shared" si="9"/>
        <v>-1.4084507042253502E-2</v>
      </c>
      <c r="U15" s="236">
        <f t="shared" si="9"/>
        <v>-1.3422818791946289E-2</v>
      </c>
      <c r="V15" s="236">
        <f t="shared" si="9"/>
        <v>0</v>
      </c>
      <c r="W15" s="236">
        <f t="shared" si="9"/>
        <v>-1.2121212121212088E-2</v>
      </c>
      <c r="X15" s="236">
        <f t="shared" si="9"/>
        <v>-8.4337349397590411E-2</v>
      </c>
      <c r="Y15" s="236">
        <f t="shared" si="9"/>
        <v>-3.59281437125748E-2</v>
      </c>
      <c r="Z15" s="236">
        <f t="shared" si="9"/>
        <v>-7.0588235294117618E-2</v>
      </c>
      <c r="AA15" s="236">
        <f t="shared" si="9"/>
        <v>-4.6511627906976716E-2</v>
      </c>
      <c r="AB15" s="237">
        <f t="shared" si="9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10">EOMONTH(H17,0)+1</f>
        <v>45689</v>
      </c>
      <c r="J17" s="189">
        <f t="shared" si="10"/>
        <v>45717</v>
      </c>
      <c r="K17" s="189">
        <f t="shared" si="10"/>
        <v>45748</v>
      </c>
      <c r="L17" s="189">
        <f t="shared" si="10"/>
        <v>45778</v>
      </c>
      <c r="M17" s="189">
        <f t="shared" si="10"/>
        <v>45809</v>
      </c>
      <c r="N17" s="189">
        <f t="shared" si="10"/>
        <v>45839</v>
      </c>
      <c r="O17" s="189">
        <v>45870</v>
      </c>
      <c r="P17" s="189">
        <f t="shared" ref="P17:AB17" si="11">EOMONTH(O17,0)+1</f>
        <v>45901</v>
      </c>
      <c r="Q17" s="189">
        <f t="shared" si="11"/>
        <v>45931</v>
      </c>
      <c r="R17" s="189">
        <f t="shared" si="11"/>
        <v>45962</v>
      </c>
      <c r="S17" s="189">
        <f t="shared" si="11"/>
        <v>45992</v>
      </c>
      <c r="T17" s="189">
        <f t="shared" si="11"/>
        <v>46023</v>
      </c>
      <c r="U17" s="189">
        <f t="shared" si="11"/>
        <v>46054</v>
      </c>
      <c r="V17" s="189">
        <f t="shared" si="11"/>
        <v>46082</v>
      </c>
      <c r="W17" s="189">
        <f t="shared" si="11"/>
        <v>46113</v>
      </c>
      <c r="X17" s="189">
        <f t="shared" si="11"/>
        <v>46143</v>
      </c>
      <c r="Y17" s="189">
        <f t="shared" si="11"/>
        <v>46174</v>
      </c>
      <c r="Z17" s="189">
        <f t="shared" si="11"/>
        <v>46204</v>
      </c>
      <c r="AA17" s="189">
        <f t="shared" si="11"/>
        <v>46235</v>
      </c>
      <c r="AB17" s="189">
        <f t="shared" si="11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2">+H24-H22-H23</f>
        <v>13</v>
      </c>
      <c r="I21" s="181">
        <f t="shared" si="12"/>
        <v>13</v>
      </c>
      <c r="J21" s="181">
        <f t="shared" si="12"/>
        <v>14</v>
      </c>
      <c r="K21" s="181">
        <f t="shared" si="12"/>
        <v>15</v>
      </c>
      <c r="L21" s="181">
        <f t="shared" si="12"/>
        <v>17</v>
      </c>
      <c r="M21" s="181">
        <f t="shared" si="12"/>
        <v>16</v>
      </c>
      <c r="N21" s="181">
        <f t="shared" si="12"/>
        <v>20</v>
      </c>
      <c r="O21" s="181">
        <f t="shared" si="12"/>
        <v>24</v>
      </c>
      <c r="P21" s="181">
        <f t="shared" si="12"/>
        <v>26</v>
      </c>
      <c r="Q21" s="181">
        <f t="shared" si="12"/>
        <v>27</v>
      </c>
      <c r="R21" s="181">
        <f t="shared" si="12"/>
        <v>29</v>
      </c>
      <c r="S21" s="181">
        <f t="shared" si="12"/>
        <v>30</v>
      </c>
      <c r="T21" s="181">
        <f t="shared" si="12"/>
        <v>31</v>
      </c>
      <c r="U21" s="181">
        <f t="shared" si="12"/>
        <v>32</v>
      </c>
      <c r="V21" s="181">
        <f t="shared" si="12"/>
        <v>32</v>
      </c>
      <c r="W21" s="181">
        <f t="shared" si="12"/>
        <v>32</v>
      </c>
      <c r="X21" s="181">
        <f t="shared" si="12"/>
        <v>34</v>
      </c>
      <c r="Y21" s="181">
        <f t="shared" si="12"/>
        <v>34</v>
      </c>
      <c r="Z21" s="181">
        <f t="shared" si="12"/>
        <v>38</v>
      </c>
      <c r="AA21" s="181">
        <f t="shared" si="12"/>
        <v>39</v>
      </c>
      <c r="AB21" s="181">
        <f t="shared" si="12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3">+I21</f>
        <v>13</v>
      </c>
      <c r="I24" s="257">
        <f t="shared" si="13"/>
        <v>14</v>
      </c>
      <c r="J24" s="257">
        <f t="shared" si="13"/>
        <v>15</v>
      </c>
      <c r="K24" s="257">
        <f t="shared" si="13"/>
        <v>17</v>
      </c>
      <c r="L24" s="257">
        <f t="shared" si="13"/>
        <v>16</v>
      </c>
      <c r="M24" s="257">
        <f t="shared" si="13"/>
        <v>20</v>
      </c>
      <c r="N24" s="257">
        <f t="shared" si="13"/>
        <v>24</v>
      </c>
      <c r="O24" s="257">
        <f t="shared" si="13"/>
        <v>26</v>
      </c>
      <c r="P24" s="257">
        <f t="shared" si="13"/>
        <v>27</v>
      </c>
      <c r="Q24" s="259">
        <f t="shared" si="13"/>
        <v>29</v>
      </c>
      <c r="R24" s="257">
        <f t="shared" si="13"/>
        <v>30</v>
      </c>
      <c r="S24" s="257">
        <f t="shared" si="13"/>
        <v>31</v>
      </c>
      <c r="T24" s="257">
        <f t="shared" si="13"/>
        <v>32</v>
      </c>
      <c r="U24" s="257">
        <f t="shared" si="13"/>
        <v>32</v>
      </c>
      <c r="V24" s="257">
        <f t="shared" si="13"/>
        <v>32</v>
      </c>
      <c r="W24" s="257">
        <f t="shared" si="13"/>
        <v>34</v>
      </c>
      <c r="X24" s="257">
        <f t="shared" si="13"/>
        <v>34</v>
      </c>
      <c r="Y24" s="257">
        <f t="shared" si="13"/>
        <v>38</v>
      </c>
      <c r="Z24" s="257">
        <f t="shared" si="13"/>
        <v>39</v>
      </c>
      <c r="AA24" s="257">
        <f t="shared" si="13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4">AVERAGE(H21,H24)</f>
        <v>13</v>
      </c>
      <c r="I26" s="315">
        <f t="shared" si="14"/>
        <v>13.5</v>
      </c>
      <c r="J26" s="315">
        <f t="shared" si="14"/>
        <v>14.5</v>
      </c>
      <c r="K26" s="315">
        <f t="shared" si="14"/>
        <v>16</v>
      </c>
      <c r="L26" s="315">
        <f t="shared" si="14"/>
        <v>16.5</v>
      </c>
      <c r="M26" s="315">
        <f t="shared" si="14"/>
        <v>18</v>
      </c>
      <c r="N26" s="315">
        <f t="shared" si="14"/>
        <v>22</v>
      </c>
      <c r="O26" s="315">
        <f t="shared" si="14"/>
        <v>25</v>
      </c>
      <c r="P26" s="315">
        <f t="shared" si="14"/>
        <v>26.5</v>
      </c>
      <c r="Q26" s="318">
        <f t="shared" si="14"/>
        <v>28</v>
      </c>
      <c r="R26" s="315">
        <f t="shared" si="14"/>
        <v>29.5</v>
      </c>
      <c r="S26" s="315">
        <f t="shared" si="14"/>
        <v>30.5</v>
      </c>
      <c r="T26" s="315">
        <f t="shared" si="14"/>
        <v>31.5</v>
      </c>
      <c r="U26" s="315">
        <f t="shared" si="14"/>
        <v>32</v>
      </c>
      <c r="V26" s="315">
        <f t="shared" si="14"/>
        <v>32</v>
      </c>
      <c r="W26" s="315">
        <f t="shared" si="14"/>
        <v>33</v>
      </c>
      <c r="X26" s="315">
        <f t="shared" si="14"/>
        <v>34</v>
      </c>
      <c r="Y26" s="315">
        <f t="shared" si="14"/>
        <v>36</v>
      </c>
      <c r="Z26" s="315">
        <f t="shared" si="14"/>
        <v>38.5</v>
      </c>
      <c r="AA26" s="315">
        <f t="shared" si="14"/>
        <v>39</v>
      </c>
      <c r="AB26" s="316">
        <f t="shared" si="14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5">H19/H26</f>
        <v>11.23076923076923</v>
      </c>
      <c r="I27" s="310">
        <f t="shared" si="15"/>
        <v>10.925925925925926</v>
      </c>
      <c r="J27" s="310">
        <f t="shared" si="15"/>
        <v>10.413793103448276</v>
      </c>
      <c r="K27" s="310">
        <f t="shared" si="15"/>
        <v>9.78125</v>
      </c>
      <c r="L27" s="310">
        <f t="shared" si="15"/>
        <v>9.8181818181818183</v>
      </c>
      <c r="M27" s="310">
        <f t="shared" si="15"/>
        <v>9.1666666666666661</v>
      </c>
      <c r="N27" s="310">
        <f t="shared" si="15"/>
        <v>7.5909090909090908</v>
      </c>
      <c r="O27" s="310">
        <f t="shared" si="15"/>
        <v>6.88</v>
      </c>
      <c r="P27" s="310">
        <f t="shared" si="15"/>
        <v>6.6415094339622645</v>
      </c>
      <c r="Q27" s="313">
        <f t="shared" si="15"/>
        <v>6.4107142857142856</v>
      </c>
      <c r="R27" s="310">
        <f t="shared" si="15"/>
        <v>6.1525423728813555</v>
      </c>
      <c r="S27" s="310">
        <f t="shared" si="15"/>
        <v>5.918032786885246</v>
      </c>
      <c r="T27" s="310">
        <f t="shared" si="15"/>
        <v>5.8095238095238093</v>
      </c>
      <c r="U27" s="310">
        <f t="shared" si="15"/>
        <v>5.921875</v>
      </c>
      <c r="V27" s="310">
        <f t="shared" si="15"/>
        <v>6.015625</v>
      </c>
      <c r="W27" s="310">
        <f t="shared" si="15"/>
        <v>5.9090909090909092</v>
      </c>
      <c r="X27" s="310">
        <f t="shared" si="15"/>
        <v>5.6911764705882355</v>
      </c>
      <c r="Y27" s="310">
        <f t="shared" si="15"/>
        <v>5.25</v>
      </c>
      <c r="Z27" s="310">
        <f t="shared" si="15"/>
        <v>4.7142857142857144</v>
      </c>
      <c r="AA27" s="310">
        <f t="shared" si="15"/>
        <v>4.4743589743589745</v>
      </c>
      <c r="AB27" s="311">
        <f t="shared" si="15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6">(H22+H21)/H21-1</f>
        <v>0</v>
      </c>
      <c r="I29" s="233">
        <f t="shared" si="16"/>
        <v>0.23076923076923084</v>
      </c>
      <c r="J29" s="233">
        <f t="shared" si="16"/>
        <v>0.14285714285714279</v>
      </c>
      <c r="K29" s="233">
        <f t="shared" si="16"/>
        <v>0.1333333333333333</v>
      </c>
      <c r="L29" s="233">
        <f t="shared" si="16"/>
        <v>5.8823529411764719E-2</v>
      </c>
      <c r="M29" s="233">
        <f t="shared" si="16"/>
        <v>0.375</v>
      </c>
      <c r="N29" s="233">
        <f t="shared" si="16"/>
        <v>0.19999999999999996</v>
      </c>
      <c r="O29" s="233">
        <f t="shared" si="16"/>
        <v>0.16666666666666674</v>
      </c>
      <c r="P29" s="233">
        <f t="shared" si="16"/>
        <v>3.8461538461538547E-2</v>
      </c>
      <c r="Q29" s="243">
        <f t="shared" si="16"/>
        <v>7.4074074074074181E-2</v>
      </c>
      <c r="R29" s="233">
        <f t="shared" si="16"/>
        <v>0.10344827586206895</v>
      </c>
      <c r="S29" s="233">
        <f t="shared" si="16"/>
        <v>3.3333333333333437E-2</v>
      </c>
      <c r="T29" s="233">
        <f t="shared" si="16"/>
        <v>3.2258064516129004E-2</v>
      </c>
      <c r="U29" s="233">
        <f t="shared" si="16"/>
        <v>0</v>
      </c>
      <c r="V29" s="233">
        <f t="shared" si="16"/>
        <v>0</v>
      </c>
      <c r="W29" s="233">
        <f t="shared" si="16"/>
        <v>6.25E-2</v>
      </c>
      <c r="X29" s="233">
        <f t="shared" si="16"/>
        <v>5.8823529411764719E-2</v>
      </c>
      <c r="Y29" s="233">
        <f t="shared" si="16"/>
        <v>0.17647058823529416</v>
      </c>
      <c r="Z29" s="233">
        <f t="shared" si="16"/>
        <v>7.8947368421052655E-2</v>
      </c>
      <c r="AA29" s="233">
        <f t="shared" si="16"/>
        <v>7.6923076923076872E-2</v>
      </c>
      <c r="AB29" s="244">
        <f t="shared" si="16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7">(H23+H26)/H26-1</f>
        <v>0</v>
      </c>
      <c r="I30" s="236">
        <f t="shared" si="17"/>
        <v>-0.14814814814814814</v>
      </c>
      <c r="J30" s="236">
        <f t="shared" si="17"/>
        <v>-6.8965517241379337E-2</v>
      </c>
      <c r="K30" s="236">
        <f t="shared" si="17"/>
        <v>0</v>
      </c>
      <c r="L30" s="236">
        <f t="shared" si="17"/>
        <v>-0.12121212121212122</v>
      </c>
      <c r="M30" s="236">
        <f t="shared" si="17"/>
        <v>-0.11111111111111116</v>
      </c>
      <c r="N30" s="236">
        <f t="shared" si="17"/>
        <v>0</v>
      </c>
      <c r="O30" s="236">
        <f t="shared" si="17"/>
        <v>-7.999999999999996E-2</v>
      </c>
      <c r="P30" s="236">
        <f t="shared" si="17"/>
        <v>0</v>
      </c>
      <c r="Q30" s="238">
        <f t="shared" si="17"/>
        <v>0</v>
      </c>
      <c r="R30" s="236">
        <f t="shared" si="17"/>
        <v>-6.7796610169491567E-2</v>
      </c>
      <c r="S30" s="236">
        <f t="shared" si="17"/>
        <v>0</v>
      </c>
      <c r="T30" s="236">
        <f t="shared" si="17"/>
        <v>0</v>
      </c>
      <c r="U30" s="236">
        <f t="shared" si="17"/>
        <v>0</v>
      </c>
      <c r="V30" s="236">
        <f t="shared" si="17"/>
        <v>0</v>
      </c>
      <c r="W30" s="236">
        <f t="shared" si="17"/>
        <v>0</v>
      </c>
      <c r="X30" s="236">
        <f t="shared" si="17"/>
        <v>-5.8823529411764719E-2</v>
      </c>
      <c r="Y30" s="236">
        <f t="shared" si="17"/>
        <v>-5.555555555555558E-2</v>
      </c>
      <c r="Z30" s="236">
        <f t="shared" si="17"/>
        <v>-5.1948051948051965E-2</v>
      </c>
      <c r="AA30" s="236">
        <f t="shared" si="17"/>
        <v>-7.6923076923076872E-2</v>
      </c>
      <c r="AB30" s="237">
        <f t="shared" si="17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" si="18">EOMONTH(H32,0)+1</f>
        <v>45689</v>
      </c>
      <c r="J32" s="189">
        <f t="shared" ref="J32" si="19">EOMONTH(I32,0)+1</f>
        <v>45717</v>
      </c>
      <c r="K32" s="189">
        <f t="shared" ref="K32" si="20">EOMONTH(J32,0)+1</f>
        <v>45748</v>
      </c>
      <c r="L32" s="189">
        <f t="shared" ref="L32" si="21">EOMONTH(K32,0)+1</f>
        <v>45778</v>
      </c>
      <c r="M32" s="189">
        <f t="shared" ref="M32" si="22">EOMONTH(L32,0)+1</f>
        <v>45809</v>
      </c>
      <c r="N32" s="189">
        <f t="shared" ref="N32" si="23">EOMONTH(M32,0)+1</f>
        <v>45839</v>
      </c>
      <c r="O32" s="189">
        <v>45870</v>
      </c>
      <c r="P32" s="189">
        <f t="shared" ref="P32" si="24">EOMONTH(O32,0)+1</f>
        <v>45901</v>
      </c>
      <c r="Q32" s="189">
        <f t="shared" ref="Q32" si="25">EOMONTH(P32,0)+1</f>
        <v>45931</v>
      </c>
      <c r="R32" s="189">
        <f t="shared" ref="R32" si="26">EOMONTH(Q32,0)+1</f>
        <v>45962</v>
      </c>
      <c r="S32" s="189">
        <f t="shared" ref="S32" si="27">EOMONTH(R32,0)+1</f>
        <v>45992</v>
      </c>
      <c r="T32" s="189">
        <f t="shared" ref="T32" si="28">EOMONTH(S32,0)+1</f>
        <v>46023</v>
      </c>
      <c r="U32" s="189">
        <f t="shared" ref="U32" si="29">EOMONTH(T32,0)+1</f>
        <v>46054</v>
      </c>
      <c r="V32" s="189">
        <f t="shared" ref="V32" si="30">EOMONTH(U32,0)+1</f>
        <v>46082</v>
      </c>
      <c r="W32" s="189">
        <f t="shared" ref="W32" si="31">EOMONTH(V32,0)+1</f>
        <v>46113</v>
      </c>
      <c r="X32" s="189">
        <f t="shared" ref="X32" si="32">EOMONTH(W32,0)+1</f>
        <v>46143</v>
      </c>
      <c r="Y32" s="189">
        <f t="shared" ref="Y32" si="33">EOMONTH(X32,0)+1</f>
        <v>46174</v>
      </c>
      <c r="Z32" s="189">
        <f t="shared" ref="Z32" si="34">EOMONTH(Y32,0)+1</f>
        <v>46204</v>
      </c>
      <c r="AA32" s="189">
        <f t="shared" ref="AA32" si="35">EOMONTH(Z32,0)+1</f>
        <v>46235</v>
      </c>
      <c r="AB32" s="189">
        <f t="shared" ref="AB32" si="36">EOMONTH(AA32,0)+1</f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" si="38">+H39-H37-H38</f>
        <v>13</v>
      </c>
      <c r="I36" s="181">
        <f t="shared" ref="I36" si="39">+I39-I37-I38</f>
        <v>14</v>
      </c>
      <c r="J36" s="181">
        <f t="shared" ref="J36" si="40">+J39-J37-J38</f>
        <v>12</v>
      </c>
      <c r="K36" s="181">
        <f t="shared" ref="K36" si="41">+K39-K37-K38</f>
        <v>13</v>
      </c>
      <c r="L36" s="181">
        <f t="shared" ref="L36" si="42">+L39-L37-L38</f>
        <v>13</v>
      </c>
      <c r="M36" s="181">
        <f t="shared" ref="M36" si="43">+M39-M37-M38</f>
        <v>13</v>
      </c>
      <c r="N36" s="181">
        <f t="shared" ref="N36" si="44">+N39-N37-N38</f>
        <v>12</v>
      </c>
      <c r="O36" s="181">
        <f t="shared" ref="O36" si="45">+O39-O37-O38</f>
        <v>12</v>
      </c>
      <c r="P36" s="181">
        <f t="shared" ref="P36" si="46">+P39-P37-P38</f>
        <v>12</v>
      </c>
      <c r="Q36" s="181">
        <f t="shared" ref="Q36" si="47">+Q39-Q37-Q38</f>
        <v>12</v>
      </c>
      <c r="R36" s="181">
        <f t="shared" ref="R36" si="48">+R39-R37-R38</f>
        <v>13</v>
      </c>
      <c r="S36" s="181">
        <f t="shared" ref="S36" si="49">+S39-S37-S38</f>
        <v>13</v>
      </c>
      <c r="T36" s="181">
        <f t="shared" ref="T36" si="50">+T39-T37-T38</f>
        <v>13</v>
      </c>
      <c r="U36" s="181">
        <f t="shared" ref="U36" si="51">+U39-U37-U38</f>
        <v>13</v>
      </c>
      <c r="V36" s="181">
        <f t="shared" ref="V36" si="52">+V39-V37-V38</f>
        <v>14</v>
      </c>
      <c r="W36" s="181">
        <f t="shared" ref="W36" si="53">+W39-W37-W38</f>
        <v>16</v>
      </c>
      <c r="X36" s="181">
        <f t="shared" ref="X36" si="54">+X39-X37-X38</f>
        <v>17</v>
      </c>
      <c r="Y36" s="181">
        <f t="shared" ref="Y36" si="55">+Y39-Y37-Y38</f>
        <v>17</v>
      </c>
      <c r="Z36" s="181">
        <f t="shared" ref="Z36" si="56">+Z39-Z37-Z38</f>
        <v>16</v>
      </c>
      <c r="AA36" s="181">
        <f t="shared" ref="AA36" si="57">+AA39-AA37-AA38</f>
        <v>17</v>
      </c>
      <c r="AB36" s="181">
        <f t="shared" ref="AB36" si="58">+AB39-AB37-AB38</f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59">+I36</f>
        <v>14</v>
      </c>
      <c r="I39" s="257">
        <f t="shared" si="59"/>
        <v>12</v>
      </c>
      <c r="J39" s="257">
        <f t="shared" si="59"/>
        <v>13</v>
      </c>
      <c r="K39" s="257">
        <f t="shared" si="59"/>
        <v>13</v>
      </c>
      <c r="L39" s="257">
        <f t="shared" si="59"/>
        <v>13</v>
      </c>
      <c r="M39" s="257">
        <f t="shared" si="59"/>
        <v>12</v>
      </c>
      <c r="N39" s="257">
        <f t="shared" si="59"/>
        <v>12</v>
      </c>
      <c r="O39" s="257">
        <f t="shared" si="59"/>
        <v>12</v>
      </c>
      <c r="P39" s="257">
        <f t="shared" si="59"/>
        <v>12</v>
      </c>
      <c r="Q39" s="259">
        <f t="shared" si="59"/>
        <v>13</v>
      </c>
      <c r="R39" s="257">
        <f t="shared" si="59"/>
        <v>13</v>
      </c>
      <c r="S39" s="257">
        <f t="shared" si="59"/>
        <v>13</v>
      </c>
      <c r="T39" s="257">
        <f t="shared" si="59"/>
        <v>13</v>
      </c>
      <c r="U39" s="257">
        <f t="shared" si="59"/>
        <v>14</v>
      </c>
      <c r="V39" s="257">
        <f t="shared" si="59"/>
        <v>16</v>
      </c>
      <c r="W39" s="257">
        <f t="shared" si="59"/>
        <v>17</v>
      </c>
      <c r="X39" s="257">
        <f t="shared" si="59"/>
        <v>17</v>
      </c>
      <c r="Y39" s="257">
        <f t="shared" si="59"/>
        <v>16</v>
      </c>
      <c r="Z39" s="257">
        <f t="shared" si="59"/>
        <v>17</v>
      </c>
      <c r="AA39" s="257">
        <f t="shared" si="59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" si="60">AVERAGE(H36,H39)</f>
        <v>13.5</v>
      </c>
      <c r="I41" s="315">
        <f t="shared" ref="I41" si="61">AVERAGE(I36,I39)</f>
        <v>13</v>
      </c>
      <c r="J41" s="315">
        <f t="shared" ref="J41" si="62">AVERAGE(J36,J39)</f>
        <v>12.5</v>
      </c>
      <c r="K41" s="315">
        <f t="shared" ref="K41" si="63">AVERAGE(K36,K39)</f>
        <v>13</v>
      </c>
      <c r="L41" s="315">
        <f t="shared" ref="L41" si="64">AVERAGE(L36,L39)</f>
        <v>13</v>
      </c>
      <c r="M41" s="315">
        <f t="shared" ref="M41" si="65">AVERAGE(M36,M39)</f>
        <v>12.5</v>
      </c>
      <c r="N41" s="315">
        <f t="shared" ref="N41" si="66">AVERAGE(N36,N39)</f>
        <v>12</v>
      </c>
      <c r="O41" s="315">
        <f t="shared" ref="O41" si="67">AVERAGE(O36,O39)</f>
        <v>12</v>
      </c>
      <c r="P41" s="315">
        <f t="shared" ref="P41" si="68">AVERAGE(P36,P39)</f>
        <v>12</v>
      </c>
      <c r="Q41" s="318">
        <f t="shared" ref="Q41" si="69">AVERAGE(Q36,Q39)</f>
        <v>12.5</v>
      </c>
      <c r="R41" s="315">
        <f t="shared" ref="R41" si="70">AVERAGE(R36,R39)</f>
        <v>13</v>
      </c>
      <c r="S41" s="315">
        <f t="shared" ref="S41" si="71">AVERAGE(S36,S39)</f>
        <v>13</v>
      </c>
      <c r="T41" s="315">
        <f t="shared" ref="T41" si="72">AVERAGE(T36,T39)</f>
        <v>13</v>
      </c>
      <c r="U41" s="315">
        <f t="shared" ref="U41" si="73">AVERAGE(U36,U39)</f>
        <v>13.5</v>
      </c>
      <c r="V41" s="315">
        <f t="shared" ref="V41" si="74">AVERAGE(V36,V39)</f>
        <v>15</v>
      </c>
      <c r="W41" s="315">
        <f t="shared" ref="W41" si="75">AVERAGE(W36,W39)</f>
        <v>16.5</v>
      </c>
      <c r="X41" s="315">
        <f t="shared" ref="X41" si="76">AVERAGE(X36,X39)</f>
        <v>17</v>
      </c>
      <c r="Y41" s="315">
        <f t="shared" ref="Y41" si="77">AVERAGE(Y36,Y39)</f>
        <v>16.5</v>
      </c>
      <c r="Z41" s="315">
        <f t="shared" ref="Z41" si="78">AVERAGE(Z36,Z39)</f>
        <v>16.5</v>
      </c>
      <c r="AA41" s="315">
        <f t="shared" ref="AA41" si="79">AVERAGE(AA36,AA39)</f>
        <v>17.5</v>
      </c>
      <c r="AB41" s="316">
        <f t="shared" ref="AB41" si="80">AVERAGE(AB36,AB39)</f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" si="81">H34/H41</f>
        <v>10.814814814814815</v>
      </c>
      <c r="I42" s="310">
        <f t="shared" ref="I42" si="82">I34/I41</f>
        <v>11.346153846153847</v>
      </c>
      <c r="J42" s="310">
        <f t="shared" ref="J42" si="83">J34/J41</f>
        <v>12.08</v>
      </c>
      <c r="K42" s="310">
        <f t="shared" ref="K42" si="84">K34/K41</f>
        <v>12.038461538461538</v>
      </c>
      <c r="L42" s="310">
        <f t="shared" ref="L42" si="85">L34/L41</f>
        <v>12.461538461538462</v>
      </c>
      <c r="M42" s="310">
        <f t="shared" ref="M42" si="86">M34/M41</f>
        <v>13.2</v>
      </c>
      <c r="N42" s="310">
        <f t="shared" ref="N42" si="87">N34/N41</f>
        <v>13.916666666666666</v>
      </c>
      <c r="O42" s="310">
        <f t="shared" ref="O42" si="88">O34/O41</f>
        <v>14.333333333333334</v>
      </c>
      <c r="P42" s="310">
        <f t="shared" ref="P42" si="89">P34/P41</f>
        <v>14.666666666666666</v>
      </c>
      <c r="Q42" s="313">
        <f t="shared" ref="Q42" si="90">Q34/Q41</f>
        <v>14.36</v>
      </c>
      <c r="R42" s="310">
        <f t="shared" ref="R42" si="91">R34/R41</f>
        <v>13.961538461538462</v>
      </c>
      <c r="S42" s="310">
        <f t="shared" ref="S42" si="92">S34/S41</f>
        <v>13.884615384615385</v>
      </c>
      <c r="T42" s="310">
        <f t="shared" ref="T42" si="93">T34/T41</f>
        <v>14.076923076923077</v>
      </c>
      <c r="U42" s="310">
        <f t="shared" ref="U42" si="94">U34/U41</f>
        <v>14.037037037037036</v>
      </c>
      <c r="V42" s="310">
        <f t="shared" ref="V42" si="95">V34/V41</f>
        <v>12.833333333333334</v>
      </c>
      <c r="W42" s="310">
        <f t="shared" ref="W42" si="96">W34/W41</f>
        <v>11.818181818181818</v>
      </c>
      <c r="X42" s="310">
        <f t="shared" ref="X42" si="97">X34/X41</f>
        <v>11.382352941176471</v>
      </c>
      <c r="Y42" s="310">
        <f t="shared" ref="Y42" si="98">Y34/Y41</f>
        <v>11.454545454545455</v>
      </c>
      <c r="Z42" s="310">
        <f t="shared" ref="Z42" si="99">Z34/Z41</f>
        <v>11</v>
      </c>
      <c r="AA42" s="310">
        <f t="shared" ref="AA42" si="100">AA34/AA41</f>
        <v>9.9714285714285715</v>
      </c>
      <c r="AB42" s="311">
        <f t="shared" ref="AB42" si="101">AB34/AB41</f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102">(H37+H36)/H36-1</f>
        <v>7.6923076923076872E-2</v>
      </c>
      <c r="I44" s="233">
        <f t="shared" si="102"/>
        <v>0</v>
      </c>
      <c r="J44" s="233">
        <f t="shared" si="102"/>
        <v>0.16666666666666674</v>
      </c>
      <c r="K44" s="233">
        <f t="shared" si="102"/>
        <v>0</v>
      </c>
      <c r="L44" s="233">
        <f t="shared" si="102"/>
        <v>0</v>
      </c>
      <c r="M44" s="233">
        <f t="shared" si="102"/>
        <v>0</v>
      </c>
      <c r="N44" s="233">
        <f t="shared" si="102"/>
        <v>0</v>
      </c>
      <c r="O44" s="233">
        <f t="shared" si="102"/>
        <v>0</v>
      </c>
      <c r="P44" s="233">
        <f t="shared" si="102"/>
        <v>0</v>
      </c>
      <c r="Q44" s="243">
        <f t="shared" si="102"/>
        <v>8.3333333333333259E-2</v>
      </c>
      <c r="R44" s="233">
        <f t="shared" si="102"/>
        <v>7.6923076923076872E-2</v>
      </c>
      <c r="S44" s="233">
        <f t="shared" si="102"/>
        <v>0</v>
      </c>
      <c r="T44" s="233">
        <f t="shared" si="102"/>
        <v>0</v>
      </c>
      <c r="U44" s="233">
        <f t="shared" si="102"/>
        <v>0.15384615384615374</v>
      </c>
      <c r="V44" s="233">
        <f t="shared" si="102"/>
        <v>0.14285714285714279</v>
      </c>
      <c r="W44" s="233">
        <f t="shared" si="102"/>
        <v>6.25E-2</v>
      </c>
      <c r="X44" s="233">
        <f t="shared" si="102"/>
        <v>5.8823529411764719E-2</v>
      </c>
      <c r="Y44" s="233">
        <f t="shared" si="102"/>
        <v>0</v>
      </c>
      <c r="Z44" s="233">
        <f t="shared" si="102"/>
        <v>6.25E-2</v>
      </c>
      <c r="AA44" s="233">
        <f t="shared" si="102"/>
        <v>5.8823529411764719E-2</v>
      </c>
      <c r="AB44" s="244">
        <f t="shared" si="102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103">(H38+H41)/H41-1</f>
        <v>0</v>
      </c>
      <c r="I45" s="236">
        <f t="shared" si="103"/>
        <v>-0.15384615384615385</v>
      </c>
      <c r="J45" s="236">
        <f t="shared" si="103"/>
        <v>-7.999999999999996E-2</v>
      </c>
      <c r="K45" s="236">
        <f t="shared" si="103"/>
        <v>0</v>
      </c>
      <c r="L45" s="236">
        <f t="shared" si="103"/>
        <v>0</v>
      </c>
      <c r="M45" s="236">
        <f t="shared" si="103"/>
        <v>-7.999999999999996E-2</v>
      </c>
      <c r="N45" s="236">
        <f t="shared" si="103"/>
        <v>0</v>
      </c>
      <c r="O45" s="236">
        <f t="shared" si="103"/>
        <v>0</v>
      </c>
      <c r="P45" s="236">
        <f t="shared" si="103"/>
        <v>0</v>
      </c>
      <c r="Q45" s="238">
        <f t="shared" si="103"/>
        <v>0</v>
      </c>
      <c r="R45" s="236">
        <f t="shared" si="103"/>
        <v>-7.6923076923076872E-2</v>
      </c>
      <c r="S45" s="236">
        <f t="shared" si="103"/>
        <v>0</v>
      </c>
      <c r="T45" s="236">
        <f t="shared" si="103"/>
        <v>0</v>
      </c>
      <c r="U45" s="236">
        <f t="shared" si="103"/>
        <v>-7.407407407407407E-2</v>
      </c>
      <c r="V45" s="236">
        <f t="shared" si="103"/>
        <v>0</v>
      </c>
      <c r="W45" s="236">
        <f t="shared" si="103"/>
        <v>0</v>
      </c>
      <c r="X45" s="236">
        <f t="shared" si="103"/>
        <v>-5.8823529411764719E-2</v>
      </c>
      <c r="Y45" s="236">
        <f t="shared" si="103"/>
        <v>-6.0606060606060552E-2</v>
      </c>
      <c r="Z45" s="236">
        <f t="shared" si="103"/>
        <v>0</v>
      </c>
      <c r="AA45" s="236">
        <f t="shared" si="103"/>
        <v>0</v>
      </c>
      <c r="AB45" s="237">
        <f t="shared" si="103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" si="104">EOMONTH(H47,0)+1</f>
        <v>45689</v>
      </c>
      <c r="J47" s="189">
        <f t="shared" ref="J47" si="105">EOMONTH(I47,0)+1</f>
        <v>45717</v>
      </c>
      <c r="K47" s="189">
        <f t="shared" ref="K47" si="106">EOMONTH(J47,0)+1</f>
        <v>45748</v>
      </c>
      <c r="L47" s="189">
        <f t="shared" ref="L47" si="107">EOMONTH(K47,0)+1</f>
        <v>45778</v>
      </c>
      <c r="M47" s="189">
        <f t="shared" ref="M47" si="108">EOMONTH(L47,0)+1</f>
        <v>45809</v>
      </c>
      <c r="N47" s="189">
        <f t="shared" ref="N47" si="109">EOMONTH(M47,0)+1</f>
        <v>45839</v>
      </c>
      <c r="O47" s="189">
        <v>45870</v>
      </c>
      <c r="P47" s="189">
        <f t="shared" ref="P47" si="110">EOMONTH(O47,0)+1</f>
        <v>45901</v>
      </c>
      <c r="Q47" s="189">
        <f t="shared" ref="Q47" si="111">EOMONTH(P47,0)+1</f>
        <v>45931</v>
      </c>
      <c r="R47" s="189">
        <f t="shared" ref="R47" si="112">EOMONTH(Q47,0)+1</f>
        <v>45962</v>
      </c>
      <c r="S47" s="189">
        <f t="shared" ref="S47" si="113">EOMONTH(R47,0)+1</f>
        <v>45992</v>
      </c>
      <c r="T47" s="189">
        <f t="shared" ref="T47" si="114">EOMONTH(S47,0)+1</f>
        <v>46023</v>
      </c>
      <c r="U47" s="189">
        <f t="shared" ref="U47" si="115">EOMONTH(T47,0)+1</f>
        <v>46054</v>
      </c>
      <c r="V47" s="189">
        <f t="shared" ref="V47" si="116">EOMONTH(U47,0)+1</f>
        <v>46082</v>
      </c>
      <c r="W47" s="189">
        <f t="shared" ref="W47" si="117">EOMONTH(V47,0)+1</f>
        <v>46113</v>
      </c>
      <c r="X47" s="189">
        <f t="shared" ref="X47" si="118">EOMONTH(W47,0)+1</f>
        <v>46143</v>
      </c>
      <c r="Y47" s="189">
        <f t="shared" ref="Y47" si="119">EOMONTH(X47,0)+1</f>
        <v>46174</v>
      </c>
      <c r="Z47" s="189">
        <f t="shared" ref="Z47" si="120">EOMONTH(Y47,0)+1</f>
        <v>46204</v>
      </c>
      <c r="AA47" s="189">
        <f t="shared" ref="AA47" si="121">EOMONTH(Z47,0)+1</f>
        <v>46235</v>
      </c>
      <c r="AB47" s="189">
        <f t="shared" ref="AB47" si="122">EOMONTH(AA47,0)+1</f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" si="124">+H54-H52-H53</f>
        <v>1</v>
      </c>
      <c r="I51" s="181">
        <f t="shared" ref="I51" si="125">+I54-I52-I53</f>
        <v>1</v>
      </c>
      <c r="J51" s="181">
        <f t="shared" ref="J51" si="126">+J54-J52-J53</f>
        <v>2</v>
      </c>
      <c r="K51" s="181">
        <f t="shared" ref="K51" si="127">+K54-K52-K53</f>
        <v>2</v>
      </c>
      <c r="L51" s="181">
        <f t="shared" ref="L51" si="128">+L54-L52-L53</f>
        <v>2</v>
      </c>
      <c r="M51" s="181">
        <f t="shared" ref="M51" si="129">+M54-M52-M53</f>
        <v>2</v>
      </c>
      <c r="N51" s="181">
        <f t="shared" ref="N51" si="130">+N54-N52-N53</f>
        <v>2</v>
      </c>
      <c r="O51" s="181">
        <f t="shared" ref="O51" si="131">+O54-O52-O53</f>
        <v>2</v>
      </c>
      <c r="P51" s="181">
        <f t="shared" ref="P51" si="132">+P54-P52-P53</f>
        <v>2</v>
      </c>
      <c r="Q51" s="181">
        <f t="shared" ref="Q51" si="133">+Q54-Q52-Q53</f>
        <v>3</v>
      </c>
      <c r="R51" s="181">
        <f t="shared" ref="R51" si="134">+R54-R52-R53</f>
        <v>3</v>
      </c>
      <c r="S51" s="181">
        <f t="shared" ref="S51" si="135">+S54-S52-S53</f>
        <v>3</v>
      </c>
      <c r="T51" s="181">
        <f t="shared" ref="T51" si="136">+T54-T52-T53</f>
        <v>2</v>
      </c>
      <c r="U51" s="181">
        <f t="shared" ref="U51" si="137">+U54-U52-U53</f>
        <v>2</v>
      </c>
      <c r="V51" s="181">
        <f t="shared" ref="V51" si="138">+V54-V52-V53</f>
        <v>4</v>
      </c>
      <c r="W51" s="181">
        <f t="shared" ref="W51" si="139">+W54-W52-W53</f>
        <v>4</v>
      </c>
      <c r="X51" s="181">
        <f t="shared" ref="X51" si="140">+X54-X52-X53</f>
        <v>4</v>
      </c>
      <c r="Y51" s="181">
        <f t="shared" ref="Y51" si="141">+Y54-Y52-Y53</f>
        <v>4</v>
      </c>
      <c r="Z51" s="181">
        <f t="shared" ref="Z51" si="142">+Z54-Z52-Z53</f>
        <v>4</v>
      </c>
      <c r="AA51" s="181">
        <f t="shared" ref="AA51" si="143">+AA54-AA52-AA53</f>
        <v>4</v>
      </c>
      <c r="AB51" s="181">
        <f t="shared" ref="AB51" si="144">+AB54-AB52-AB53</f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145">+I51</f>
        <v>1</v>
      </c>
      <c r="I54" s="257">
        <f t="shared" si="145"/>
        <v>2</v>
      </c>
      <c r="J54" s="257">
        <f t="shared" si="145"/>
        <v>2</v>
      </c>
      <c r="K54" s="257">
        <f t="shared" si="145"/>
        <v>2</v>
      </c>
      <c r="L54" s="257">
        <f t="shared" si="145"/>
        <v>2</v>
      </c>
      <c r="M54" s="257">
        <f t="shared" si="145"/>
        <v>2</v>
      </c>
      <c r="N54" s="257">
        <f t="shared" si="145"/>
        <v>2</v>
      </c>
      <c r="O54" s="257">
        <f t="shared" si="145"/>
        <v>2</v>
      </c>
      <c r="P54" s="257">
        <f t="shared" si="145"/>
        <v>3</v>
      </c>
      <c r="Q54" s="259">
        <f t="shared" si="145"/>
        <v>3</v>
      </c>
      <c r="R54" s="257">
        <f t="shared" si="145"/>
        <v>3</v>
      </c>
      <c r="S54" s="257">
        <f t="shared" si="145"/>
        <v>2</v>
      </c>
      <c r="T54" s="257">
        <f t="shared" si="145"/>
        <v>2</v>
      </c>
      <c r="U54" s="257">
        <f t="shared" si="145"/>
        <v>4</v>
      </c>
      <c r="V54" s="257">
        <f t="shared" si="145"/>
        <v>4</v>
      </c>
      <c r="W54" s="257">
        <f t="shared" si="145"/>
        <v>4</v>
      </c>
      <c r="X54" s="257">
        <f t="shared" si="145"/>
        <v>4</v>
      </c>
      <c r="Y54" s="257">
        <f t="shared" si="145"/>
        <v>4</v>
      </c>
      <c r="Z54" s="257">
        <f t="shared" si="145"/>
        <v>4</v>
      </c>
      <c r="AA54" s="257">
        <f t="shared" si="145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" si="146">AVERAGE(H51,H54)</f>
        <v>1</v>
      </c>
      <c r="I56" s="315">
        <f t="shared" ref="I56" si="147">AVERAGE(I51,I54)</f>
        <v>1.5</v>
      </c>
      <c r="J56" s="315">
        <f t="shared" ref="J56" si="148">AVERAGE(J51,J54)</f>
        <v>2</v>
      </c>
      <c r="K56" s="315">
        <f t="shared" ref="K56" si="149">AVERAGE(K51,K54)</f>
        <v>2</v>
      </c>
      <c r="L56" s="315">
        <f t="shared" ref="L56" si="150">AVERAGE(L51,L54)</f>
        <v>2</v>
      </c>
      <c r="M56" s="315">
        <f t="shared" ref="M56" si="151">AVERAGE(M51,M54)</f>
        <v>2</v>
      </c>
      <c r="N56" s="315">
        <f t="shared" ref="N56" si="152">AVERAGE(N51,N54)</f>
        <v>2</v>
      </c>
      <c r="O56" s="315">
        <f t="shared" ref="O56" si="153">AVERAGE(O51,O54)</f>
        <v>2</v>
      </c>
      <c r="P56" s="315">
        <f t="shared" ref="P56" si="154">AVERAGE(P51,P54)</f>
        <v>2.5</v>
      </c>
      <c r="Q56" s="318">
        <f t="shared" ref="Q56" si="155">AVERAGE(Q51,Q54)</f>
        <v>3</v>
      </c>
      <c r="R56" s="315">
        <f t="shared" ref="R56" si="156">AVERAGE(R51,R54)</f>
        <v>3</v>
      </c>
      <c r="S56" s="315">
        <f t="shared" ref="S56" si="157">AVERAGE(S51,S54)</f>
        <v>2.5</v>
      </c>
      <c r="T56" s="315">
        <f t="shared" ref="T56" si="158">AVERAGE(T51,T54)</f>
        <v>2</v>
      </c>
      <c r="U56" s="315">
        <f t="shared" ref="U56" si="159">AVERAGE(U51,U54)</f>
        <v>3</v>
      </c>
      <c r="V56" s="315">
        <f t="shared" ref="V56" si="160">AVERAGE(V51,V54)</f>
        <v>4</v>
      </c>
      <c r="W56" s="315">
        <f t="shared" ref="W56" si="161">AVERAGE(W51,W54)</f>
        <v>4</v>
      </c>
      <c r="X56" s="315">
        <f t="shared" ref="X56" si="162">AVERAGE(X51,X54)</f>
        <v>4</v>
      </c>
      <c r="Y56" s="315">
        <f t="shared" ref="Y56" si="163">AVERAGE(Y51,Y54)</f>
        <v>4</v>
      </c>
      <c r="Z56" s="315">
        <f t="shared" ref="Z56" si="164">AVERAGE(Z51,Z54)</f>
        <v>4</v>
      </c>
      <c r="AA56" s="315">
        <f t="shared" ref="AA56" si="165">AVERAGE(AA51,AA54)</f>
        <v>4</v>
      </c>
      <c r="AB56" s="316">
        <f t="shared" ref="AB56" si="166">AVERAGE(AB51,AB54)</f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" si="167">H49/H56</f>
        <v>146</v>
      </c>
      <c r="I57" s="310">
        <f t="shared" ref="I57" si="168">I49/I56</f>
        <v>98.333333333333329</v>
      </c>
      <c r="J57" s="310">
        <f t="shared" ref="J57" si="169">J49/J56</f>
        <v>75.5</v>
      </c>
      <c r="K57" s="310">
        <f t="shared" ref="K57" si="170">K49/K56</f>
        <v>78.25</v>
      </c>
      <c r="L57" s="310">
        <f t="shared" ref="L57" si="171">L49/L56</f>
        <v>81</v>
      </c>
      <c r="M57" s="310">
        <f t="shared" ref="M57" si="172">M49/M56</f>
        <v>82.5</v>
      </c>
      <c r="N57" s="310">
        <f t="shared" ref="N57" si="173">N49/N56</f>
        <v>83.5</v>
      </c>
      <c r="O57" s="310">
        <f t="shared" ref="O57" si="174">O49/O56</f>
        <v>86</v>
      </c>
      <c r="P57" s="310">
        <f t="shared" ref="P57" si="175">P49/P56</f>
        <v>70.400000000000006</v>
      </c>
      <c r="Q57" s="313">
        <f t="shared" ref="Q57" si="176">Q49/Q56</f>
        <v>59.833333333333336</v>
      </c>
      <c r="R57" s="310">
        <f t="shared" ref="R57" si="177">R49/R56</f>
        <v>60.5</v>
      </c>
      <c r="S57" s="310">
        <f t="shared" ref="S57" si="178">S49/S56</f>
        <v>72.2</v>
      </c>
      <c r="T57" s="310">
        <f t="shared" ref="T57" si="179">T49/T56</f>
        <v>91.5</v>
      </c>
      <c r="U57" s="310">
        <f t="shared" ref="U57" si="180">U49/U56</f>
        <v>63.166666666666664</v>
      </c>
      <c r="V57" s="310">
        <f t="shared" ref="V57" si="181">V49/V56</f>
        <v>48.125</v>
      </c>
      <c r="W57" s="310">
        <f t="shared" ref="W57" si="182">W49/W56</f>
        <v>48.75</v>
      </c>
      <c r="X57" s="310">
        <f t="shared" ref="X57" si="183">X49/X56</f>
        <v>48.375</v>
      </c>
      <c r="Y57" s="310">
        <f t="shared" ref="Y57" si="184">Y49/Y56</f>
        <v>47.25</v>
      </c>
      <c r="Z57" s="310">
        <f t="shared" ref="Z57" si="185">Z49/Z56</f>
        <v>45.375</v>
      </c>
      <c r="AA57" s="310">
        <f t="shared" ref="AA57" si="186">AA49/AA56</f>
        <v>43.625</v>
      </c>
      <c r="AB57" s="311">
        <f t="shared" ref="AB57" si="187">AB49/AB56</f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188">(H52+H51)/H51-1</f>
        <v>0</v>
      </c>
      <c r="I59" s="233">
        <f t="shared" si="188"/>
        <v>1</v>
      </c>
      <c r="J59" s="233">
        <f t="shared" si="188"/>
        <v>0.5</v>
      </c>
      <c r="K59" s="233">
        <f t="shared" si="188"/>
        <v>0</v>
      </c>
      <c r="L59" s="233">
        <f t="shared" si="188"/>
        <v>0</v>
      </c>
      <c r="M59" s="233">
        <f t="shared" si="188"/>
        <v>0</v>
      </c>
      <c r="N59" s="233">
        <f t="shared" si="188"/>
        <v>0</v>
      </c>
      <c r="O59" s="233">
        <f t="shared" si="188"/>
        <v>0</v>
      </c>
      <c r="P59" s="233">
        <f t="shared" si="188"/>
        <v>0.5</v>
      </c>
      <c r="Q59" s="243">
        <f t="shared" si="188"/>
        <v>0</v>
      </c>
      <c r="R59" s="233">
        <f t="shared" si="188"/>
        <v>0</v>
      </c>
      <c r="S59" s="233">
        <f t="shared" si="188"/>
        <v>0</v>
      </c>
      <c r="T59" s="233">
        <f t="shared" si="188"/>
        <v>0</v>
      </c>
      <c r="U59" s="233">
        <f t="shared" si="188"/>
        <v>1</v>
      </c>
      <c r="V59" s="233">
        <f t="shared" si="188"/>
        <v>0</v>
      </c>
      <c r="W59" s="233">
        <f t="shared" si="188"/>
        <v>0</v>
      </c>
      <c r="X59" s="233">
        <f t="shared" si="188"/>
        <v>0</v>
      </c>
      <c r="Y59" s="233">
        <f t="shared" si="188"/>
        <v>0</v>
      </c>
      <c r="Z59" s="233">
        <f t="shared" si="188"/>
        <v>0</v>
      </c>
      <c r="AA59" s="233">
        <f t="shared" si="188"/>
        <v>0.25</v>
      </c>
      <c r="AB59" s="244">
        <f t="shared" si="188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189">(H53+H56)/H56-1</f>
        <v>0</v>
      </c>
      <c r="I60" s="236">
        <f t="shared" si="189"/>
        <v>0</v>
      </c>
      <c r="J60" s="236">
        <f t="shared" si="189"/>
        <v>-0.5</v>
      </c>
      <c r="K60" s="236">
        <f t="shared" si="189"/>
        <v>0</v>
      </c>
      <c r="L60" s="236">
        <f t="shared" si="189"/>
        <v>0</v>
      </c>
      <c r="M60" s="236">
        <f t="shared" si="189"/>
        <v>0</v>
      </c>
      <c r="N60" s="236">
        <f t="shared" si="189"/>
        <v>0</v>
      </c>
      <c r="O60" s="236">
        <f t="shared" si="189"/>
        <v>0</v>
      </c>
      <c r="P60" s="236">
        <f t="shared" si="189"/>
        <v>0</v>
      </c>
      <c r="Q60" s="238">
        <f t="shared" si="189"/>
        <v>0</v>
      </c>
      <c r="R60" s="236">
        <f t="shared" si="189"/>
        <v>0</v>
      </c>
      <c r="S60" s="236">
        <f t="shared" si="189"/>
        <v>-0.4</v>
      </c>
      <c r="T60" s="236">
        <f t="shared" si="189"/>
        <v>0</v>
      </c>
      <c r="U60" s="236">
        <f t="shared" si="189"/>
        <v>0</v>
      </c>
      <c r="V60" s="236">
        <f t="shared" si="189"/>
        <v>0</v>
      </c>
      <c r="W60" s="236">
        <f t="shared" si="189"/>
        <v>0</v>
      </c>
      <c r="X60" s="236">
        <f t="shared" si="189"/>
        <v>0</v>
      </c>
      <c r="Y60" s="236">
        <f t="shared" si="189"/>
        <v>0</v>
      </c>
      <c r="Z60" s="236">
        <f t="shared" si="189"/>
        <v>0</v>
      </c>
      <c r="AA60" s="236">
        <f t="shared" si="189"/>
        <v>-0.25</v>
      </c>
      <c r="AB60" s="237">
        <f t="shared" si="189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" si="190">EOMONTH(H62,0)+1</f>
        <v>45689</v>
      </c>
      <c r="J62" s="189">
        <f t="shared" ref="J62" si="191">EOMONTH(I62,0)+1</f>
        <v>45717</v>
      </c>
      <c r="K62" s="189">
        <f t="shared" ref="K62" si="192">EOMONTH(J62,0)+1</f>
        <v>45748</v>
      </c>
      <c r="L62" s="189">
        <f t="shared" ref="L62" si="193">EOMONTH(K62,0)+1</f>
        <v>45778</v>
      </c>
      <c r="M62" s="189">
        <f t="shared" ref="M62" si="194">EOMONTH(L62,0)+1</f>
        <v>45809</v>
      </c>
      <c r="N62" s="189">
        <f t="shared" ref="N62" si="195">EOMONTH(M62,0)+1</f>
        <v>45839</v>
      </c>
      <c r="O62" s="189">
        <v>45870</v>
      </c>
      <c r="P62" s="189">
        <f t="shared" ref="P62" si="196">EOMONTH(O62,0)+1</f>
        <v>45901</v>
      </c>
      <c r="Q62" s="189">
        <f t="shared" ref="Q62" si="197">EOMONTH(P62,0)+1</f>
        <v>45931</v>
      </c>
      <c r="R62" s="189">
        <f t="shared" ref="R62" si="198">EOMONTH(Q62,0)+1</f>
        <v>45962</v>
      </c>
      <c r="S62" s="189">
        <f t="shared" ref="S62" si="199">EOMONTH(R62,0)+1</f>
        <v>45992</v>
      </c>
      <c r="T62" s="189">
        <f t="shared" ref="T62" si="200">EOMONTH(S62,0)+1</f>
        <v>46023</v>
      </c>
      <c r="U62" s="189">
        <f t="shared" ref="U62" si="201">EOMONTH(T62,0)+1</f>
        <v>46054</v>
      </c>
      <c r="V62" s="189">
        <f t="shared" ref="V62" si="202">EOMONTH(U62,0)+1</f>
        <v>46082</v>
      </c>
      <c r="W62" s="189">
        <f t="shared" ref="W62" si="203">EOMONTH(V62,0)+1</f>
        <v>46113</v>
      </c>
      <c r="X62" s="189">
        <f t="shared" ref="X62" si="204">EOMONTH(W62,0)+1</f>
        <v>46143</v>
      </c>
      <c r="Y62" s="189">
        <f t="shared" ref="Y62" si="205">EOMONTH(X62,0)+1</f>
        <v>46174</v>
      </c>
      <c r="Z62" s="189">
        <f t="shared" ref="Z62" si="206">EOMONTH(Y62,0)+1</f>
        <v>46204</v>
      </c>
      <c r="AA62" s="189">
        <f t="shared" ref="AA62" si="207">EOMONTH(Z62,0)+1</f>
        <v>46235</v>
      </c>
      <c r="AB62" s="189">
        <f t="shared" ref="AB62" si="208">EOMONTH(AA62,0)+1</f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" si="210">+H69-H67-H68</f>
        <v>1</v>
      </c>
      <c r="I66" s="181">
        <f t="shared" ref="I66" si="211">+I69-I67-I68</f>
        <v>2</v>
      </c>
      <c r="J66" s="181">
        <f t="shared" ref="J66" si="212">+J69-J67-J68</f>
        <v>2</v>
      </c>
      <c r="K66" s="181">
        <f t="shared" ref="K66" si="213">+K69-K67-K68</f>
        <v>2</v>
      </c>
      <c r="L66" s="181">
        <f t="shared" ref="L66" si="214">+L69-L67-L68</f>
        <v>3</v>
      </c>
      <c r="M66" s="181">
        <f t="shared" ref="M66" si="215">+M69-M67-M68</f>
        <v>3</v>
      </c>
      <c r="N66" s="181">
        <f t="shared" ref="N66" si="216">+N69-N67-N68</f>
        <v>3</v>
      </c>
      <c r="O66" s="181">
        <f t="shared" ref="O66" si="217">+O69-O67-O68</f>
        <v>3</v>
      </c>
      <c r="P66" s="181">
        <f t="shared" ref="P66" si="218">+P69-P67-P68</f>
        <v>4</v>
      </c>
      <c r="Q66" s="181">
        <f t="shared" ref="Q66" si="219">+Q69-Q67-Q68</f>
        <v>4</v>
      </c>
      <c r="R66" s="181">
        <f t="shared" ref="R66" si="220">+R69-R67-R68</f>
        <v>5</v>
      </c>
      <c r="S66" s="181">
        <f t="shared" ref="S66" si="221">+S69-S67-S68</f>
        <v>4</v>
      </c>
      <c r="T66" s="181">
        <f t="shared" ref="T66" si="222">+T69-T67-T68</f>
        <v>5</v>
      </c>
      <c r="U66" s="181">
        <f t="shared" ref="U66" si="223">+U69-U67-U68</f>
        <v>5</v>
      </c>
      <c r="V66" s="181">
        <f t="shared" ref="V66" si="224">+V69-V67-V68</f>
        <v>6</v>
      </c>
      <c r="W66" s="181">
        <f t="shared" ref="W66" si="225">+W69-W67-W68</f>
        <v>7</v>
      </c>
      <c r="X66" s="181">
        <f t="shared" ref="X66" si="226">+X69-X67-X68</f>
        <v>6</v>
      </c>
      <c r="Y66" s="181">
        <f t="shared" ref="Y66" si="227">+Y69-Y67-Y68</f>
        <v>6</v>
      </c>
      <c r="Z66" s="181">
        <f t="shared" ref="Z66" si="228">+Z69-Z67-Z68</f>
        <v>6</v>
      </c>
      <c r="AA66" s="181">
        <f t="shared" ref="AA66" si="229">+AA69-AA67-AA68</f>
        <v>4</v>
      </c>
      <c r="AB66" s="181">
        <f t="shared" ref="AB66" si="230">+AB69-AB67-AB68</f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231">+I66</f>
        <v>2</v>
      </c>
      <c r="I69" s="257">
        <f t="shared" si="231"/>
        <v>2</v>
      </c>
      <c r="J69" s="257">
        <f t="shared" si="231"/>
        <v>2</v>
      </c>
      <c r="K69" s="257">
        <f t="shared" si="231"/>
        <v>3</v>
      </c>
      <c r="L69" s="257">
        <f t="shared" si="231"/>
        <v>3</v>
      </c>
      <c r="M69" s="257">
        <f t="shared" si="231"/>
        <v>3</v>
      </c>
      <c r="N69" s="257">
        <f t="shared" si="231"/>
        <v>3</v>
      </c>
      <c r="O69" s="257">
        <f t="shared" si="231"/>
        <v>4</v>
      </c>
      <c r="P69" s="257">
        <f t="shared" si="231"/>
        <v>4</v>
      </c>
      <c r="Q69" s="259">
        <f t="shared" si="231"/>
        <v>5</v>
      </c>
      <c r="R69" s="257">
        <f t="shared" si="231"/>
        <v>4</v>
      </c>
      <c r="S69" s="257">
        <f t="shared" si="231"/>
        <v>5</v>
      </c>
      <c r="T69" s="257">
        <f t="shared" si="231"/>
        <v>5</v>
      </c>
      <c r="U69" s="257">
        <f t="shared" si="231"/>
        <v>6</v>
      </c>
      <c r="V69" s="257">
        <f t="shared" si="231"/>
        <v>7</v>
      </c>
      <c r="W69" s="257">
        <f t="shared" si="231"/>
        <v>6</v>
      </c>
      <c r="X69" s="257">
        <f t="shared" si="231"/>
        <v>6</v>
      </c>
      <c r="Y69" s="257">
        <f t="shared" si="231"/>
        <v>6</v>
      </c>
      <c r="Z69" s="257">
        <f t="shared" si="231"/>
        <v>4</v>
      </c>
      <c r="AA69" s="257">
        <f t="shared" si="231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" si="232">AVERAGE(H66,H69)</f>
        <v>1.5</v>
      </c>
      <c r="I71" s="315">
        <f t="shared" ref="I71" si="233">AVERAGE(I66,I69)</f>
        <v>2</v>
      </c>
      <c r="J71" s="315">
        <f t="shared" ref="J71" si="234">AVERAGE(J66,J69)</f>
        <v>2</v>
      </c>
      <c r="K71" s="315">
        <f t="shared" ref="K71" si="235">AVERAGE(K66,K69)</f>
        <v>2.5</v>
      </c>
      <c r="L71" s="315">
        <f t="shared" ref="L71" si="236">AVERAGE(L66,L69)</f>
        <v>3</v>
      </c>
      <c r="M71" s="315">
        <f t="shared" ref="M71" si="237">AVERAGE(M66,M69)</f>
        <v>3</v>
      </c>
      <c r="N71" s="315">
        <f t="shared" ref="N71" si="238">AVERAGE(N66,N69)</f>
        <v>3</v>
      </c>
      <c r="O71" s="315">
        <f t="shared" ref="O71" si="239">AVERAGE(O66,O69)</f>
        <v>3.5</v>
      </c>
      <c r="P71" s="315">
        <f t="shared" ref="P71" si="240">AVERAGE(P66,P69)</f>
        <v>4</v>
      </c>
      <c r="Q71" s="318">
        <f t="shared" ref="Q71" si="241">AVERAGE(Q66,Q69)</f>
        <v>4.5</v>
      </c>
      <c r="R71" s="315">
        <f t="shared" ref="R71" si="242">AVERAGE(R66,R69)</f>
        <v>4.5</v>
      </c>
      <c r="S71" s="315">
        <f t="shared" ref="S71" si="243">AVERAGE(S66,S69)</f>
        <v>4.5</v>
      </c>
      <c r="T71" s="315">
        <f t="shared" ref="T71" si="244">AVERAGE(T66,T69)</f>
        <v>5</v>
      </c>
      <c r="U71" s="315">
        <f t="shared" ref="U71" si="245">AVERAGE(U66,U69)</f>
        <v>5.5</v>
      </c>
      <c r="V71" s="315">
        <f t="shared" ref="V71" si="246">AVERAGE(V66,V69)</f>
        <v>6.5</v>
      </c>
      <c r="W71" s="315">
        <f t="shared" ref="W71" si="247">AVERAGE(W66,W69)</f>
        <v>6.5</v>
      </c>
      <c r="X71" s="315">
        <f t="shared" ref="X71" si="248">AVERAGE(X66,X69)</f>
        <v>6</v>
      </c>
      <c r="Y71" s="315">
        <f t="shared" ref="Y71" si="249">AVERAGE(Y66,Y69)</f>
        <v>6</v>
      </c>
      <c r="Z71" s="315">
        <f t="shared" ref="Z71" si="250">AVERAGE(Z66,Z69)</f>
        <v>5</v>
      </c>
      <c r="AA71" s="315">
        <f t="shared" ref="AA71" si="251">AVERAGE(AA66,AA69)</f>
        <v>4</v>
      </c>
      <c r="AB71" s="316">
        <f t="shared" ref="AB71" si="252">AVERAGE(AB66,AB69)</f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" si="253">H64/H71</f>
        <v>97.333333333333329</v>
      </c>
      <c r="I72" s="310">
        <f t="shared" ref="I72" si="254">I64/I71</f>
        <v>73.75</v>
      </c>
      <c r="J72" s="310">
        <f t="shared" ref="J72" si="255">J64/J71</f>
        <v>75.5</v>
      </c>
      <c r="K72" s="310">
        <f t="shared" ref="K72" si="256">K64/K71</f>
        <v>62.6</v>
      </c>
      <c r="L72" s="310">
        <f t="shared" ref="L72" si="257">L64/L71</f>
        <v>54</v>
      </c>
      <c r="M72" s="310">
        <f t="shared" ref="M72" si="258">M64/M71</f>
        <v>55</v>
      </c>
      <c r="N72" s="310">
        <f t="shared" ref="N72" si="259">N64/N71</f>
        <v>55.666666666666664</v>
      </c>
      <c r="O72" s="310">
        <f t="shared" ref="O72" si="260">O64/O71</f>
        <v>49.142857142857146</v>
      </c>
      <c r="P72" s="310">
        <f t="shared" ref="P72" si="261">P64/P71</f>
        <v>44</v>
      </c>
      <c r="Q72" s="313">
        <f t="shared" ref="Q72" si="262">Q64/Q71</f>
        <v>39.888888888888886</v>
      </c>
      <c r="R72" s="310">
        <f t="shared" ref="R72" si="263">R64/R71</f>
        <v>40.333333333333336</v>
      </c>
      <c r="S72" s="310">
        <f t="shared" ref="S72" si="264">S64/S71</f>
        <v>40.111111111111114</v>
      </c>
      <c r="T72" s="310">
        <f t="shared" ref="T72" si="265">T64/T71</f>
        <v>36.6</v>
      </c>
      <c r="U72" s="310">
        <f t="shared" ref="U72" si="266">U64/U71</f>
        <v>34.454545454545453</v>
      </c>
      <c r="V72" s="310">
        <f t="shared" ref="V72" si="267">V64/V71</f>
        <v>29.615384615384617</v>
      </c>
      <c r="W72" s="310">
        <f t="shared" ref="W72" si="268">W64/W71</f>
        <v>30</v>
      </c>
      <c r="X72" s="310">
        <f t="shared" ref="X72" si="269">X64/X71</f>
        <v>32.25</v>
      </c>
      <c r="Y72" s="310">
        <f t="shared" ref="Y72" si="270">Y64/Y71</f>
        <v>31.5</v>
      </c>
      <c r="Z72" s="310">
        <f t="shared" ref="Z72" si="271">Z64/Z71</f>
        <v>36.299999999999997</v>
      </c>
      <c r="AA72" s="310">
        <f t="shared" ref="AA72" si="272">AA64/AA71</f>
        <v>43.625</v>
      </c>
      <c r="AB72" s="311">
        <f t="shared" ref="AB72" si="273">AB64/AB71</f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274">(H67+H66)/H66-1</f>
        <v>1</v>
      </c>
      <c r="I74" s="233">
        <f t="shared" si="274"/>
        <v>0</v>
      </c>
      <c r="J74" s="233">
        <f t="shared" si="274"/>
        <v>0</v>
      </c>
      <c r="K74" s="233">
        <f t="shared" si="274"/>
        <v>0.5</v>
      </c>
      <c r="L74" s="233">
        <f t="shared" si="274"/>
        <v>0</v>
      </c>
      <c r="M74" s="233">
        <f t="shared" si="274"/>
        <v>0</v>
      </c>
      <c r="N74" s="233">
        <f t="shared" si="274"/>
        <v>0</v>
      </c>
      <c r="O74" s="233">
        <f t="shared" si="274"/>
        <v>0.33333333333333326</v>
      </c>
      <c r="P74" s="233">
        <f t="shared" si="274"/>
        <v>0</v>
      </c>
      <c r="Q74" s="243">
        <f t="shared" si="274"/>
        <v>0.25</v>
      </c>
      <c r="R74" s="233">
        <f t="shared" si="274"/>
        <v>0</v>
      </c>
      <c r="S74" s="233">
        <f t="shared" si="274"/>
        <v>0.25</v>
      </c>
      <c r="T74" s="233">
        <f t="shared" si="274"/>
        <v>0</v>
      </c>
      <c r="U74" s="233">
        <f t="shared" si="274"/>
        <v>0.19999999999999996</v>
      </c>
      <c r="V74" s="233">
        <f t="shared" si="274"/>
        <v>0.16666666666666674</v>
      </c>
      <c r="W74" s="233">
        <f t="shared" si="274"/>
        <v>0</v>
      </c>
      <c r="X74" s="233">
        <f t="shared" si="274"/>
        <v>0.33333333333333326</v>
      </c>
      <c r="Y74" s="233">
        <f t="shared" si="274"/>
        <v>0</v>
      </c>
      <c r="Z74" s="233">
        <f t="shared" si="274"/>
        <v>0</v>
      </c>
      <c r="AA74" s="233">
        <f t="shared" si="274"/>
        <v>0</v>
      </c>
      <c r="AB74" s="244">
        <f t="shared" si="274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275">(H68+H71)/H71-1</f>
        <v>0</v>
      </c>
      <c r="I75" s="236">
        <f t="shared" si="275"/>
        <v>0</v>
      </c>
      <c r="J75" s="236">
        <f t="shared" si="275"/>
        <v>0</v>
      </c>
      <c r="K75" s="236">
        <f t="shared" si="275"/>
        <v>0</v>
      </c>
      <c r="L75" s="236">
        <f t="shared" si="275"/>
        <v>0</v>
      </c>
      <c r="M75" s="236">
        <f t="shared" si="275"/>
        <v>0</v>
      </c>
      <c r="N75" s="236">
        <f t="shared" si="275"/>
        <v>0</v>
      </c>
      <c r="O75" s="236">
        <f t="shared" si="275"/>
        <v>0</v>
      </c>
      <c r="P75" s="236">
        <f t="shared" si="275"/>
        <v>0</v>
      </c>
      <c r="Q75" s="238">
        <f t="shared" si="275"/>
        <v>0</v>
      </c>
      <c r="R75" s="236">
        <f t="shared" si="275"/>
        <v>-0.22222222222222221</v>
      </c>
      <c r="S75" s="236">
        <f t="shared" si="275"/>
        <v>0</v>
      </c>
      <c r="T75" s="236">
        <f t="shared" si="275"/>
        <v>0</v>
      </c>
      <c r="U75" s="236">
        <f t="shared" si="275"/>
        <v>0</v>
      </c>
      <c r="V75" s="236">
        <f t="shared" si="275"/>
        <v>0</v>
      </c>
      <c r="W75" s="236">
        <f t="shared" si="275"/>
        <v>-0.15384615384615385</v>
      </c>
      <c r="X75" s="236">
        <f t="shared" si="275"/>
        <v>-0.33333333333333337</v>
      </c>
      <c r="Y75" s="236">
        <f t="shared" si="275"/>
        <v>0</v>
      </c>
      <c r="Z75" s="236">
        <f t="shared" si="275"/>
        <v>-0.4</v>
      </c>
      <c r="AA75" s="236">
        <f t="shared" si="275"/>
        <v>0</v>
      </c>
      <c r="AB75" s="237">
        <f t="shared" si="275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" si="276">EOMONTH(H77,0)+1</f>
        <v>45689</v>
      </c>
      <c r="J77" s="189">
        <f t="shared" ref="J77" si="277">EOMONTH(I77,0)+1</f>
        <v>45717</v>
      </c>
      <c r="K77" s="189">
        <f t="shared" ref="K77" si="278">EOMONTH(J77,0)+1</f>
        <v>45748</v>
      </c>
      <c r="L77" s="189">
        <f t="shared" ref="L77" si="279">EOMONTH(K77,0)+1</f>
        <v>45778</v>
      </c>
      <c r="M77" s="189">
        <f t="shared" ref="M77" si="280">EOMONTH(L77,0)+1</f>
        <v>45809</v>
      </c>
      <c r="N77" s="189">
        <f t="shared" ref="N77" si="281">EOMONTH(M77,0)+1</f>
        <v>45839</v>
      </c>
      <c r="O77" s="189">
        <v>45870</v>
      </c>
      <c r="P77" s="189">
        <f t="shared" ref="P77" si="282">EOMONTH(O77,0)+1</f>
        <v>45901</v>
      </c>
      <c r="Q77" s="189">
        <f t="shared" ref="Q77" si="283">EOMONTH(P77,0)+1</f>
        <v>45931</v>
      </c>
      <c r="R77" s="189">
        <f t="shared" ref="R77" si="284">EOMONTH(Q77,0)+1</f>
        <v>45962</v>
      </c>
      <c r="S77" s="189">
        <f t="shared" ref="S77" si="285">EOMONTH(R77,0)+1</f>
        <v>45992</v>
      </c>
      <c r="T77" s="189">
        <f t="shared" ref="T77" si="286">EOMONTH(S77,0)+1</f>
        <v>46023</v>
      </c>
      <c r="U77" s="189">
        <f t="shared" ref="U77" si="287">EOMONTH(T77,0)+1</f>
        <v>46054</v>
      </c>
      <c r="V77" s="189">
        <f t="shared" ref="V77" si="288">EOMONTH(U77,0)+1</f>
        <v>46082</v>
      </c>
      <c r="W77" s="189">
        <f t="shared" ref="W77" si="289">EOMONTH(V77,0)+1</f>
        <v>46113</v>
      </c>
      <c r="X77" s="189">
        <f t="shared" ref="X77" si="290">EOMONTH(W77,0)+1</f>
        <v>46143</v>
      </c>
      <c r="Y77" s="189">
        <f t="shared" ref="Y77" si="291">EOMONTH(X77,0)+1</f>
        <v>46174</v>
      </c>
      <c r="Z77" s="189">
        <f t="shared" ref="Z77" si="292">EOMONTH(Y77,0)+1</f>
        <v>46204</v>
      </c>
      <c r="AA77" s="189">
        <f t="shared" ref="AA77" si="293">EOMONTH(Z77,0)+1</f>
        <v>46235</v>
      </c>
      <c r="AB77" s="189">
        <f t="shared" ref="AB77" si="294">EOMONTH(AA77,0)+1</f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" si="296">+H84-H82-H83</f>
        <v>4</v>
      </c>
      <c r="I81" s="181">
        <f t="shared" ref="I81" si="297">+I84-I82-I83</f>
        <v>3</v>
      </c>
      <c r="J81" s="181">
        <f t="shared" ref="J81" si="298">+J84-J82-J83</f>
        <v>3</v>
      </c>
      <c r="K81" s="181">
        <f t="shared" ref="K81" si="299">+K84-K82-K83</f>
        <v>3</v>
      </c>
      <c r="L81" s="181">
        <f t="shared" ref="L81" si="300">+L84-L82-L83</f>
        <v>3</v>
      </c>
      <c r="M81" s="181">
        <f t="shared" ref="M81" si="301">+M84-M82-M83</f>
        <v>3</v>
      </c>
      <c r="N81" s="181">
        <f t="shared" ref="N81" si="302">+N84-N82-N83</f>
        <v>3</v>
      </c>
      <c r="O81" s="181">
        <f t="shared" ref="O81" si="303">+O84-O82-O83</f>
        <v>3</v>
      </c>
      <c r="P81" s="181">
        <f t="shared" ref="P81" si="304">+P84-P82-P83</f>
        <v>3</v>
      </c>
      <c r="Q81" s="181">
        <f t="shared" ref="Q81" si="305">+Q84-Q82-Q83</f>
        <v>3</v>
      </c>
      <c r="R81" s="181">
        <f t="shared" ref="R81" si="306">+R84-R82-R83</f>
        <v>3</v>
      </c>
      <c r="S81" s="181">
        <f t="shared" ref="S81" si="307">+S84-S82-S83</f>
        <v>3</v>
      </c>
      <c r="T81" s="181">
        <f t="shared" ref="T81" si="308">+T84-T82-T83</f>
        <v>4</v>
      </c>
      <c r="U81" s="181">
        <f t="shared" ref="U81" si="309">+U84-U82-U83</f>
        <v>4</v>
      </c>
      <c r="V81" s="181">
        <f t="shared" ref="V81" si="310">+V84-V82-V83</f>
        <v>4</v>
      </c>
      <c r="W81" s="181">
        <f t="shared" ref="W81" si="311">+W84-W82-W83</f>
        <v>4</v>
      </c>
      <c r="X81" s="181">
        <f t="shared" ref="X81" si="312">+X84-X82-X83</f>
        <v>4</v>
      </c>
      <c r="Y81" s="181">
        <f t="shared" ref="Y81" si="313">+Y84-Y82-Y83</f>
        <v>3</v>
      </c>
      <c r="Z81" s="181">
        <f t="shared" ref="Z81" si="314">+Z84-Z82-Z83</f>
        <v>3</v>
      </c>
      <c r="AA81" s="181">
        <f t="shared" ref="AA81" si="315">+AA84-AA82-AA83</f>
        <v>4</v>
      </c>
      <c r="AB81" s="181">
        <f t="shared" ref="AB81" si="316">+AB84-AB82-AB83</f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317">+I81</f>
        <v>3</v>
      </c>
      <c r="I84" s="257">
        <f t="shared" si="317"/>
        <v>3</v>
      </c>
      <c r="J84" s="257">
        <f t="shared" si="317"/>
        <v>3</v>
      </c>
      <c r="K84" s="257">
        <f t="shared" si="317"/>
        <v>3</v>
      </c>
      <c r="L84" s="257">
        <f t="shared" si="317"/>
        <v>3</v>
      </c>
      <c r="M84" s="257">
        <f t="shared" si="317"/>
        <v>3</v>
      </c>
      <c r="N84" s="257">
        <f t="shared" si="317"/>
        <v>3</v>
      </c>
      <c r="O84" s="257">
        <f t="shared" si="317"/>
        <v>3</v>
      </c>
      <c r="P84" s="257">
        <f t="shared" si="317"/>
        <v>3</v>
      </c>
      <c r="Q84" s="410">
        <f t="shared" si="317"/>
        <v>3</v>
      </c>
      <c r="R84" s="232">
        <f t="shared" si="317"/>
        <v>3</v>
      </c>
      <c r="S84" s="232">
        <f t="shared" si="317"/>
        <v>4</v>
      </c>
      <c r="T84" s="232">
        <f t="shared" si="317"/>
        <v>4</v>
      </c>
      <c r="U84" s="232">
        <f t="shared" si="317"/>
        <v>4</v>
      </c>
      <c r="V84" s="232">
        <f t="shared" si="317"/>
        <v>4</v>
      </c>
      <c r="W84" s="232">
        <f t="shared" si="317"/>
        <v>4</v>
      </c>
      <c r="X84" s="232">
        <f t="shared" si="317"/>
        <v>3</v>
      </c>
      <c r="Y84" s="232">
        <f t="shared" si="317"/>
        <v>3</v>
      </c>
      <c r="Z84" s="232">
        <f t="shared" si="317"/>
        <v>4</v>
      </c>
      <c r="AA84" s="232">
        <f t="shared" si="317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" si="318">AVERAGE(H81,H84)</f>
        <v>3.5</v>
      </c>
      <c r="I86" s="315">
        <f t="shared" ref="I86" si="319">AVERAGE(I81,I84)</f>
        <v>3</v>
      </c>
      <c r="J86" s="315">
        <f t="shared" ref="J86" si="320">AVERAGE(J81,J84)</f>
        <v>3</v>
      </c>
      <c r="K86" s="315">
        <f t="shared" ref="K86" si="321">AVERAGE(K81,K84)</f>
        <v>3</v>
      </c>
      <c r="L86" s="315">
        <f t="shared" ref="L86" si="322">AVERAGE(L81,L84)</f>
        <v>3</v>
      </c>
      <c r="M86" s="315">
        <f t="shared" ref="M86" si="323">AVERAGE(M81,M84)</f>
        <v>3</v>
      </c>
      <c r="N86" s="315">
        <f t="shared" ref="N86" si="324">AVERAGE(N81,N84)</f>
        <v>3</v>
      </c>
      <c r="O86" s="315">
        <f t="shared" ref="O86" si="325">AVERAGE(O81,O84)</f>
        <v>3</v>
      </c>
      <c r="P86" s="315">
        <f t="shared" ref="P86" si="326">AVERAGE(P81,P84)</f>
        <v>3</v>
      </c>
      <c r="Q86" s="318">
        <f t="shared" ref="Q86" si="327">AVERAGE(Q81,Q84)</f>
        <v>3</v>
      </c>
      <c r="R86" s="315">
        <f t="shared" ref="R86" si="328">AVERAGE(R81,R84)</f>
        <v>3</v>
      </c>
      <c r="S86" s="315">
        <f t="shared" ref="S86" si="329">AVERAGE(S81,S84)</f>
        <v>3.5</v>
      </c>
      <c r="T86" s="315">
        <f t="shared" ref="T86" si="330">AVERAGE(T81,T84)</f>
        <v>4</v>
      </c>
      <c r="U86" s="315">
        <f t="shared" ref="U86" si="331">AVERAGE(U81,U84)</f>
        <v>4</v>
      </c>
      <c r="V86" s="315">
        <f t="shared" ref="V86" si="332">AVERAGE(V81,V84)</f>
        <v>4</v>
      </c>
      <c r="W86" s="315">
        <f t="shared" ref="W86" si="333">AVERAGE(W81,W84)</f>
        <v>4</v>
      </c>
      <c r="X86" s="315">
        <f t="shared" ref="X86" si="334">AVERAGE(X81,X84)</f>
        <v>3.5</v>
      </c>
      <c r="Y86" s="315">
        <f t="shared" ref="Y86" si="335">AVERAGE(Y81,Y84)</f>
        <v>3</v>
      </c>
      <c r="Z86" s="315">
        <f t="shared" ref="Z86" si="336">AVERAGE(Z81,Z84)</f>
        <v>3.5</v>
      </c>
      <c r="AA86" s="315">
        <f t="shared" ref="AA86" si="337">AVERAGE(AA81,AA84)</f>
        <v>4</v>
      </c>
      <c r="AB86" s="316">
        <f t="shared" ref="AB86" si="338">AVERAGE(AB81,AB84)</f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" si="339">H79/H86</f>
        <v>41.714285714285715</v>
      </c>
      <c r="I87" s="310">
        <f t="shared" ref="I87" si="340">I79/I86</f>
        <v>49.166666666666664</v>
      </c>
      <c r="J87" s="310">
        <f t="shared" ref="J87" si="341">J79/J86</f>
        <v>50.333333333333336</v>
      </c>
      <c r="K87" s="310">
        <f t="shared" ref="K87" si="342">K79/K86</f>
        <v>52.166666666666664</v>
      </c>
      <c r="L87" s="310">
        <f t="shared" ref="L87" si="343">L79/L86</f>
        <v>54</v>
      </c>
      <c r="M87" s="310">
        <f t="shared" ref="M87" si="344">M79/M86</f>
        <v>55</v>
      </c>
      <c r="N87" s="310">
        <f t="shared" ref="N87" si="345">N79/N86</f>
        <v>55.666666666666664</v>
      </c>
      <c r="O87" s="310">
        <f t="shared" ref="O87" si="346">O79/O86</f>
        <v>57.333333333333336</v>
      </c>
      <c r="P87" s="310">
        <f t="shared" ref="P87" si="347">P79/P86</f>
        <v>58.666666666666664</v>
      </c>
      <c r="Q87" s="313">
        <f t="shared" ref="Q87" si="348">Q79/Q86</f>
        <v>59.833333333333336</v>
      </c>
      <c r="R87" s="310">
        <f t="shared" ref="R87" si="349">R79/R86</f>
        <v>60.5</v>
      </c>
      <c r="S87" s="310">
        <f t="shared" ref="S87" si="350">S79/S86</f>
        <v>51.571428571428569</v>
      </c>
      <c r="T87" s="310">
        <f t="shared" ref="T87" si="351">T79/T86</f>
        <v>45.75</v>
      </c>
      <c r="U87" s="310">
        <f t="shared" ref="U87" si="352">U79/U86</f>
        <v>47.375</v>
      </c>
      <c r="V87" s="310">
        <f t="shared" ref="V87" si="353">V79/V86</f>
        <v>48.125</v>
      </c>
      <c r="W87" s="310">
        <f t="shared" ref="W87" si="354">W79/W86</f>
        <v>48.75</v>
      </c>
      <c r="X87" s="310">
        <f t="shared" ref="X87" si="355">X79/X86</f>
        <v>55.285714285714285</v>
      </c>
      <c r="Y87" s="310">
        <f t="shared" ref="Y87" si="356">Y79/Y86</f>
        <v>63</v>
      </c>
      <c r="Z87" s="310">
        <f t="shared" ref="Z87" si="357">Z79/Z86</f>
        <v>51.857142857142854</v>
      </c>
      <c r="AA87" s="310">
        <f t="shared" ref="AA87" si="358">AA79/AA86</f>
        <v>43.625</v>
      </c>
      <c r="AB87" s="311">
        <f t="shared" ref="AB87" si="359">AB79/AB86</f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360">(H82+H81)/H81-1</f>
        <v>0</v>
      </c>
      <c r="I89" s="233">
        <f t="shared" si="360"/>
        <v>0</v>
      </c>
      <c r="J89" s="233">
        <f t="shared" si="360"/>
        <v>0</v>
      </c>
      <c r="K89" s="233">
        <f t="shared" si="360"/>
        <v>0</v>
      </c>
      <c r="L89" s="233">
        <f t="shared" si="360"/>
        <v>0</v>
      </c>
      <c r="M89" s="233">
        <f t="shared" si="360"/>
        <v>0</v>
      </c>
      <c r="N89" s="233">
        <f t="shared" si="360"/>
        <v>0</v>
      </c>
      <c r="O89" s="233">
        <f t="shared" si="360"/>
        <v>0</v>
      </c>
      <c r="P89" s="233">
        <f t="shared" si="360"/>
        <v>0</v>
      </c>
      <c r="Q89" s="243">
        <f t="shared" si="360"/>
        <v>0</v>
      </c>
      <c r="R89" s="233">
        <f t="shared" si="360"/>
        <v>0</v>
      </c>
      <c r="S89" s="233">
        <f t="shared" si="360"/>
        <v>0.66666666666666674</v>
      </c>
      <c r="T89" s="233">
        <f t="shared" si="360"/>
        <v>0</v>
      </c>
      <c r="U89" s="233">
        <f t="shared" si="360"/>
        <v>0</v>
      </c>
      <c r="V89" s="233">
        <f t="shared" si="360"/>
        <v>0</v>
      </c>
      <c r="W89" s="233">
        <f t="shared" si="360"/>
        <v>0</v>
      </c>
      <c r="X89" s="233">
        <f t="shared" si="360"/>
        <v>0</v>
      </c>
      <c r="Y89" s="233">
        <f t="shared" si="360"/>
        <v>0</v>
      </c>
      <c r="Z89" s="233">
        <f t="shared" si="360"/>
        <v>0.66666666666666674</v>
      </c>
      <c r="AA89" s="233">
        <f t="shared" si="360"/>
        <v>0</v>
      </c>
      <c r="AB89" s="244">
        <f t="shared" si="360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361">(H83+H86)/H86-1</f>
        <v>-0.2857142857142857</v>
      </c>
      <c r="I90" s="236">
        <f t="shared" si="361"/>
        <v>0</v>
      </c>
      <c r="J90" s="236">
        <f t="shared" si="361"/>
        <v>0</v>
      </c>
      <c r="K90" s="236">
        <f t="shared" si="361"/>
        <v>0</v>
      </c>
      <c r="L90" s="236">
        <f t="shared" si="361"/>
        <v>0</v>
      </c>
      <c r="M90" s="236">
        <f t="shared" si="361"/>
        <v>0</v>
      </c>
      <c r="N90" s="236">
        <f t="shared" si="361"/>
        <v>0</v>
      </c>
      <c r="O90" s="236">
        <f t="shared" si="361"/>
        <v>0</v>
      </c>
      <c r="P90" s="236">
        <f t="shared" si="361"/>
        <v>0</v>
      </c>
      <c r="Q90" s="238">
        <f t="shared" si="361"/>
        <v>0</v>
      </c>
      <c r="R90" s="236">
        <f t="shared" si="361"/>
        <v>0</v>
      </c>
      <c r="S90" s="236">
        <f t="shared" si="361"/>
        <v>-0.2857142857142857</v>
      </c>
      <c r="T90" s="236">
        <f t="shared" si="361"/>
        <v>0</v>
      </c>
      <c r="U90" s="236">
        <f t="shared" si="361"/>
        <v>0</v>
      </c>
      <c r="V90" s="236">
        <f t="shared" si="361"/>
        <v>0</v>
      </c>
      <c r="W90" s="236">
        <f t="shared" si="361"/>
        <v>0</v>
      </c>
      <c r="X90" s="236">
        <f t="shared" si="361"/>
        <v>-0.2857142857142857</v>
      </c>
      <c r="Y90" s="236">
        <f t="shared" si="361"/>
        <v>0</v>
      </c>
      <c r="Z90" s="236">
        <f t="shared" si="361"/>
        <v>-0.2857142857142857</v>
      </c>
      <c r="AA90" s="236">
        <f t="shared" si="361"/>
        <v>0</v>
      </c>
      <c r="AB90" s="237">
        <f t="shared" si="361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" si="362">EOMONTH(H92,0)+1</f>
        <v>45689</v>
      </c>
      <c r="J92" s="189">
        <f t="shared" ref="J92" si="363">EOMONTH(I92,0)+1</f>
        <v>45717</v>
      </c>
      <c r="K92" s="189">
        <f t="shared" ref="K92" si="364">EOMONTH(J92,0)+1</f>
        <v>45748</v>
      </c>
      <c r="L92" s="189">
        <f t="shared" ref="L92" si="365">EOMONTH(K92,0)+1</f>
        <v>45778</v>
      </c>
      <c r="M92" s="189">
        <f t="shared" ref="M92" si="366">EOMONTH(L92,0)+1</f>
        <v>45809</v>
      </c>
      <c r="N92" s="189">
        <f t="shared" ref="N92" si="367">EOMONTH(M92,0)+1</f>
        <v>45839</v>
      </c>
      <c r="O92" s="189">
        <v>45870</v>
      </c>
      <c r="P92" s="189">
        <f t="shared" ref="P92" si="368">EOMONTH(O92,0)+1</f>
        <v>45901</v>
      </c>
      <c r="Q92" s="189">
        <f t="shared" ref="Q92" si="369">EOMONTH(P92,0)+1</f>
        <v>45931</v>
      </c>
      <c r="R92" s="189">
        <f t="shared" ref="R92" si="370">EOMONTH(Q92,0)+1</f>
        <v>45962</v>
      </c>
      <c r="S92" s="189">
        <f t="shared" ref="S92" si="371">EOMONTH(R92,0)+1</f>
        <v>45992</v>
      </c>
      <c r="T92" s="189">
        <f t="shared" ref="T92" si="372">EOMONTH(S92,0)+1</f>
        <v>46023</v>
      </c>
      <c r="U92" s="189">
        <f t="shared" ref="U92" si="373">EOMONTH(T92,0)+1</f>
        <v>46054</v>
      </c>
      <c r="V92" s="189">
        <f t="shared" ref="V92" si="374">EOMONTH(U92,0)+1</f>
        <v>46082</v>
      </c>
      <c r="W92" s="189">
        <f t="shared" ref="W92" si="375">EOMONTH(V92,0)+1</f>
        <v>46113</v>
      </c>
      <c r="X92" s="189">
        <f t="shared" ref="X92" si="376">EOMONTH(W92,0)+1</f>
        <v>46143</v>
      </c>
      <c r="Y92" s="189">
        <f t="shared" ref="Y92" si="377">EOMONTH(X92,0)+1</f>
        <v>46174</v>
      </c>
      <c r="Z92" s="189">
        <f t="shared" ref="Z92" si="378">EOMONTH(Y92,0)+1</f>
        <v>46204</v>
      </c>
      <c r="AA92" s="189">
        <f t="shared" ref="AA92" si="379">EOMONTH(Z92,0)+1</f>
        <v>46235</v>
      </c>
      <c r="AB92" s="189">
        <f t="shared" ref="AB92" si="380">EOMONTH(AA92,0)+1</f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" si="382">+H99-H97-H98</f>
        <v>5</v>
      </c>
      <c r="I96" s="181">
        <f t="shared" ref="I96" si="383">+I99-I97-I98</f>
        <v>5</v>
      </c>
      <c r="J96" s="181">
        <f t="shared" ref="J96" si="384">+J99-J97-J98</f>
        <v>5</v>
      </c>
      <c r="K96" s="181">
        <f t="shared" ref="K96" si="385">+K99-K97-K98</f>
        <v>5</v>
      </c>
      <c r="L96" s="181">
        <f t="shared" ref="L96" si="386">+L99-L97-L98</f>
        <v>5</v>
      </c>
      <c r="M96" s="181">
        <f t="shared" ref="M96" si="387">+M99-M97-M98</f>
        <v>6</v>
      </c>
      <c r="N96" s="181">
        <f t="shared" ref="N96" si="388">+N99-N97-N98</f>
        <v>6</v>
      </c>
      <c r="O96" s="181">
        <f t="shared" ref="O96" si="389">+O99-O97-O98</f>
        <v>6</v>
      </c>
      <c r="P96" s="181">
        <f t="shared" ref="P96" si="390">+P99-P97-P98</f>
        <v>6</v>
      </c>
      <c r="Q96" s="181">
        <f t="shared" ref="Q96" si="391">+Q99-Q97-Q98</f>
        <v>6</v>
      </c>
      <c r="R96" s="181">
        <f t="shared" ref="R96" si="392">+R99-R97-R98</f>
        <v>6</v>
      </c>
      <c r="S96" s="181">
        <f t="shared" ref="S96" si="393">+S99-S97-S98</f>
        <v>6</v>
      </c>
      <c r="T96" s="181">
        <f t="shared" ref="T96" si="394">+T99-T97-T98</f>
        <v>7</v>
      </c>
      <c r="U96" s="181">
        <f t="shared" ref="U96" si="395">+U99-U97-U98</f>
        <v>8</v>
      </c>
      <c r="V96" s="181">
        <f t="shared" ref="V96" si="396">+V99-V97-V98</f>
        <v>8</v>
      </c>
      <c r="W96" s="181">
        <f t="shared" ref="W96" si="397">+W99-W97-W98</f>
        <v>8</v>
      </c>
      <c r="X96" s="181">
        <f t="shared" ref="X96" si="398">+X99-X97-X98</f>
        <v>8</v>
      </c>
      <c r="Y96" s="181">
        <f t="shared" ref="Y96" si="399">+Y99-Y97-Y98</f>
        <v>7</v>
      </c>
      <c r="Z96" s="181">
        <f t="shared" ref="Z96" si="400">+Z99-Z97-Z98</f>
        <v>7</v>
      </c>
      <c r="AA96" s="181">
        <f t="shared" ref="AA96" si="401">+AA99-AA97-AA98</f>
        <v>7</v>
      </c>
      <c r="AB96" s="181">
        <f t="shared" ref="AB96" si="402">+AB99-AB97-AB98</f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403">+I96</f>
        <v>5</v>
      </c>
      <c r="I99" s="257">
        <f t="shared" si="403"/>
        <v>5</v>
      </c>
      <c r="J99" s="257">
        <f t="shared" si="403"/>
        <v>5</v>
      </c>
      <c r="K99" s="257">
        <f t="shared" si="403"/>
        <v>5</v>
      </c>
      <c r="L99" s="257">
        <f t="shared" si="403"/>
        <v>6</v>
      </c>
      <c r="M99" s="257">
        <f t="shared" si="403"/>
        <v>6</v>
      </c>
      <c r="N99" s="257">
        <f t="shared" si="403"/>
        <v>6</v>
      </c>
      <c r="O99" s="257">
        <f t="shared" si="403"/>
        <v>6</v>
      </c>
      <c r="P99" s="257">
        <f t="shared" si="403"/>
        <v>6</v>
      </c>
      <c r="Q99" s="259">
        <f t="shared" si="403"/>
        <v>6</v>
      </c>
      <c r="R99" s="257">
        <f t="shared" si="403"/>
        <v>6</v>
      </c>
      <c r="S99" s="257">
        <f t="shared" si="403"/>
        <v>7</v>
      </c>
      <c r="T99" s="257">
        <f t="shared" si="403"/>
        <v>8</v>
      </c>
      <c r="U99" s="257">
        <f t="shared" si="403"/>
        <v>8</v>
      </c>
      <c r="V99" s="257">
        <f t="shared" si="403"/>
        <v>8</v>
      </c>
      <c r="W99" s="257">
        <f t="shared" si="403"/>
        <v>8</v>
      </c>
      <c r="X99" s="257">
        <f t="shared" si="403"/>
        <v>7</v>
      </c>
      <c r="Y99" s="257">
        <f t="shared" si="403"/>
        <v>7</v>
      </c>
      <c r="Z99" s="257">
        <f t="shared" si="403"/>
        <v>7</v>
      </c>
      <c r="AA99" s="257">
        <f t="shared" si="403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" si="404">AVERAGE(H96,H99)</f>
        <v>5</v>
      </c>
      <c r="I101" s="315">
        <f t="shared" ref="I101" si="405">AVERAGE(I96,I99)</f>
        <v>5</v>
      </c>
      <c r="J101" s="315">
        <f t="shared" ref="J101" si="406">AVERAGE(J96,J99)</f>
        <v>5</v>
      </c>
      <c r="K101" s="315">
        <f t="shared" ref="K101" si="407">AVERAGE(K96,K99)</f>
        <v>5</v>
      </c>
      <c r="L101" s="315">
        <f t="shared" ref="L101" si="408">AVERAGE(L96,L99)</f>
        <v>5.5</v>
      </c>
      <c r="M101" s="315">
        <f t="shared" ref="M101" si="409">AVERAGE(M96,M99)</f>
        <v>6</v>
      </c>
      <c r="N101" s="315">
        <f t="shared" ref="N101" si="410">AVERAGE(N96,N99)</f>
        <v>6</v>
      </c>
      <c r="O101" s="315">
        <f t="shared" ref="O101" si="411">AVERAGE(O96,O99)</f>
        <v>6</v>
      </c>
      <c r="P101" s="315">
        <f t="shared" ref="P101" si="412">AVERAGE(P96,P99)</f>
        <v>6</v>
      </c>
      <c r="Q101" s="318">
        <f t="shared" ref="Q101" si="413">AVERAGE(Q96,Q99)</f>
        <v>6</v>
      </c>
      <c r="R101" s="315">
        <f t="shared" ref="R101" si="414">AVERAGE(R96,R99)</f>
        <v>6</v>
      </c>
      <c r="S101" s="315">
        <f t="shared" ref="S101" si="415">AVERAGE(S96,S99)</f>
        <v>6.5</v>
      </c>
      <c r="T101" s="315">
        <f t="shared" ref="T101" si="416">AVERAGE(T96,T99)</f>
        <v>7.5</v>
      </c>
      <c r="U101" s="315">
        <f t="shared" ref="U101" si="417">AVERAGE(U96,U99)</f>
        <v>8</v>
      </c>
      <c r="V101" s="315">
        <f t="shared" ref="V101" si="418">AVERAGE(V96,V99)</f>
        <v>8</v>
      </c>
      <c r="W101" s="315">
        <f t="shared" ref="W101" si="419">AVERAGE(W96,W99)</f>
        <v>8</v>
      </c>
      <c r="X101" s="315">
        <f t="shared" ref="X101" si="420">AVERAGE(X96,X99)</f>
        <v>7.5</v>
      </c>
      <c r="Y101" s="315">
        <f t="shared" ref="Y101" si="421">AVERAGE(Y96,Y99)</f>
        <v>7</v>
      </c>
      <c r="Z101" s="315">
        <f t="shared" ref="Z101" si="422">AVERAGE(Z96,Z99)</f>
        <v>7</v>
      </c>
      <c r="AA101" s="315">
        <f t="shared" ref="AA101" si="423">AVERAGE(AA96,AA99)</f>
        <v>7.5</v>
      </c>
      <c r="AB101" s="316">
        <f t="shared" ref="AB101" si="424">AVERAGE(AB96,AB99)</f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" si="425">H94/H101</f>
        <v>29.2</v>
      </c>
      <c r="I102" s="310">
        <f t="shared" ref="I102" si="426">I94/I101</f>
        <v>29.5</v>
      </c>
      <c r="J102" s="310">
        <f t="shared" ref="J102" si="427">J94/J101</f>
        <v>30.2</v>
      </c>
      <c r="K102" s="310">
        <f t="shared" ref="K102" si="428">K94/K101</f>
        <v>31.3</v>
      </c>
      <c r="L102" s="310">
        <f t="shared" ref="L102" si="429">L94/L101</f>
        <v>29.454545454545453</v>
      </c>
      <c r="M102" s="310">
        <f t="shared" ref="M102" si="430">M94/M101</f>
        <v>27.5</v>
      </c>
      <c r="N102" s="310">
        <f t="shared" ref="N102" si="431">N94/N101</f>
        <v>27.833333333333332</v>
      </c>
      <c r="O102" s="310">
        <f t="shared" ref="O102" si="432">O94/O101</f>
        <v>28.666666666666668</v>
      </c>
      <c r="P102" s="310">
        <f t="shared" ref="P102" si="433">P94/P101</f>
        <v>29.333333333333332</v>
      </c>
      <c r="Q102" s="313">
        <f t="shared" ref="Q102" si="434">Q94/Q101</f>
        <v>29.916666666666668</v>
      </c>
      <c r="R102" s="310">
        <f t="shared" ref="R102" si="435">R94/R101</f>
        <v>30.25</v>
      </c>
      <c r="S102" s="310">
        <f t="shared" ref="S102" si="436">S94/S101</f>
        <v>27.76923076923077</v>
      </c>
      <c r="T102" s="310">
        <f t="shared" ref="T102" si="437">T94/T101</f>
        <v>24.4</v>
      </c>
      <c r="U102" s="310">
        <f t="shared" ref="U102" si="438">U94/U101</f>
        <v>23.6875</v>
      </c>
      <c r="V102" s="310">
        <f t="shared" ref="V102" si="439">V94/V101</f>
        <v>24.0625</v>
      </c>
      <c r="W102" s="310">
        <f t="shared" ref="W102" si="440">W94/W101</f>
        <v>24.375</v>
      </c>
      <c r="X102" s="310">
        <f t="shared" ref="X102" si="441">X94/X101</f>
        <v>25.8</v>
      </c>
      <c r="Y102" s="310">
        <f t="shared" ref="Y102" si="442">Y94/Y101</f>
        <v>27</v>
      </c>
      <c r="Z102" s="310">
        <f t="shared" ref="Z102" si="443">Z94/Z101</f>
        <v>25.928571428571427</v>
      </c>
      <c r="AA102" s="310">
        <f t="shared" ref="AA102" si="444">AA94/AA101</f>
        <v>23.266666666666666</v>
      </c>
      <c r="AB102" s="311">
        <f t="shared" ref="AB102" si="445">AB94/AB101</f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446">(H97+H96)/H96-1</f>
        <v>0</v>
      </c>
      <c r="I104" s="233">
        <f t="shared" si="446"/>
        <v>0</v>
      </c>
      <c r="J104" s="233">
        <f t="shared" si="446"/>
        <v>0</v>
      </c>
      <c r="K104" s="233">
        <f t="shared" si="446"/>
        <v>0</v>
      </c>
      <c r="L104" s="233">
        <f t="shared" si="446"/>
        <v>0.19999999999999996</v>
      </c>
      <c r="M104" s="233">
        <f t="shared" si="446"/>
        <v>0</v>
      </c>
      <c r="N104" s="233">
        <f t="shared" si="446"/>
        <v>0</v>
      </c>
      <c r="O104" s="233">
        <f t="shared" si="446"/>
        <v>0</v>
      </c>
      <c r="P104" s="233">
        <f t="shared" si="446"/>
        <v>0</v>
      </c>
      <c r="Q104" s="243">
        <f t="shared" si="446"/>
        <v>0</v>
      </c>
      <c r="R104" s="233">
        <f t="shared" si="446"/>
        <v>0</v>
      </c>
      <c r="S104" s="233">
        <f t="shared" si="446"/>
        <v>0.16666666666666674</v>
      </c>
      <c r="T104" s="233">
        <f t="shared" si="446"/>
        <v>0.14285714285714279</v>
      </c>
      <c r="U104" s="233">
        <f t="shared" si="446"/>
        <v>0</v>
      </c>
      <c r="V104" s="233">
        <f t="shared" si="446"/>
        <v>0</v>
      </c>
      <c r="W104" s="233">
        <f t="shared" si="446"/>
        <v>0</v>
      </c>
      <c r="X104" s="233">
        <f t="shared" si="446"/>
        <v>0</v>
      </c>
      <c r="Y104" s="233">
        <f t="shared" si="446"/>
        <v>0</v>
      </c>
      <c r="Z104" s="233">
        <f t="shared" si="446"/>
        <v>0</v>
      </c>
      <c r="AA104" s="233">
        <f t="shared" si="446"/>
        <v>0.14285714285714279</v>
      </c>
      <c r="AB104" s="244">
        <f t="shared" si="446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447">(H98+H101)/H101-1</f>
        <v>0</v>
      </c>
      <c r="I105" s="236">
        <f t="shared" si="447"/>
        <v>0</v>
      </c>
      <c r="J105" s="236">
        <f t="shared" si="447"/>
        <v>0</v>
      </c>
      <c r="K105" s="236">
        <f t="shared" si="447"/>
        <v>0</v>
      </c>
      <c r="L105" s="236">
        <f t="shared" si="447"/>
        <v>0</v>
      </c>
      <c r="M105" s="236">
        <f t="shared" si="447"/>
        <v>0</v>
      </c>
      <c r="N105" s="236">
        <f t="shared" si="447"/>
        <v>0</v>
      </c>
      <c r="O105" s="236">
        <f t="shared" si="447"/>
        <v>0</v>
      </c>
      <c r="P105" s="236">
        <f t="shared" si="447"/>
        <v>0</v>
      </c>
      <c r="Q105" s="238">
        <f t="shared" si="447"/>
        <v>0</v>
      </c>
      <c r="R105" s="236">
        <f t="shared" si="447"/>
        <v>0</v>
      </c>
      <c r="S105" s="236">
        <f t="shared" si="447"/>
        <v>0</v>
      </c>
      <c r="T105" s="236">
        <f t="shared" si="447"/>
        <v>0</v>
      </c>
      <c r="U105" s="236">
        <f t="shared" si="447"/>
        <v>0</v>
      </c>
      <c r="V105" s="236">
        <f t="shared" si="447"/>
        <v>0</v>
      </c>
      <c r="W105" s="236">
        <f t="shared" si="447"/>
        <v>0</v>
      </c>
      <c r="X105" s="236">
        <f t="shared" si="447"/>
        <v>-0.1333333333333333</v>
      </c>
      <c r="Y105" s="236">
        <f t="shared" si="447"/>
        <v>0</v>
      </c>
      <c r="Z105" s="236">
        <f t="shared" si="447"/>
        <v>0</v>
      </c>
      <c r="AA105" s="236">
        <f t="shared" si="447"/>
        <v>0</v>
      </c>
      <c r="AB105" s="237">
        <f t="shared" si="447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" si="448">EOMONTH(H107,0)+1</f>
        <v>45689</v>
      </c>
      <c r="J107" s="189">
        <f t="shared" ref="J107" si="449">EOMONTH(I107,0)+1</f>
        <v>45717</v>
      </c>
      <c r="K107" s="189">
        <f t="shared" ref="K107" si="450">EOMONTH(J107,0)+1</f>
        <v>45748</v>
      </c>
      <c r="L107" s="189">
        <f t="shared" ref="L107" si="451">EOMONTH(K107,0)+1</f>
        <v>45778</v>
      </c>
      <c r="M107" s="189">
        <f t="shared" ref="M107" si="452">EOMONTH(L107,0)+1</f>
        <v>45809</v>
      </c>
      <c r="N107" s="189">
        <f t="shared" ref="N107" si="453">EOMONTH(M107,0)+1</f>
        <v>45839</v>
      </c>
      <c r="O107" s="189">
        <v>45870</v>
      </c>
      <c r="P107" s="189">
        <f t="shared" ref="P107" si="454">EOMONTH(O107,0)+1</f>
        <v>45901</v>
      </c>
      <c r="Q107" s="189">
        <f t="shared" ref="Q107" si="455">EOMONTH(P107,0)+1</f>
        <v>45931</v>
      </c>
      <c r="R107" s="189">
        <f t="shared" ref="R107" si="456">EOMONTH(Q107,0)+1</f>
        <v>45962</v>
      </c>
      <c r="S107" s="189">
        <f t="shared" ref="S107" si="457">EOMONTH(R107,0)+1</f>
        <v>45992</v>
      </c>
      <c r="T107" s="189">
        <f t="shared" ref="T107" si="458">EOMONTH(S107,0)+1</f>
        <v>46023</v>
      </c>
      <c r="U107" s="189">
        <f t="shared" ref="U107" si="459">EOMONTH(T107,0)+1</f>
        <v>46054</v>
      </c>
      <c r="V107" s="189">
        <f t="shared" ref="V107" si="460">EOMONTH(U107,0)+1</f>
        <v>46082</v>
      </c>
      <c r="W107" s="189">
        <f t="shared" ref="W107" si="461">EOMONTH(V107,0)+1</f>
        <v>46113</v>
      </c>
      <c r="X107" s="189">
        <f t="shared" ref="X107" si="462">EOMONTH(W107,0)+1</f>
        <v>46143</v>
      </c>
      <c r="Y107" s="189">
        <f t="shared" ref="Y107" si="463">EOMONTH(X107,0)+1</f>
        <v>46174</v>
      </c>
      <c r="Z107" s="189">
        <f t="shared" ref="Z107" si="464">EOMONTH(Y107,0)+1</f>
        <v>46204</v>
      </c>
      <c r="AA107" s="189">
        <f t="shared" ref="AA107" si="465">EOMONTH(Z107,0)+1</f>
        <v>46235</v>
      </c>
      <c r="AB107" s="189">
        <f t="shared" ref="AB107" si="466">EOMONTH(AA107,0)+1</f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" si="468">+H114-H112-H113</f>
        <v>4</v>
      </c>
      <c r="I111" s="181">
        <f t="shared" ref="I111" si="469">+I114-I112-I113</f>
        <v>4</v>
      </c>
      <c r="J111" s="181">
        <f t="shared" ref="J111" si="470">+J114-J112-J113</f>
        <v>3</v>
      </c>
      <c r="K111" s="181">
        <f t="shared" ref="K111" si="471">+K114-K112-K113</f>
        <v>3</v>
      </c>
      <c r="L111" s="181">
        <f t="shared" ref="L111" si="472">+L114-L112-L113</f>
        <v>3</v>
      </c>
      <c r="M111" s="181">
        <f t="shared" ref="M111" si="473">+M114-M112-M113</f>
        <v>3</v>
      </c>
      <c r="N111" s="181">
        <f t="shared" ref="N111" si="474">+N114-N112-N113</f>
        <v>3</v>
      </c>
      <c r="O111" s="181">
        <f t="shared" ref="O111" si="475">+O114-O112-O113</f>
        <v>3</v>
      </c>
      <c r="P111" s="181">
        <f t="shared" ref="P111" si="476">+P114-P112-P113</f>
        <v>3</v>
      </c>
      <c r="Q111" s="181">
        <f t="shared" ref="Q111" si="477">+Q114-Q112-Q113</f>
        <v>3</v>
      </c>
      <c r="R111" s="181">
        <f t="shared" ref="R111" si="478">+R114-R112-R113</f>
        <v>3</v>
      </c>
      <c r="S111" s="181">
        <f t="shared" ref="S111" si="479">+S114-S112-S113</f>
        <v>3</v>
      </c>
      <c r="T111" s="181">
        <f t="shared" ref="T111" si="480">+T114-T112-T113</f>
        <v>3</v>
      </c>
      <c r="U111" s="181">
        <f t="shared" ref="U111" si="481">+U114-U112-U113</f>
        <v>3</v>
      </c>
      <c r="V111" s="181">
        <f t="shared" ref="V111" si="482">+V114-V112-V113</f>
        <v>3</v>
      </c>
      <c r="W111" s="181">
        <f t="shared" ref="W111" si="483">+W114-W112-W113</f>
        <v>3</v>
      </c>
      <c r="X111" s="181">
        <f t="shared" ref="X111" si="484">+X114-X112-X113</f>
        <v>3</v>
      </c>
      <c r="Y111" s="181">
        <f t="shared" ref="Y111" si="485">+Y114-Y112-Y113</f>
        <v>3</v>
      </c>
      <c r="Z111" s="181">
        <f t="shared" ref="Z111" si="486">+Z114-Z112-Z113</f>
        <v>3</v>
      </c>
      <c r="AA111" s="181">
        <f t="shared" ref="AA111" si="487">+AA114-AA112-AA113</f>
        <v>3</v>
      </c>
      <c r="AB111" s="181">
        <f t="shared" ref="AB111" si="488">+AB114-AB112-AB113</f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489">+I111</f>
        <v>4</v>
      </c>
      <c r="I114" s="257">
        <f t="shared" si="489"/>
        <v>3</v>
      </c>
      <c r="J114" s="257">
        <f t="shared" si="489"/>
        <v>3</v>
      </c>
      <c r="K114" s="257">
        <f t="shared" si="489"/>
        <v>3</v>
      </c>
      <c r="L114" s="257">
        <f t="shared" si="489"/>
        <v>3</v>
      </c>
      <c r="M114" s="257">
        <f t="shared" si="489"/>
        <v>3</v>
      </c>
      <c r="N114" s="257">
        <f t="shared" si="489"/>
        <v>3</v>
      </c>
      <c r="O114" s="257">
        <f t="shared" si="489"/>
        <v>3</v>
      </c>
      <c r="P114" s="257">
        <f t="shared" si="489"/>
        <v>3</v>
      </c>
      <c r="Q114" s="257">
        <f t="shared" si="489"/>
        <v>3</v>
      </c>
      <c r="R114" s="257">
        <f t="shared" si="489"/>
        <v>3</v>
      </c>
      <c r="S114" s="257">
        <f t="shared" si="489"/>
        <v>3</v>
      </c>
      <c r="T114" s="257">
        <f t="shared" si="489"/>
        <v>3</v>
      </c>
      <c r="U114" s="257">
        <f t="shared" si="489"/>
        <v>3</v>
      </c>
      <c r="V114" s="257">
        <f t="shared" si="489"/>
        <v>3</v>
      </c>
      <c r="W114" s="257">
        <f t="shared" si="489"/>
        <v>3</v>
      </c>
      <c r="X114" s="257">
        <f t="shared" si="489"/>
        <v>3</v>
      </c>
      <c r="Y114" s="257">
        <f t="shared" si="489"/>
        <v>3</v>
      </c>
      <c r="Z114" s="257">
        <f t="shared" si="489"/>
        <v>3</v>
      </c>
      <c r="AA114" s="257">
        <f t="shared" si="489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" si="490">AVERAGE(H111,H114)</f>
        <v>4</v>
      </c>
      <c r="I116" s="315">
        <f t="shared" ref="I116" si="491">AVERAGE(I111,I114)</f>
        <v>3.5</v>
      </c>
      <c r="J116" s="315">
        <f t="shared" ref="J116" si="492">AVERAGE(J111,J114)</f>
        <v>3</v>
      </c>
      <c r="K116" s="315">
        <f t="shared" ref="K116" si="493">AVERAGE(K111,K114)</f>
        <v>3</v>
      </c>
      <c r="L116" s="315">
        <f t="shared" ref="L116" si="494">AVERAGE(L111,L114)</f>
        <v>3</v>
      </c>
      <c r="M116" s="315">
        <f t="shared" ref="M116" si="495">AVERAGE(M111,M114)</f>
        <v>3</v>
      </c>
      <c r="N116" s="315">
        <f t="shared" ref="N116" si="496">AVERAGE(N111,N114)</f>
        <v>3</v>
      </c>
      <c r="O116" s="315">
        <f t="shared" ref="O116" si="497">AVERAGE(O111,O114)</f>
        <v>3</v>
      </c>
      <c r="P116" s="315">
        <f t="shared" ref="P116" si="498">AVERAGE(P111,P114)</f>
        <v>3</v>
      </c>
      <c r="Q116" s="315">
        <f t="shared" ref="Q116" si="499">AVERAGE(Q111,Q114)</f>
        <v>3</v>
      </c>
      <c r="R116" s="315">
        <f t="shared" ref="R116" si="500">AVERAGE(R111,R114)</f>
        <v>3</v>
      </c>
      <c r="S116" s="315">
        <f t="shared" ref="S116" si="501">AVERAGE(S111,S114)</f>
        <v>3</v>
      </c>
      <c r="T116" s="315">
        <f t="shared" ref="T116" si="502">AVERAGE(T111,T114)</f>
        <v>3</v>
      </c>
      <c r="U116" s="315">
        <f t="shared" ref="U116" si="503">AVERAGE(U111,U114)</f>
        <v>3</v>
      </c>
      <c r="V116" s="315">
        <f t="shared" ref="V116" si="504">AVERAGE(V111,V114)</f>
        <v>3</v>
      </c>
      <c r="W116" s="315">
        <f t="shared" ref="W116" si="505">AVERAGE(W111,W114)</f>
        <v>3</v>
      </c>
      <c r="X116" s="315">
        <f t="shared" ref="X116" si="506">AVERAGE(X111,X114)</f>
        <v>3</v>
      </c>
      <c r="Y116" s="315">
        <f t="shared" ref="Y116" si="507">AVERAGE(Y111,Y114)</f>
        <v>3</v>
      </c>
      <c r="Z116" s="315">
        <f t="shared" ref="Z116" si="508">AVERAGE(Z111,Z114)</f>
        <v>3</v>
      </c>
      <c r="AA116" s="315">
        <f t="shared" ref="AA116" si="509">AVERAGE(AA111,AA114)</f>
        <v>3</v>
      </c>
      <c r="AB116" s="316">
        <f t="shared" ref="AB116" si="510">AVERAGE(AB111,AB114)</f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" si="511">H109/H116</f>
        <v>36.5</v>
      </c>
      <c r="I117" s="310">
        <f t="shared" ref="I117" si="512">I109/I116</f>
        <v>42.142857142857146</v>
      </c>
      <c r="J117" s="310">
        <f t="shared" ref="J117" si="513">J109/J116</f>
        <v>50.333333333333336</v>
      </c>
      <c r="K117" s="310">
        <f t="shared" ref="K117" si="514">K109/K116</f>
        <v>52.166666666666664</v>
      </c>
      <c r="L117" s="310">
        <f t="shared" ref="L117" si="515">L109/L116</f>
        <v>54</v>
      </c>
      <c r="M117" s="310">
        <f t="shared" ref="M117" si="516">M109/M116</f>
        <v>55</v>
      </c>
      <c r="N117" s="310">
        <f t="shared" ref="N117" si="517">N109/N116</f>
        <v>55.666666666666664</v>
      </c>
      <c r="O117" s="310">
        <f t="shared" ref="O117" si="518">O109/O116</f>
        <v>57.333333333333336</v>
      </c>
      <c r="P117" s="310">
        <f t="shared" ref="P117" si="519">P109/P116</f>
        <v>58.666666666666664</v>
      </c>
      <c r="Q117" s="310">
        <f t="shared" ref="Q117" si="520">Q109/Q116</f>
        <v>59.833333333333336</v>
      </c>
      <c r="R117" s="310">
        <f t="shared" ref="R117" si="521">R109/R116</f>
        <v>60.5</v>
      </c>
      <c r="S117" s="310">
        <f t="shared" ref="S117" si="522">S109/S116</f>
        <v>60.166666666666664</v>
      </c>
      <c r="T117" s="310">
        <f t="shared" ref="T117" si="523">T109/T116</f>
        <v>61</v>
      </c>
      <c r="U117" s="310">
        <f t="shared" ref="U117" si="524">U109/U116</f>
        <v>63.166666666666664</v>
      </c>
      <c r="V117" s="310">
        <f t="shared" ref="V117" si="525">V109/V116</f>
        <v>64.166666666666671</v>
      </c>
      <c r="W117" s="310">
        <f t="shared" ref="W117" si="526">W109/W116</f>
        <v>65</v>
      </c>
      <c r="X117" s="310">
        <f t="shared" ref="X117" si="527">X109/X116</f>
        <v>64.5</v>
      </c>
      <c r="Y117" s="310">
        <f t="shared" ref="Y117" si="528">Y109/Y116</f>
        <v>63</v>
      </c>
      <c r="Z117" s="310">
        <f t="shared" ref="Z117" si="529">Z109/Z116</f>
        <v>60.5</v>
      </c>
      <c r="AA117" s="310">
        <f t="shared" ref="AA117" si="530">AA109/AA116</f>
        <v>58.166666666666664</v>
      </c>
      <c r="AB117" s="311">
        <f t="shared" ref="AB117" si="531">AB109/AB116</f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532">(H112+H111)/H111-1</f>
        <v>0</v>
      </c>
      <c r="I119" s="233">
        <f t="shared" si="532"/>
        <v>0</v>
      </c>
      <c r="J119" s="233">
        <f t="shared" si="532"/>
        <v>0</v>
      </c>
      <c r="K119" s="233">
        <f t="shared" si="532"/>
        <v>0</v>
      </c>
      <c r="L119" s="233">
        <f t="shared" si="532"/>
        <v>0</v>
      </c>
      <c r="M119" s="233">
        <f t="shared" si="532"/>
        <v>0</v>
      </c>
      <c r="N119" s="233">
        <f t="shared" si="532"/>
        <v>0</v>
      </c>
      <c r="O119" s="233">
        <f t="shared" si="532"/>
        <v>0</v>
      </c>
      <c r="P119" s="233">
        <f t="shared" si="532"/>
        <v>0</v>
      </c>
      <c r="Q119" s="243">
        <f t="shared" si="532"/>
        <v>0</v>
      </c>
      <c r="R119" s="233">
        <f t="shared" si="532"/>
        <v>0</v>
      </c>
      <c r="S119" s="233">
        <f t="shared" si="532"/>
        <v>0</v>
      </c>
      <c r="T119" s="233">
        <f t="shared" si="532"/>
        <v>0</v>
      </c>
      <c r="U119" s="233">
        <f t="shared" si="532"/>
        <v>0</v>
      </c>
      <c r="V119" s="233">
        <f t="shared" si="532"/>
        <v>0</v>
      </c>
      <c r="W119" s="233">
        <f t="shared" si="532"/>
        <v>0</v>
      </c>
      <c r="X119" s="233">
        <f t="shared" si="532"/>
        <v>0</v>
      </c>
      <c r="Y119" s="233">
        <f t="shared" si="532"/>
        <v>0</v>
      </c>
      <c r="Z119" s="233">
        <f t="shared" si="532"/>
        <v>0</v>
      </c>
      <c r="AA119" s="233">
        <f t="shared" si="532"/>
        <v>0</v>
      </c>
      <c r="AB119" s="244">
        <f t="shared" si="532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533">(H113+H116)/H116-1</f>
        <v>0</v>
      </c>
      <c r="I120" s="236">
        <f t="shared" si="533"/>
        <v>-0.2857142857142857</v>
      </c>
      <c r="J120" s="236">
        <f t="shared" si="533"/>
        <v>0</v>
      </c>
      <c r="K120" s="236">
        <f t="shared" si="533"/>
        <v>0</v>
      </c>
      <c r="L120" s="236">
        <f t="shared" si="533"/>
        <v>0</v>
      </c>
      <c r="M120" s="236">
        <f t="shared" si="533"/>
        <v>0</v>
      </c>
      <c r="N120" s="236">
        <f t="shared" si="533"/>
        <v>0</v>
      </c>
      <c r="O120" s="236">
        <f t="shared" si="533"/>
        <v>0</v>
      </c>
      <c r="P120" s="236">
        <f t="shared" si="533"/>
        <v>0</v>
      </c>
      <c r="Q120" s="238">
        <f t="shared" si="533"/>
        <v>0</v>
      </c>
      <c r="R120" s="236">
        <f t="shared" si="533"/>
        <v>0</v>
      </c>
      <c r="S120" s="236">
        <f t="shared" si="533"/>
        <v>0</v>
      </c>
      <c r="T120" s="236">
        <f t="shared" si="533"/>
        <v>0</v>
      </c>
      <c r="U120" s="236">
        <f t="shared" si="533"/>
        <v>0</v>
      </c>
      <c r="V120" s="236">
        <f t="shared" si="533"/>
        <v>0</v>
      </c>
      <c r="W120" s="236">
        <f t="shared" si="533"/>
        <v>0</v>
      </c>
      <c r="X120" s="236">
        <f t="shared" si="533"/>
        <v>0</v>
      </c>
      <c r="Y120" s="236">
        <f t="shared" si="533"/>
        <v>0</v>
      </c>
      <c r="Z120" s="236">
        <f t="shared" si="533"/>
        <v>0</v>
      </c>
      <c r="AA120" s="236">
        <f t="shared" si="533"/>
        <v>0</v>
      </c>
      <c r="AB120" s="237">
        <f t="shared" si="533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" si="534">EOMONTH(H122,0)+1</f>
        <v>45689</v>
      </c>
      <c r="J122" s="189">
        <f t="shared" ref="J122" si="535">EOMONTH(I122,0)+1</f>
        <v>45717</v>
      </c>
      <c r="K122" s="189">
        <f t="shared" ref="K122" si="536">EOMONTH(J122,0)+1</f>
        <v>45748</v>
      </c>
      <c r="L122" s="189">
        <f t="shared" ref="L122" si="537">EOMONTH(K122,0)+1</f>
        <v>45778</v>
      </c>
      <c r="M122" s="189">
        <f t="shared" ref="M122" si="538">EOMONTH(L122,0)+1</f>
        <v>45809</v>
      </c>
      <c r="N122" s="189">
        <f t="shared" ref="N122" si="539">EOMONTH(M122,0)+1</f>
        <v>45839</v>
      </c>
      <c r="O122" s="189">
        <v>45870</v>
      </c>
      <c r="P122" s="189">
        <f t="shared" ref="P122" si="540">EOMONTH(O122,0)+1</f>
        <v>45901</v>
      </c>
      <c r="Q122" s="189">
        <f t="shared" ref="Q122" si="541">EOMONTH(P122,0)+1</f>
        <v>45931</v>
      </c>
      <c r="R122" s="189">
        <f t="shared" ref="R122" si="542">EOMONTH(Q122,0)+1</f>
        <v>45962</v>
      </c>
      <c r="S122" s="189">
        <f t="shared" ref="S122" si="543">EOMONTH(R122,0)+1</f>
        <v>45992</v>
      </c>
      <c r="T122" s="189">
        <f t="shared" ref="T122" si="544">EOMONTH(S122,0)+1</f>
        <v>46023</v>
      </c>
      <c r="U122" s="189">
        <f t="shared" ref="U122" si="545">EOMONTH(T122,0)+1</f>
        <v>46054</v>
      </c>
      <c r="V122" s="189">
        <f t="shared" ref="V122" si="546">EOMONTH(U122,0)+1</f>
        <v>46082</v>
      </c>
      <c r="W122" s="189">
        <f t="shared" ref="W122" si="547">EOMONTH(V122,0)+1</f>
        <v>46113</v>
      </c>
      <c r="X122" s="189">
        <f t="shared" ref="X122" si="548">EOMONTH(W122,0)+1</f>
        <v>46143</v>
      </c>
      <c r="Y122" s="189">
        <f t="shared" ref="Y122" si="549">EOMONTH(X122,0)+1</f>
        <v>46174</v>
      </c>
      <c r="Z122" s="189">
        <f t="shared" ref="Z122" si="550">EOMONTH(Y122,0)+1</f>
        <v>46204</v>
      </c>
      <c r="AA122" s="189">
        <f t="shared" ref="AA122" si="551">EOMONTH(Z122,0)+1</f>
        <v>46235</v>
      </c>
      <c r="AB122" s="189">
        <f t="shared" ref="AB122" si="552">EOMONTH(AA122,0)+1</f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" si="553">+H127-H125-H126</f>
        <v>1</v>
      </c>
      <c r="I124" s="181">
        <f t="shared" ref="I124" si="554">+I127-I125-I126</f>
        <v>1</v>
      </c>
      <c r="J124" s="181">
        <f t="shared" ref="J124" si="555">+J127-J125-J126</f>
        <v>1</v>
      </c>
      <c r="K124" s="181">
        <f t="shared" ref="K124" si="556">+K127-K125-K126</f>
        <v>1</v>
      </c>
      <c r="L124" s="181">
        <f t="shared" ref="L124" si="557">+L127-L125-L126</f>
        <v>1</v>
      </c>
      <c r="M124" s="181">
        <f t="shared" ref="M124" si="558">+M127-M125-M126</f>
        <v>1</v>
      </c>
      <c r="N124" s="181">
        <f t="shared" ref="N124" si="559">+N127-N125-N126</f>
        <v>1</v>
      </c>
      <c r="O124" s="181">
        <f t="shared" ref="O124" si="560">+O127-O125-O126</f>
        <v>1</v>
      </c>
      <c r="P124" s="181">
        <f t="shared" ref="P124" si="561">+P127-P125-P126</f>
        <v>2</v>
      </c>
      <c r="Q124" s="181">
        <f t="shared" ref="Q124" si="562">+Q127-Q125-Q126</f>
        <v>2</v>
      </c>
      <c r="R124" s="181">
        <f t="shared" ref="R124" si="563">+R127-R125-R126</f>
        <v>2</v>
      </c>
      <c r="S124" s="181">
        <f t="shared" ref="S124" si="564">+S127-S125-S126</f>
        <v>2</v>
      </c>
      <c r="T124" s="181">
        <f t="shared" ref="T124" si="565">+T127-T125-T126</f>
        <v>1</v>
      </c>
      <c r="U124" s="181">
        <f t="shared" ref="U124" si="566">+U127-U125-U126</f>
        <v>1</v>
      </c>
      <c r="V124" s="181">
        <f t="shared" ref="V124" si="567">+V127-V125-V126</f>
        <v>2</v>
      </c>
      <c r="W124" s="181">
        <f t="shared" ref="W124" si="568">+W127-W125-W126</f>
        <v>3</v>
      </c>
      <c r="X124" s="181">
        <f t="shared" ref="X124" si="569">+X127-X125-X126</f>
        <v>4</v>
      </c>
      <c r="Y124" s="181">
        <f t="shared" ref="Y124" si="570">+Y127-Y125-Y126</f>
        <v>4</v>
      </c>
      <c r="Z124" s="181">
        <f t="shared" ref="Z124" si="571">+Z127-Z125-Z126</f>
        <v>4</v>
      </c>
      <c r="AA124" s="181">
        <f t="shared" ref="AA124" si="572">+AA127-AA125-AA126</f>
        <v>3</v>
      </c>
      <c r="AB124" s="181">
        <f t="shared" ref="AB124" si="573">+AB127-AB125-AB126</f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574">+I124</f>
        <v>1</v>
      </c>
      <c r="I127" s="257">
        <f t="shared" si="574"/>
        <v>1</v>
      </c>
      <c r="J127" s="257">
        <f t="shared" si="574"/>
        <v>1</v>
      </c>
      <c r="K127" s="257">
        <f t="shared" si="574"/>
        <v>1</v>
      </c>
      <c r="L127" s="257">
        <f t="shared" si="574"/>
        <v>1</v>
      </c>
      <c r="M127" s="257">
        <f t="shared" si="574"/>
        <v>1</v>
      </c>
      <c r="N127" s="257">
        <f t="shared" si="574"/>
        <v>1</v>
      </c>
      <c r="O127" s="257">
        <f t="shared" si="574"/>
        <v>2</v>
      </c>
      <c r="P127" s="257">
        <f t="shared" si="574"/>
        <v>2</v>
      </c>
      <c r="Q127" s="257">
        <f t="shared" si="574"/>
        <v>2</v>
      </c>
      <c r="R127" s="257">
        <f t="shared" si="574"/>
        <v>2</v>
      </c>
      <c r="S127" s="257">
        <f t="shared" si="574"/>
        <v>1</v>
      </c>
      <c r="T127" s="257">
        <f t="shared" si="574"/>
        <v>1</v>
      </c>
      <c r="U127" s="257">
        <f t="shared" si="574"/>
        <v>2</v>
      </c>
      <c r="V127" s="257">
        <f t="shared" si="574"/>
        <v>3</v>
      </c>
      <c r="W127" s="257">
        <f t="shared" si="574"/>
        <v>4</v>
      </c>
      <c r="X127" s="257">
        <f t="shared" si="574"/>
        <v>4</v>
      </c>
      <c r="Y127" s="257">
        <f t="shared" si="574"/>
        <v>4</v>
      </c>
      <c r="Z127" s="257">
        <f t="shared" si="574"/>
        <v>3</v>
      </c>
      <c r="AA127" s="257">
        <f t="shared" si="5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" si="575">AVERAGE(H124,H127)</f>
        <v>1</v>
      </c>
      <c r="I129" s="320">
        <f t="shared" ref="I129" si="576">AVERAGE(I124,I127)</f>
        <v>1</v>
      </c>
      <c r="J129" s="320">
        <f t="shared" ref="J129" si="577">AVERAGE(J124,J127)</f>
        <v>1</v>
      </c>
      <c r="K129" s="320">
        <f t="shared" ref="K129" si="578">AVERAGE(K124,K127)</f>
        <v>1</v>
      </c>
      <c r="L129" s="320">
        <f t="shared" ref="L129" si="579">AVERAGE(L124,L127)</f>
        <v>1</v>
      </c>
      <c r="M129" s="320">
        <f t="shared" ref="M129" si="580">AVERAGE(M124,M127)</f>
        <v>1</v>
      </c>
      <c r="N129" s="320">
        <f t="shared" ref="N129" si="581">AVERAGE(N124,N127)</f>
        <v>1</v>
      </c>
      <c r="O129" s="320">
        <f t="shared" ref="O129" si="582">AVERAGE(O124,O127)</f>
        <v>1.5</v>
      </c>
      <c r="P129" s="320">
        <f t="shared" ref="P129" si="583">AVERAGE(P124,P127)</f>
        <v>2</v>
      </c>
      <c r="Q129" s="320">
        <f t="shared" ref="Q129" si="584">AVERAGE(Q124,Q127)</f>
        <v>2</v>
      </c>
      <c r="R129" s="320">
        <f t="shared" ref="R129" si="585">AVERAGE(R124,R127)</f>
        <v>2</v>
      </c>
      <c r="S129" s="320">
        <f t="shared" ref="S129" si="586">AVERAGE(S124,S127)</f>
        <v>1.5</v>
      </c>
      <c r="T129" s="320">
        <f t="shared" ref="T129" si="587">AVERAGE(T124,T127)</f>
        <v>1</v>
      </c>
      <c r="U129" s="320">
        <f t="shared" ref="U129" si="588">AVERAGE(U124,U127)</f>
        <v>1.5</v>
      </c>
      <c r="V129" s="320">
        <f t="shared" ref="V129" si="589">AVERAGE(V124,V127)</f>
        <v>2.5</v>
      </c>
      <c r="W129" s="320">
        <f t="shared" ref="W129" si="590">AVERAGE(W124,W127)</f>
        <v>3.5</v>
      </c>
      <c r="X129" s="320">
        <f t="shared" ref="X129" si="591">AVERAGE(X124,X127)</f>
        <v>4</v>
      </c>
      <c r="Y129" s="320">
        <f t="shared" ref="Y129" si="592">AVERAGE(Y124,Y127)</f>
        <v>4</v>
      </c>
      <c r="Z129" s="320">
        <f t="shared" ref="Z129" si="593">AVERAGE(Z124,Z127)</f>
        <v>3.5</v>
      </c>
      <c r="AA129" s="320">
        <f t="shared" ref="AA129" si="594">AVERAGE(AA124,AA127)</f>
        <v>3</v>
      </c>
      <c r="AB129" s="321">
        <f t="shared" ref="AB129" si="595">AVERAGE(AB124,AB127)</f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596">(H125+H124)/H124-1</f>
        <v>0</v>
      </c>
      <c r="I131" s="233">
        <f t="shared" si="596"/>
        <v>0</v>
      </c>
      <c r="J131" s="233">
        <f t="shared" si="596"/>
        <v>0</v>
      </c>
      <c r="K131" s="233">
        <f t="shared" si="596"/>
        <v>0</v>
      </c>
      <c r="L131" s="233">
        <f t="shared" si="596"/>
        <v>0</v>
      </c>
      <c r="M131" s="233">
        <f t="shared" si="596"/>
        <v>0</v>
      </c>
      <c r="N131" s="233">
        <f t="shared" si="596"/>
        <v>0</v>
      </c>
      <c r="O131" s="233">
        <f t="shared" si="596"/>
        <v>1</v>
      </c>
      <c r="P131" s="233">
        <f t="shared" si="596"/>
        <v>0</v>
      </c>
      <c r="Q131" s="243">
        <f t="shared" si="596"/>
        <v>0</v>
      </c>
      <c r="R131" s="233">
        <f t="shared" si="596"/>
        <v>0.5</v>
      </c>
      <c r="S131" s="233">
        <f t="shared" si="596"/>
        <v>0</v>
      </c>
      <c r="T131" s="233">
        <f t="shared" si="596"/>
        <v>1</v>
      </c>
      <c r="U131" s="233">
        <f t="shared" si="596"/>
        <v>1</v>
      </c>
      <c r="V131" s="233">
        <f t="shared" si="596"/>
        <v>0.5</v>
      </c>
      <c r="W131" s="233">
        <f t="shared" si="596"/>
        <v>0.33333333333333326</v>
      </c>
      <c r="X131" s="233">
        <f t="shared" si="596"/>
        <v>0</v>
      </c>
      <c r="Y131" s="233">
        <f t="shared" si="596"/>
        <v>0</v>
      </c>
      <c r="Z131" s="233">
        <f t="shared" si="596"/>
        <v>0</v>
      </c>
      <c r="AA131" s="233">
        <f t="shared" si="596"/>
        <v>0</v>
      </c>
      <c r="AB131" s="244">
        <f t="shared" si="59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597">(H126+H129)/H129-1</f>
        <v>0</v>
      </c>
      <c r="I132" s="236">
        <f t="shared" si="597"/>
        <v>0</v>
      </c>
      <c r="J132" s="236">
        <f t="shared" si="597"/>
        <v>0</v>
      </c>
      <c r="K132" s="236">
        <f t="shared" si="597"/>
        <v>0</v>
      </c>
      <c r="L132" s="236">
        <f t="shared" si="597"/>
        <v>0</v>
      </c>
      <c r="M132" s="236">
        <f t="shared" si="597"/>
        <v>0</v>
      </c>
      <c r="N132" s="236">
        <f t="shared" si="597"/>
        <v>0</v>
      </c>
      <c r="O132" s="236">
        <f t="shared" si="597"/>
        <v>0</v>
      </c>
      <c r="P132" s="236">
        <f t="shared" si="597"/>
        <v>0</v>
      </c>
      <c r="Q132" s="238">
        <f t="shared" si="597"/>
        <v>0</v>
      </c>
      <c r="R132" s="236">
        <f t="shared" si="597"/>
        <v>-0.5</v>
      </c>
      <c r="S132" s="236">
        <f t="shared" si="597"/>
        <v>-0.66666666666666674</v>
      </c>
      <c r="T132" s="236">
        <f t="shared" si="597"/>
        <v>-1</v>
      </c>
      <c r="U132" s="236">
        <f t="shared" si="597"/>
        <v>0</v>
      </c>
      <c r="V132" s="236">
        <f t="shared" si="597"/>
        <v>0</v>
      </c>
      <c r="W132" s="236">
        <f t="shared" si="597"/>
        <v>0</v>
      </c>
      <c r="X132" s="236">
        <f t="shared" si="597"/>
        <v>0</v>
      </c>
      <c r="Y132" s="236">
        <f t="shared" si="597"/>
        <v>0</v>
      </c>
      <c r="Z132" s="236">
        <f t="shared" si="597"/>
        <v>-0.2857142857142857</v>
      </c>
      <c r="AA132" s="236">
        <f t="shared" si="597"/>
        <v>0</v>
      </c>
      <c r="AB132" s="237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32" priority="184">
      <formula>$AE$3=1</formula>
    </cfRule>
  </conditionalFormatting>
  <conditionalFormatting sqref="A33:XFD45">
    <cfRule type="expression" dxfId="31" priority="6">
      <formula>$AE$3=1</formula>
    </cfRule>
  </conditionalFormatting>
  <conditionalFormatting sqref="A48:XFD60">
    <cfRule type="expression" dxfId="30" priority="5">
      <formula>$AE$3=1</formula>
    </cfRule>
  </conditionalFormatting>
  <conditionalFormatting sqref="A63:XFD75">
    <cfRule type="expression" dxfId="29" priority="4">
      <formula>$AE$3=1</formula>
    </cfRule>
  </conditionalFormatting>
  <conditionalFormatting sqref="A78:XFD90">
    <cfRule type="expression" dxfId="28" priority="3">
      <formula>$AE$3=1</formula>
    </cfRule>
  </conditionalFormatting>
  <conditionalFormatting sqref="A93:XFD105">
    <cfRule type="expression" dxfId="27" priority="2">
      <formula>$AE$3=1</formula>
    </cfRule>
  </conditionalFormatting>
  <conditionalFormatting sqref="A108:XFD120">
    <cfRule type="expression" dxfId="26" priority="1">
      <formula>$AE$3=1</formula>
    </cfRule>
  </conditionalFormatting>
  <conditionalFormatting sqref="A123:XFD132">
    <cfRule type="expression" dxfId="25" priority="12">
      <formula>$AE$3=1</formula>
    </cfRule>
  </conditionalFormatting>
  <conditionalFormatting sqref="B6:F6 H6:AF6 B18:F20">
    <cfRule type="expression" dxfId="24" priority="136">
      <formula>$W$3=1</formula>
    </cfRule>
  </conditionalFormatting>
  <conditionalFormatting sqref="B33:F35">
    <cfRule type="expression" dxfId="23" priority="61">
      <formula>$W$3=1</formula>
    </cfRule>
  </conditionalFormatting>
  <conditionalFormatting sqref="B48:F50">
    <cfRule type="expression" dxfId="22" priority="59">
      <formula>$W$3=1</formula>
    </cfRule>
  </conditionalFormatting>
  <conditionalFormatting sqref="B63:F65">
    <cfRule type="expression" dxfId="21" priority="57">
      <formula>$W$3=1</formula>
    </cfRule>
  </conditionalFormatting>
  <conditionalFormatting sqref="B78:F80">
    <cfRule type="expression" dxfId="20" priority="55">
      <formula>$W$3=1</formula>
    </cfRule>
  </conditionalFormatting>
  <conditionalFormatting sqref="B93:F95">
    <cfRule type="expression" dxfId="19" priority="40">
      <formula>$W$3=1</formula>
    </cfRule>
  </conditionalFormatting>
  <conditionalFormatting sqref="B108:F110">
    <cfRule type="expression" dxfId="18" priority="25">
      <formula>$W$3=1</formula>
    </cfRule>
  </conditionalFormatting>
  <conditionalFormatting sqref="B123:F123">
    <cfRule type="expression" dxfId="17" priority="23">
      <formula>$W$3=1</formula>
    </cfRule>
  </conditionalFormatting>
  <conditionalFormatting sqref="C19:D19">
    <cfRule type="expression" dxfId="16" priority="7">
      <formula>$W$3=1</formula>
    </cfRule>
  </conditionalFormatting>
  <conditionalFormatting sqref="F19">
    <cfRule type="expression" dxfId="15" priority="9">
      <formula>$W$3=1</formula>
    </cfRule>
  </conditionalFormatting>
  <conditionalFormatting sqref="H18:AF20">
    <cfRule type="expression" dxfId="14" priority="135">
      <formula>$W$3=1</formula>
    </cfRule>
  </conditionalFormatting>
  <conditionalFormatting sqref="H33:AF35">
    <cfRule type="expression" dxfId="13" priority="112">
      <formula>$W$3=1</formula>
    </cfRule>
  </conditionalFormatting>
  <conditionalFormatting sqref="H48:AF50">
    <cfRule type="expression" dxfId="12" priority="100">
      <formula>$W$3=1</formula>
    </cfRule>
  </conditionalFormatting>
  <conditionalFormatting sqref="H63:AF65">
    <cfRule type="expression" dxfId="11" priority="88">
      <formula>$W$3=1</formula>
    </cfRule>
  </conditionalFormatting>
  <conditionalFormatting sqref="H78:AF80">
    <cfRule type="expression" dxfId="10" priority="76">
      <formula>$W$3=1</formula>
    </cfRule>
  </conditionalFormatting>
  <conditionalFormatting sqref="H93:AF95">
    <cfRule type="expression" dxfId="9" priority="52">
      <formula>$W$3=1</formula>
    </cfRule>
  </conditionalFormatting>
  <conditionalFormatting sqref="H108:AF110">
    <cfRule type="expression" dxfId="8" priority="37">
      <formula>$W$3=1</formula>
    </cfRule>
  </conditionalFormatting>
  <conditionalFormatting sqref="H123:AF123">
    <cfRule type="expression" dxfId="7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EA9C-F4C6-4E28-8A85-E5C4B84B589A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V6" sqref="V6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1:32">
      <c r="A1" s="417"/>
      <c r="B1" s="417"/>
      <c r="C1" s="417"/>
      <c r="D1" s="417"/>
      <c r="E1" s="417"/>
      <c r="F1" s="417"/>
      <c r="G1" s="417"/>
      <c r="H1" s="458">
        <f t="shared" ref="H1:N1" si="0">EOMONTH(H5,0)</f>
        <v>45688</v>
      </c>
      <c r="I1" s="458">
        <f t="shared" si="0"/>
        <v>45716</v>
      </c>
      <c r="J1" s="458">
        <f t="shared" si="0"/>
        <v>45747</v>
      </c>
      <c r="K1" s="458">
        <f t="shared" si="0"/>
        <v>45777</v>
      </c>
      <c r="L1" s="458">
        <f t="shared" si="0"/>
        <v>45808</v>
      </c>
      <c r="M1" s="458">
        <f t="shared" si="0"/>
        <v>45838</v>
      </c>
      <c r="N1" s="458">
        <f t="shared" si="0"/>
        <v>45869</v>
      </c>
      <c r="O1" s="458">
        <f>EOMONTH(O5,0)</f>
        <v>45900</v>
      </c>
      <c r="P1" s="458">
        <f t="shared" ref="P1:AB1" si="1">EOMONTH(P5,0)</f>
        <v>45930</v>
      </c>
      <c r="Q1" s="458">
        <f t="shared" si="1"/>
        <v>45961</v>
      </c>
      <c r="R1" s="458">
        <f t="shared" si="1"/>
        <v>45991</v>
      </c>
      <c r="S1" s="458">
        <f t="shared" si="1"/>
        <v>46022</v>
      </c>
      <c r="T1" s="458">
        <f t="shared" si="1"/>
        <v>46053</v>
      </c>
      <c r="U1" s="458">
        <f t="shared" si="1"/>
        <v>46081</v>
      </c>
      <c r="V1" s="458">
        <f t="shared" si="1"/>
        <v>46112</v>
      </c>
      <c r="W1" s="458">
        <f t="shared" si="1"/>
        <v>46142</v>
      </c>
      <c r="X1" s="458">
        <f t="shared" si="1"/>
        <v>46173</v>
      </c>
      <c r="Y1" s="458">
        <f t="shared" si="1"/>
        <v>46203</v>
      </c>
      <c r="Z1" s="458">
        <f t="shared" si="1"/>
        <v>46234</v>
      </c>
      <c r="AA1" s="458">
        <f t="shared" si="1"/>
        <v>46265</v>
      </c>
      <c r="AB1" s="458">
        <f t="shared" si="1"/>
        <v>46295</v>
      </c>
      <c r="AC1" s="417"/>
      <c r="AD1" s="417"/>
      <c r="AE1" s="417"/>
    </row>
    <row r="2" spans="1:32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</row>
    <row r="3" spans="1:32">
      <c r="A3" s="417"/>
      <c r="B3" s="459" t="s">
        <v>1991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17"/>
      <c r="AD3" s="417" t="s">
        <v>276</v>
      </c>
      <c r="AE3" s="461">
        <v>1</v>
      </c>
    </row>
    <row r="4" spans="1:32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</row>
    <row r="5" spans="1:32" ht="24">
      <c r="A5" s="417"/>
      <c r="B5" s="462" t="s">
        <v>1997</v>
      </c>
      <c r="C5" s="463" t="s">
        <v>4</v>
      </c>
      <c r="D5" s="463" t="s">
        <v>1317</v>
      </c>
      <c r="E5" s="464"/>
      <c r="F5" s="463" t="s">
        <v>1527</v>
      </c>
      <c r="G5" s="417"/>
      <c r="H5" s="465">
        <v>45658</v>
      </c>
      <c r="I5" s="465">
        <f t="shared" ref="I5:N5" si="2">EOMONTH(H5,0)+1</f>
        <v>45689</v>
      </c>
      <c r="J5" s="465">
        <f t="shared" si="2"/>
        <v>45717</v>
      </c>
      <c r="K5" s="465">
        <f t="shared" si="2"/>
        <v>45748</v>
      </c>
      <c r="L5" s="465">
        <f t="shared" si="2"/>
        <v>45778</v>
      </c>
      <c r="M5" s="465">
        <f t="shared" si="2"/>
        <v>45809</v>
      </c>
      <c r="N5" s="465">
        <f t="shared" si="2"/>
        <v>45839</v>
      </c>
      <c r="O5" s="465">
        <v>45870</v>
      </c>
      <c r="P5" s="465">
        <f t="shared" ref="P5:AB5" si="3">EOMONTH(O5,0)+1</f>
        <v>45901</v>
      </c>
      <c r="Q5" s="465">
        <f t="shared" si="3"/>
        <v>45931</v>
      </c>
      <c r="R5" s="465">
        <f t="shared" si="3"/>
        <v>45962</v>
      </c>
      <c r="S5" s="465">
        <f t="shared" si="3"/>
        <v>45992</v>
      </c>
      <c r="T5" s="465">
        <f t="shared" si="3"/>
        <v>46023</v>
      </c>
      <c r="U5" s="465">
        <f t="shared" si="3"/>
        <v>46054</v>
      </c>
      <c r="V5" s="465">
        <f t="shared" si="3"/>
        <v>46082</v>
      </c>
      <c r="W5" s="465">
        <f t="shared" si="3"/>
        <v>46113</v>
      </c>
      <c r="X5" s="465">
        <f t="shared" si="3"/>
        <v>46143</v>
      </c>
      <c r="Y5" s="465">
        <f t="shared" si="3"/>
        <v>46174</v>
      </c>
      <c r="Z5" s="465">
        <f t="shared" si="3"/>
        <v>46204</v>
      </c>
      <c r="AA5" s="465">
        <f t="shared" si="3"/>
        <v>46235</v>
      </c>
      <c r="AB5" s="465">
        <f t="shared" si="3"/>
        <v>46266</v>
      </c>
      <c r="AC5" s="466"/>
      <c r="AD5" s="466"/>
      <c r="AE5" s="466"/>
      <c r="AF5" s="184"/>
    </row>
    <row r="6" spans="1:32">
      <c r="A6" s="417"/>
      <c r="B6" s="467" t="s">
        <v>134</v>
      </c>
      <c r="C6" s="468"/>
      <c r="D6" s="468"/>
      <c r="E6" s="469"/>
      <c r="F6" s="468"/>
      <c r="G6" s="417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9"/>
      <c r="AD6" s="469"/>
      <c r="AE6" s="469"/>
      <c r="AF6" s="6"/>
    </row>
    <row r="7" spans="1:32">
      <c r="A7" s="417"/>
      <c r="B7" s="417" t="s">
        <v>1313</v>
      </c>
      <c r="C7" s="470">
        <f ca="1">+C10-C8-C9</f>
        <v>43</v>
      </c>
      <c r="D7" s="470">
        <f ca="1">+D10-D8-D9</f>
        <v>70</v>
      </c>
      <c r="E7" s="417"/>
      <c r="F7" s="470">
        <f ca="1">+F10-F8-F9</f>
        <v>62</v>
      </c>
      <c r="G7" s="417"/>
      <c r="H7" s="470">
        <f t="shared" ref="H7:AB7" ca="1" si="4">+H10-H8-H9</f>
        <v>43</v>
      </c>
      <c r="I7" s="470">
        <f t="shared" ca="1" si="4"/>
        <v>45</v>
      </c>
      <c r="J7" s="470">
        <f t="shared" ca="1" si="4"/>
        <v>42</v>
      </c>
      <c r="K7" s="470">
        <f t="shared" ca="1" si="4"/>
        <v>45</v>
      </c>
      <c r="L7" s="470">
        <f t="shared" ca="1" si="4"/>
        <v>47</v>
      </c>
      <c r="M7" s="470">
        <f t="shared" ca="1" si="4"/>
        <v>48</v>
      </c>
      <c r="N7" s="470">
        <f t="shared" ca="1" si="4"/>
        <v>53</v>
      </c>
      <c r="O7" s="470">
        <f t="shared" ca="1" si="4"/>
        <v>57</v>
      </c>
      <c r="P7" s="470">
        <f t="shared" ca="1" si="4"/>
        <v>61</v>
      </c>
      <c r="Q7" s="470">
        <f t="shared" ca="1" si="4"/>
        <v>62</v>
      </c>
      <c r="R7" s="470">
        <f t="shared" ca="1" si="4"/>
        <v>65</v>
      </c>
      <c r="S7" s="470">
        <f t="shared" ca="1" si="4"/>
        <v>66</v>
      </c>
      <c r="T7" s="470">
        <f t="shared" ca="1" si="4"/>
        <v>70</v>
      </c>
      <c r="U7" s="470">
        <f t="shared" ca="1" si="4"/>
        <v>72</v>
      </c>
      <c r="V7" s="470">
        <f t="shared" ca="1" si="4"/>
        <v>77</v>
      </c>
      <c r="W7" s="470">
        <f t="shared" ca="1" si="4"/>
        <v>80</v>
      </c>
      <c r="X7" s="470">
        <f t="shared" ca="1" si="4"/>
        <v>82</v>
      </c>
      <c r="Y7" s="470">
        <f t="shared" ca="1" si="4"/>
        <v>79</v>
      </c>
      <c r="Z7" s="470">
        <f t="shared" ca="1" si="4"/>
        <v>83</v>
      </c>
      <c r="AA7" s="470">
        <f t="shared" ca="1" si="4"/>
        <v>85</v>
      </c>
      <c r="AB7" s="470">
        <f t="shared" ca="1" si="4"/>
        <v>86</v>
      </c>
      <c r="AC7" s="417"/>
      <c r="AD7" s="417"/>
      <c r="AE7" s="417"/>
    </row>
    <row r="8" spans="1:32">
      <c r="A8" s="417"/>
      <c r="B8" s="471" t="s">
        <v>1814</v>
      </c>
      <c r="C8" s="433">
        <f ca="1">SUM(H8:S8)</f>
        <v>39</v>
      </c>
      <c r="D8" s="433">
        <f ca="1">SUM(T8:AB8)</f>
        <v>34</v>
      </c>
      <c r="E8" s="417"/>
      <c r="F8" s="433">
        <f ca="1">SUM(Q8:AB8)</f>
        <v>46</v>
      </c>
      <c r="G8" s="417"/>
      <c r="H8" s="472">
        <f ca="1">COUNTIFS('Combined Employee Worksheet'!$I:$I,"&gt;="&amp;'Adj. Employee Retention'!H$5,'Combined Employee Worksheet'!$I:$I,"&lt;="&amp;'Adj. Employee Retention'!H$1)-COUNTIFS('Combined Employee Worksheet'!$I:$I,"&gt;="&amp;'Adj. Employee Retention'!H$5,'Combined Employee Worksheet'!$I:$I,"&lt;="&amp;'Adj. Employee Retention'!H$1,'Combined Employee Worksheet'!$K:$K,"&lt;="&amp;$C$138,'Combined Employee Worksheet'!$J:$J,"&lt;&gt;")</f>
        <v>3</v>
      </c>
      <c r="I8" s="472">
        <f ca="1">COUNTIFS('Combined Employee Worksheet'!$I:$I,"&gt;="&amp;'Adj. Employee Retention'!I$5,'Combined Employee Worksheet'!$I:$I,"&lt;="&amp;'Adj. Employee Retention'!I$1)-COUNTIFS('Combined Employee Worksheet'!$I:$I,"&gt;="&amp;'Adj. Employee Retention'!I$5,'Combined Employee Worksheet'!$I:$I,"&lt;="&amp;'Adj. Employee Retention'!I$1,'Combined Employee Worksheet'!$K:$K,"&lt;="&amp;$C$138,'Combined Employee Worksheet'!$J:$J,"&lt;&gt;")</f>
        <v>0</v>
      </c>
      <c r="J8" s="472">
        <f ca="1">COUNTIFS('Combined Employee Worksheet'!$I:$I,"&gt;="&amp;'Adj. Employee Retention'!J$5,'Combined Employee Worksheet'!$I:$I,"&lt;="&amp;'Adj. Employee Retention'!J$1)-COUNTIFS('Combined Employee Worksheet'!$I:$I,"&gt;="&amp;'Adj. Employee Retention'!J$5,'Combined Employee Worksheet'!$I:$I,"&lt;="&amp;'Adj. Employee Retention'!J$1,'Combined Employee Worksheet'!$K:$K,"&lt;="&amp;$C$138,'Combined Employee Worksheet'!$J:$J,"&lt;&gt;")</f>
        <v>4</v>
      </c>
      <c r="K8" s="472">
        <f ca="1">COUNTIFS('Combined Employee Worksheet'!$I:$I,"&gt;="&amp;'Adj. Employee Retention'!K$5,'Combined Employee Worksheet'!$I:$I,"&lt;="&amp;'Adj. Employee Retention'!K$1)-COUNTIFS('Combined Employee Worksheet'!$I:$I,"&gt;="&amp;'Adj. Employee Retention'!K$5,'Combined Employee Worksheet'!$I:$I,"&lt;="&amp;'Adj. Employee Retention'!K$1,'Combined Employee Worksheet'!$K:$K,"&lt;="&amp;$C$138,'Combined Employee Worksheet'!$J:$J,"&lt;&gt;")</f>
        <v>2</v>
      </c>
      <c r="L8" s="472">
        <f ca="1">COUNTIFS('Combined Employee Worksheet'!$I:$I,"&gt;="&amp;'Adj. Employee Retention'!L$5,'Combined Employee Worksheet'!$I:$I,"&lt;="&amp;'Adj. Employee Retention'!L$1)-COUNTIFS('Combined Employee Worksheet'!$I:$I,"&gt;="&amp;'Adj. Employee Retention'!L$5,'Combined Employee Worksheet'!$I:$I,"&lt;="&amp;'Adj. Employee Retention'!L$1,'Combined Employee Worksheet'!$K:$K,"&lt;="&amp;$C$138,'Combined Employee Worksheet'!$J:$J,"&lt;&gt;")</f>
        <v>2</v>
      </c>
      <c r="M8" s="472">
        <f ca="1">COUNTIFS('Combined Employee Worksheet'!$I:$I,"&gt;="&amp;'Adj. Employee Retention'!M$5,'Combined Employee Worksheet'!$I:$I,"&lt;="&amp;'Adj. Employee Retention'!M$1)-COUNTIFS('Combined Employee Worksheet'!$I:$I,"&gt;="&amp;'Adj. Employee Retention'!M$5,'Combined Employee Worksheet'!$I:$I,"&lt;="&amp;'Adj. Employee Retention'!M$1,'Combined Employee Worksheet'!$K:$K,"&lt;="&amp;$C$138,'Combined Employee Worksheet'!$J:$J,"&lt;&gt;")</f>
        <v>6</v>
      </c>
      <c r="N8" s="472">
        <f ca="1">COUNTIFS('Combined Employee Worksheet'!$I:$I,"&gt;="&amp;'Adj. Employee Retention'!N$5,'Combined Employee Worksheet'!$I:$I,"&lt;="&amp;'Adj. Employee Retention'!N$1)-COUNTIFS('Combined Employee Worksheet'!$I:$I,"&gt;="&amp;'Adj. Employee Retention'!N$5,'Combined Employee Worksheet'!$I:$I,"&lt;="&amp;'Adj. Employee Retention'!N$1,'Combined Employee Worksheet'!$K:$K,"&lt;="&amp;$C$138,'Combined Employee Worksheet'!$J:$J,"&lt;&gt;")</f>
        <v>4</v>
      </c>
      <c r="O8" s="472">
        <f ca="1">COUNTIFS('Combined Employee Worksheet'!$I:$I,"&gt;="&amp;'Adj. Employee Retention'!O$5,'Combined Employee Worksheet'!$I:$I,"&lt;="&amp;'Adj. Employee Retention'!O$1)-COUNTIFS('Combined Employee Worksheet'!$I:$I,"&gt;="&amp;'Adj. Employee Retention'!O$5,'Combined Employee Worksheet'!$I:$I,"&lt;="&amp;'Adj. Employee Retention'!O$1,'Combined Employee Worksheet'!$K:$K,"&lt;="&amp;$C$138,'Combined Employee Worksheet'!$J:$J,"&lt;&gt;")</f>
        <v>5</v>
      </c>
      <c r="P8" s="472">
        <f ca="1">COUNTIFS('Combined Employee Worksheet'!$I:$I,"&gt;="&amp;'Adj. Employee Retention'!P$5,'Combined Employee Worksheet'!$I:$I,"&lt;="&amp;'Adj. Employee Retention'!P$1)-COUNTIFS('Combined Employee Worksheet'!$I:$I,"&gt;="&amp;'Adj. Employee Retention'!P$5,'Combined Employee Worksheet'!$I:$I,"&lt;="&amp;'Adj. Employee Retention'!P$1,'Combined Employee Worksheet'!$K:$K,"&lt;="&amp;$C$138,'Combined Employee Worksheet'!$J:$J,"&lt;&gt;")</f>
        <v>1</v>
      </c>
      <c r="Q8" s="472">
        <f ca="1">COUNTIFS('Combined Employee Worksheet'!$I:$I,"&gt;="&amp;'Adj. Employee Retention'!Q$5,'Combined Employee Worksheet'!$I:$I,"&lt;="&amp;'Adj. Employee Retention'!Q$1)-COUNTIFS('Combined Employee Worksheet'!$I:$I,"&gt;="&amp;'Adj. Employee Retention'!Q$5,'Combined Employee Worksheet'!$I:$I,"&lt;="&amp;'Adj. Employee Retention'!Q$1,'Combined Employee Worksheet'!$K:$K,"&lt;="&amp;$C$138,'Combined Employee Worksheet'!$J:$J,"&lt;&gt;")</f>
        <v>3</v>
      </c>
      <c r="R8" s="472">
        <f ca="1">COUNTIFS('Combined Employee Worksheet'!$I:$I,"&gt;="&amp;'Adj. Employee Retention'!R$5,'Combined Employee Worksheet'!$I:$I,"&lt;="&amp;'Adj. Employee Retention'!R$1)-COUNTIFS('Combined Employee Worksheet'!$I:$I,"&gt;="&amp;'Adj. Employee Retention'!R$5,'Combined Employee Worksheet'!$I:$I,"&lt;="&amp;'Adj. Employee Retention'!R$1,'Combined Employee Worksheet'!$K:$K,"&lt;="&amp;$C$138,'Combined Employee Worksheet'!$J:$J,"&lt;&gt;")</f>
        <v>4</v>
      </c>
      <c r="S8" s="472">
        <f ca="1">COUNTIFS('Combined Employee Worksheet'!$I:$I,"&gt;="&amp;'Adj. Employee Retention'!S$5,'Combined Employee Worksheet'!$I:$I,"&lt;="&amp;'Adj. Employee Retention'!S$1)-COUNTIFS('Combined Employee Worksheet'!$I:$I,"&gt;="&amp;'Adj. Employee Retention'!S$5,'Combined Employee Worksheet'!$I:$I,"&lt;="&amp;'Adj. Employee Retention'!S$1,'Combined Employee Worksheet'!$K:$K,"&lt;="&amp;$C$138,'Combined Employee Worksheet'!$J:$J,"&lt;&gt;")</f>
        <v>5</v>
      </c>
      <c r="T8" s="472">
        <f ca="1">COUNTIFS('Combined Employee Worksheet'!$I:$I,"&gt;="&amp;'Adj. Employee Retention'!T$5,'Combined Employee Worksheet'!$I:$I,"&lt;="&amp;'Adj. Employee Retention'!T$1)-COUNTIFS('Combined Employee Worksheet'!$I:$I,"&gt;="&amp;'Adj. Employee Retention'!T$5,'Combined Employee Worksheet'!$I:$I,"&lt;="&amp;'Adj. Employee Retention'!T$1,'Combined Employee Worksheet'!$K:$K,"&lt;="&amp;$C$138,'Combined Employee Worksheet'!$J:$J,"&lt;&gt;")</f>
        <v>3</v>
      </c>
      <c r="U8" s="472">
        <f ca="1">COUNTIFS('Combined Employee Worksheet'!$I:$I,"&gt;="&amp;'Adj. Employee Retention'!U$5,'Combined Employee Worksheet'!$I:$I,"&lt;="&amp;'Adj. Employee Retention'!U$1)-COUNTIFS('Combined Employee Worksheet'!$I:$I,"&gt;="&amp;'Adj. Employee Retention'!U$5,'Combined Employee Worksheet'!$I:$I,"&lt;="&amp;'Adj. Employee Retention'!U$1,'Combined Employee Worksheet'!$K:$K,"&lt;="&amp;$C$138,'Combined Employee Worksheet'!$J:$J,"&lt;&gt;")</f>
        <v>6</v>
      </c>
      <c r="V8" s="472">
        <f ca="1">COUNTIFS('Combined Employee Worksheet'!$I:$I,"&gt;="&amp;'Adj. Employee Retention'!V$5,'Combined Employee Worksheet'!$I:$I,"&lt;="&amp;'Adj. Employee Retention'!V$1)-COUNTIFS('Combined Employee Worksheet'!$I:$I,"&gt;="&amp;'Adj. Employee Retention'!V$5,'Combined Employee Worksheet'!$I:$I,"&lt;="&amp;'Adj. Employee Retention'!V$1,'Combined Employee Worksheet'!$K:$K,"&lt;="&amp;$C$138,'Combined Employee Worksheet'!$J:$J,"&lt;&gt;")</f>
        <v>3</v>
      </c>
      <c r="W8" s="472">
        <f ca="1">COUNTIFS('Combined Employee Worksheet'!$I:$I,"&gt;="&amp;'Adj. Employee Retention'!W$5,'Combined Employee Worksheet'!$I:$I,"&lt;="&amp;'Adj. Employee Retention'!W$1)-COUNTIFS('Combined Employee Worksheet'!$I:$I,"&gt;="&amp;'Adj. Employee Retention'!W$5,'Combined Employee Worksheet'!$I:$I,"&lt;="&amp;'Adj. Employee Retention'!W$1,'Combined Employee Worksheet'!$K:$K,"&lt;="&amp;$C$138,'Combined Employee Worksheet'!$J:$J,"&lt;&gt;")</f>
        <v>3</v>
      </c>
      <c r="X8" s="472">
        <f ca="1">COUNTIFS('Combined Employee Worksheet'!$I:$I,"&gt;="&amp;'Adj. Employee Retention'!X$5,'Combined Employee Worksheet'!$I:$I,"&lt;="&amp;'Adj. Employee Retention'!X$1)-COUNTIFS('Combined Employee Worksheet'!$I:$I,"&gt;="&amp;'Adj. Employee Retention'!X$5,'Combined Employee Worksheet'!$I:$I,"&lt;="&amp;'Adj. Employee Retention'!X$1,'Combined Employee Worksheet'!$K:$K,"&lt;="&amp;$C$138,'Combined Employee Worksheet'!$J:$J,"&lt;&gt;")</f>
        <v>2</v>
      </c>
      <c r="Y8" s="472">
        <f ca="1">COUNTIFS('Combined Employee Worksheet'!$I:$I,"&gt;="&amp;'Adj. Employee Retention'!Y$5,'Combined Employee Worksheet'!$I:$I,"&lt;="&amp;'Adj. Employee Retention'!Y$1)-COUNTIFS('Combined Employee Worksheet'!$I:$I,"&gt;="&amp;'Adj. Employee Retention'!Y$5,'Combined Employee Worksheet'!$I:$I,"&lt;="&amp;'Adj. Employee Retention'!Y$1,'Combined Employee Worksheet'!$K:$K,"&lt;="&amp;$C$138,'Combined Employee Worksheet'!$J:$J,"&lt;&gt;")</f>
        <v>5</v>
      </c>
      <c r="Z8" s="472">
        <f ca="1">COUNTIFS('Combined Employee Worksheet'!$I:$I,"&gt;="&amp;'Adj. Employee Retention'!Z$5,'Combined Employee Worksheet'!$I:$I,"&lt;="&amp;'Adj. Employee Retention'!Z$1)-COUNTIFS('Combined Employee Worksheet'!$I:$I,"&gt;="&amp;'Adj. Employee Retention'!Z$5,'Combined Employee Worksheet'!$I:$I,"&lt;="&amp;'Adj. Employee Retention'!Z$1,'Combined Employee Worksheet'!$K:$K,"&lt;="&amp;$C$138,'Combined Employee Worksheet'!$J:$J,"&lt;&gt;")</f>
        <v>4</v>
      </c>
      <c r="AA8" s="472">
        <f ca="1">COUNTIFS('Combined Employee Worksheet'!$I:$I,"&gt;="&amp;'Adj. Employee Retention'!AA$5,'Combined Employee Worksheet'!$I:$I,"&lt;="&amp;'Adj. Employee Retention'!AA$1)-COUNTIFS('Combined Employee Worksheet'!$I:$I,"&gt;="&amp;'Adj. Employee Retention'!AA$5,'Combined Employee Worksheet'!$I:$I,"&lt;="&amp;'Adj. Employee Retention'!AA$1,'Combined Employee Worksheet'!$K:$K,"&lt;="&amp;$C$138,'Combined Employee Worksheet'!$J:$J,"&lt;&gt;")</f>
        <v>5</v>
      </c>
      <c r="AB8" s="472">
        <f ca="1">COUNTIFS('Combined Employee Worksheet'!$I:$I,"&gt;="&amp;'Adj. Employee Retention'!AB$5,'Combined Employee Worksheet'!$I:$I,"&lt;="&amp;'Adj. Employee Retention'!AB$1)-COUNTIFS('Combined Employee Worksheet'!$I:$I,"&gt;="&amp;'Adj. Employee Retention'!AB$5,'Combined Employee Worksheet'!$I:$I,"&lt;="&amp;'Adj. Employee Retention'!AB$1,'Combined Employee Worksheet'!$K:$K,"&lt;="&amp;$C$138,'Combined Employee Worksheet'!$J:$J,"&lt;&gt;")</f>
        <v>3</v>
      </c>
      <c r="AC8" s="417"/>
      <c r="AD8" s="417"/>
      <c r="AE8" s="417"/>
    </row>
    <row r="9" spans="1:32" ht="12" customHeight="1">
      <c r="A9" s="417"/>
      <c r="B9" s="471" t="s">
        <v>1815</v>
      </c>
      <c r="C9" s="433">
        <f ca="1">SUM(H9:S9)</f>
        <v>-12</v>
      </c>
      <c r="D9" s="433">
        <f ca="1">SUM(T9:AB9)</f>
        <v>-17</v>
      </c>
      <c r="E9" s="417"/>
      <c r="F9" s="433">
        <f ca="1">SUM(Q9:AB9)</f>
        <v>-21</v>
      </c>
      <c r="G9" s="417"/>
      <c r="H9" s="472">
        <f ca="1">-COUNTIFS('Combined Employee Worksheet'!$J:$J,"&gt;="&amp;'Adj. Employee Retention'!H$5,'Combined Employee Worksheet'!$J:$J,"&lt;="&amp;'Adj. Employee Retention'!H$1,'Combined Employee Worksheet'!$K:$K,"&gt;"&amp;$C$138)</f>
        <v>-1</v>
      </c>
      <c r="I9" s="472">
        <f ca="1">-COUNTIFS('Combined Employee Worksheet'!$J:$J,"&gt;="&amp;'Adj. Employee Retention'!I$5,'Combined Employee Worksheet'!$J:$J,"&lt;="&amp;'Adj. Employee Retention'!I$1,'Combined Employee Worksheet'!$K:$K,"&gt;"&amp;$C$138)</f>
        <v>-3</v>
      </c>
      <c r="J9" s="472">
        <f ca="1">-COUNTIFS('Combined Employee Worksheet'!$J:$J,"&gt;="&amp;'Adj. Employee Retention'!J$5,'Combined Employee Worksheet'!$J:$J,"&lt;="&amp;'Adj. Employee Retention'!J$1,'Combined Employee Worksheet'!$K:$K,"&gt;"&amp;$C$138)</f>
        <v>-1</v>
      </c>
      <c r="K9" s="472">
        <f>-COUNTIFS('Combined Employee Worksheet'!$J:$J,"&gt;="&amp;'Adj. Employee Retention'!K$5,'Combined Employee Worksheet'!$J:$J,"&lt;="&amp;'Adj. Employee Retention'!K$1,'Combined Employee Worksheet'!$K:$K,"&gt;"&amp;$C$138)</f>
        <v>0</v>
      </c>
      <c r="L9" s="472">
        <f ca="1">-COUNTIFS('Combined Employee Worksheet'!$J:$J,"&gt;="&amp;'Adj. Employee Retention'!L$5,'Combined Employee Worksheet'!$J:$J,"&lt;="&amp;'Adj. Employee Retention'!L$1,'Combined Employee Worksheet'!$K:$K,"&gt;"&amp;$C$138)</f>
        <v>-1</v>
      </c>
      <c r="M9" s="472">
        <f ca="1">-COUNTIFS('Combined Employee Worksheet'!$J:$J,"&gt;="&amp;'Adj. Employee Retention'!M$5,'Combined Employee Worksheet'!$J:$J,"&lt;="&amp;'Adj. Employee Retention'!M$1,'Combined Employee Worksheet'!$K:$K,"&gt;"&amp;$C$138)</f>
        <v>-1</v>
      </c>
      <c r="N9" s="472">
        <f>-COUNTIFS('Combined Employee Worksheet'!$J:$J,"&gt;="&amp;'Adj. Employee Retention'!N$5,'Combined Employee Worksheet'!$J:$J,"&lt;="&amp;'Adj. Employee Retention'!N$1,'Combined Employee Worksheet'!$K:$K,"&gt;"&amp;$C$138)</f>
        <v>0</v>
      </c>
      <c r="O9" s="472">
        <f ca="1">-COUNTIFS('Combined Employee Worksheet'!$J:$J,"&gt;="&amp;'Adj. Employee Retention'!O$5,'Combined Employee Worksheet'!$J:$J,"&lt;="&amp;'Adj. Employee Retention'!O$1,'Combined Employee Worksheet'!$K:$K,"&gt;"&amp;$C$138)</f>
        <v>-1</v>
      </c>
      <c r="P9" s="472">
        <f>-COUNTIFS('Combined Employee Worksheet'!$J:$J,"&gt;="&amp;'Adj. Employee Retention'!P$5,'Combined Employee Worksheet'!$J:$J,"&lt;="&amp;'Adj. Employee Retention'!P$1,'Combined Employee Worksheet'!$K:$K,"&gt;"&amp;$C$138)</f>
        <v>0</v>
      </c>
      <c r="Q9" s="472">
        <f>-COUNTIFS('Combined Employee Worksheet'!$J:$J,"&gt;="&amp;'Adj. Employee Retention'!Q$5,'Combined Employee Worksheet'!$J:$J,"&lt;="&amp;'Adj. Employee Retention'!Q$1,'Combined Employee Worksheet'!$K:$K,"&gt;"&amp;$C$138)</f>
        <v>0</v>
      </c>
      <c r="R9" s="472">
        <f ca="1">-COUNTIFS('Combined Employee Worksheet'!$J:$J,"&gt;="&amp;'Adj. Employee Retention'!R$5,'Combined Employee Worksheet'!$J:$J,"&lt;="&amp;'Adj. Employee Retention'!R$1,'Combined Employee Worksheet'!$K:$K,"&gt;"&amp;$C$138)</f>
        <v>-3</v>
      </c>
      <c r="S9" s="472">
        <f ca="1">-COUNTIFS('Combined Employee Worksheet'!$J:$J,"&gt;="&amp;'Adj. Employee Retention'!S$5,'Combined Employee Worksheet'!$J:$J,"&lt;="&amp;'Adj. Employee Retention'!S$1,'Combined Employee Worksheet'!$K:$K,"&gt;"&amp;$C$138)</f>
        <v>-1</v>
      </c>
      <c r="T9" s="472">
        <f ca="1">-COUNTIFS('Combined Employee Worksheet'!$J:$J,"&gt;="&amp;'Adj. Employee Retention'!T$5,'Combined Employee Worksheet'!$J:$J,"&lt;="&amp;'Adj. Employee Retention'!T$1,'Combined Employee Worksheet'!$K:$K,"&gt;"&amp;$C$138)</f>
        <v>-1</v>
      </c>
      <c r="U9" s="472">
        <f ca="1">-COUNTIFS('Combined Employee Worksheet'!$J:$J,"&gt;="&amp;'Adj. Employee Retention'!U$5,'Combined Employee Worksheet'!$J:$J,"&lt;="&amp;'Adj. Employee Retention'!U$1,'Combined Employee Worksheet'!$K:$K,"&gt;"&amp;$C$138)</f>
        <v>-1</v>
      </c>
      <c r="V9" s="472">
        <f>-COUNTIFS('Combined Employee Worksheet'!$J:$J,"&gt;="&amp;'Adj. Employee Retention'!V$5,'Combined Employee Worksheet'!$J:$J,"&lt;="&amp;'Adj. Employee Retention'!V$1,'Combined Employee Worksheet'!$K:$K,"&gt;"&amp;$C$138)</f>
        <v>0</v>
      </c>
      <c r="W9" s="472">
        <f ca="1">-COUNTIFS('Combined Employee Worksheet'!$J:$J,"&gt;="&amp;'Adj. Employee Retention'!W$5,'Combined Employee Worksheet'!$J:$J,"&lt;="&amp;'Adj. Employee Retention'!W$1,'Combined Employee Worksheet'!$K:$K,"&gt;"&amp;$C$138)</f>
        <v>-1</v>
      </c>
      <c r="X9" s="472">
        <f ca="1">-COUNTIFS('Combined Employee Worksheet'!$J:$J,"&gt;="&amp;'Adj. Employee Retention'!X$5,'Combined Employee Worksheet'!$J:$J,"&lt;="&amp;'Adj. Employee Retention'!X$1,'Combined Employee Worksheet'!$K:$K,"&gt;"&amp;$C$138)</f>
        <v>-5</v>
      </c>
      <c r="Y9" s="472">
        <f ca="1">-COUNTIFS('Combined Employee Worksheet'!$J:$J,"&gt;="&amp;'Adj. Employee Retention'!Y$5,'Combined Employee Worksheet'!$J:$J,"&lt;="&amp;'Adj. Employee Retention'!Y$1,'Combined Employee Worksheet'!$K:$K,"&gt;"&amp;$C$138)</f>
        <v>-1</v>
      </c>
      <c r="Z9" s="472">
        <f ca="1">-COUNTIFS('Combined Employee Worksheet'!$J:$J,"&gt;="&amp;'Adj. Employee Retention'!Z$5,'Combined Employee Worksheet'!$J:$J,"&lt;="&amp;'Adj. Employee Retention'!Z$1,'Combined Employee Worksheet'!$K:$K,"&gt;"&amp;$C$138)</f>
        <v>-2</v>
      </c>
      <c r="AA9" s="472">
        <f ca="1">-COUNTIFS('Combined Employee Worksheet'!$J:$J,"&gt;="&amp;'Adj. Employee Retention'!AA$5,'Combined Employee Worksheet'!$J:$J,"&lt;="&amp;'Adj. Employee Retention'!AA$1,'Combined Employee Worksheet'!$K:$K,"&gt;"&amp;$C$138)</f>
        <v>-4</v>
      </c>
      <c r="AB9" s="472">
        <f ca="1">-COUNTIFS('Combined Employee Worksheet'!$J:$J,"&gt;="&amp;'Adj. Employee Retention'!AB$5,'Combined Employee Worksheet'!$J:$J,"&lt;="&amp;'Adj. Employee Retention'!AB$1,'Combined Employee Worksheet'!$K:$K,"&gt;"&amp;$C$138)</f>
        <v>-2</v>
      </c>
      <c r="AC9" s="417"/>
      <c r="AD9" s="473">
        <f ca="1">AB10/H7-1</f>
        <v>1.0232558139534884</v>
      </c>
      <c r="AE9" s="417"/>
    </row>
    <row r="10" spans="1:32">
      <c r="A10" s="417"/>
      <c r="B10" s="474" t="s">
        <v>1315</v>
      </c>
      <c r="C10" s="475">
        <f ca="1">+D7</f>
        <v>70</v>
      </c>
      <c r="D10" s="476">
        <f>+$AB10</f>
        <v>87</v>
      </c>
      <c r="E10" s="417"/>
      <c r="F10" s="477">
        <f>+$AB10</f>
        <v>87</v>
      </c>
      <c r="G10" s="417"/>
      <c r="H10" s="478">
        <f t="shared" ref="H10:AA10" ca="1" si="5">+I7</f>
        <v>45</v>
      </c>
      <c r="I10" s="475">
        <f t="shared" ca="1" si="5"/>
        <v>42</v>
      </c>
      <c r="J10" s="475">
        <f t="shared" ca="1" si="5"/>
        <v>45</v>
      </c>
      <c r="K10" s="475">
        <f t="shared" ca="1" si="5"/>
        <v>47</v>
      </c>
      <c r="L10" s="475">
        <f t="shared" ca="1" si="5"/>
        <v>48</v>
      </c>
      <c r="M10" s="475">
        <f t="shared" ca="1" si="5"/>
        <v>53</v>
      </c>
      <c r="N10" s="475">
        <f t="shared" ca="1" si="5"/>
        <v>57</v>
      </c>
      <c r="O10" s="475">
        <f t="shared" ca="1" si="5"/>
        <v>61</v>
      </c>
      <c r="P10" s="475">
        <f t="shared" ca="1" si="5"/>
        <v>62</v>
      </c>
      <c r="Q10" s="478">
        <f t="shared" ca="1" si="5"/>
        <v>65</v>
      </c>
      <c r="R10" s="475">
        <f t="shared" ca="1" si="5"/>
        <v>66</v>
      </c>
      <c r="S10" s="475">
        <f t="shared" ca="1" si="5"/>
        <v>70</v>
      </c>
      <c r="T10" s="475">
        <f t="shared" ca="1" si="5"/>
        <v>72</v>
      </c>
      <c r="U10" s="475">
        <f t="shared" ca="1" si="5"/>
        <v>77</v>
      </c>
      <c r="V10" s="475">
        <f t="shared" ca="1" si="5"/>
        <v>80</v>
      </c>
      <c r="W10" s="475">
        <f t="shared" ca="1" si="5"/>
        <v>82</v>
      </c>
      <c r="X10" s="475">
        <f t="shared" ca="1" si="5"/>
        <v>79</v>
      </c>
      <c r="Y10" s="475">
        <f t="shared" ca="1" si="5"/>
        <v>83</v>
      </c>
      <c r="Z10" s="475">
        <f t="shared" ca="1" si="5"/>
        <v>85</v>
      </c>
      <c r="AA10" s="475">
        <f t="shared" ca="1" si="5"/>
        <v>86</v>
      </c>
      <c r="AB10" s="479">
        <f>COUNTIFS('Combined Employee Worksheet'!$H:$H,"Active")</f>
        <v>87</v>
      </c>
      <c r="AC10" s="417"/>
      <c r="AD10" s="470">
        <f ca="1">AB10-H7</f>
        <v>44</v>
      </c>
      <c r="AE10" s="417"/>
    </row>
    <row r="11" spans="1:32" ht="3.95" customHeight="1">
      <c r="A11" s="417"/>
      <c r="B11" s="480"/>
      <c r="C11" s="481"/>
      <c r="D11" s="481"/>
      <c r="E11" s="417"/>
      <c r="F11" s="481"/>
      <c r="G11" s="417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2"/>
      <c r="AA11" s="482"/>
      <c r="AB11" s="482"/>
      <c r="AC11" s="417"/>
      <c r="AD11" s="417"/>
      <c r="AE11" s="417"/>
    </row>
    <row r="12" spans="1:32" ht="12" customHeight="1">
      <c r="A12" s="417"/>
      <c r="B12" s="474" t="s">
        <v>1817</v>
      </c>
      <c r="C12" s="483">
        <f ca="1">AVERAGE(C7,C10)</f>
        <v>56.5</v>
      </c>
      <c r="D12" s="484">
        <f ca="1">AVERAGE(D7,D10)</f>
        <v>78.5</v>
      </c>
      <c r="E12" s="417"/>
      <c r="F12" s="485">
        <f ca="1">AVERAGE(F7,F10)</f>
        <v>74.5</v>
      </c>
      <c r="G12" s="417"/>
      <c r="H12" s="486">
        <f t="shared" ref="H12:AB12" ca="1" si="6">AVERAGE(H7,H10)</f>
        <v>44</v>
      </c>
      <c r="I12" s="483">
        <f t="shared" ca="1" si="6"/>
        <v>43.5</v>
      </c>
      <c r="J12" s="483">
        <f t="shared" ca="1" si="6"/>
        <v>43.5</v>
      </c>
      <c r="K12" s="483">
        <f t="shared" ca="1" si="6"/>
        <v>46</v>
      </c>
      <c r="L12" s="483">
        <f t="shared" ca="1" si="6"/>
        <v>47.5</v>
      </c>
      <c r="M12" s="483">
        <f t="shared" ca="1" si="6"/>
        <v>50.5</v>
      </c>
      <c r="N12" s="483">
        <f t="shared" ca="1" si="6"/>
        <v>55</v>
      </c>
      <c r="O12" s="483">
        <f t="shared" ca="1" si="6"/>
        <v>59</v>
      </c>
      <c r="P12" s="483">
        <f t="shared" ca="1" si="6"/>
        <v>61.5</v>
      </c>
      <c r="Q12" s="486">
        <f t="shared" ca="1" si="6"/>
        <v>63.5</v>
      </c>
      <c r="R12" s="483">
        <f t="shared" ca="1" si="6"/>
        <v>65.5</v>
      </c>
      <c r="S12" s="483">
        <f t="shared" ca="1" si="6"/>
        <v>68</v>
      </c>
      <c r="T12" s="483">
        <f t="shared" ca="1" si="6"/>
        <v>71</v>
      </c>
      <c r="U12" s="483">
        <f t="shared" ca="1" si="6"/>
        <v>74.5</v>
      </c>
      <c r="V12" s="483">
        <f t="shared" ca="1" si="6"/>
        <v>78.5</v>
      </c>
      <c r="W12" s="483">
        <f t="shared" ca="1" si="6"/>
        <v>81</v>
      </c>
      <c r="X12" s="483">
        <f t="shared" ca="1" si="6"/>
        <v>80.5</v>
      </c>
      <c r="Y12" s="483">
        <f t="shared" ca="1" si="6"/>
        <v>81</v>
      </c>
      <c r="Z12" s="483">
        <f t="shared" ca="1" si="6"/>
        <v>84</v>
      </c>
      <c r="AA12" s="483">
        <f t="shared" ca="1" si="6"/>
        <v>85.5</v>
      </c>
      <c r="AB12" s="484">
        <f t="shared" ca="1" si="6"/>
        <v>86.5</v>
      </c>
      <c r="AC12" s="417"/>
      <c r="AD12" s="417"/>
      <c r="AE12" s="417"/>
    </row>
    <row r="13" spans="1:32" ht="3.95" customHeight="1">
      <c r="A13" s="417"/>
      <c r="B13" s="480"/>
      <c r="C13" s="481"/>
      <c r="D13" s="481"/>
      <c r="E13" s="417"/>
      <c r="F13" s="481"/>
      <c r="G13" s="417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2"/>
      <c r="AA13" s="482"/>
      <c r="AB13" s="482"/>
      <c r="AC13" s="417"/>
      <c r="AD13" s="417"/>
      <c r="AE13" s="417"/>
    </row>
    <row r="14" spans="1:32">
      <c r="A14" s="417"/>
      <c r="B14" s="487" t="s">
        <v>1813</v>
      </c>
      <c r="C14" s="488">
        <f ca="1">(C8+C7)/C7-1</f>
        <v>0.90697674418604657</v>
      </c>
      <c r="D14" s="489">
        <f ca="1">(D8+D7)/D7-1</f>
        <v>0.48571428571428577</v>
      </c>
      <c r="E14" s="490"/>
      <c r="F14" s="491">
        <f ca="1">(F8+F7)/F7-1</f>
        <v>0.74193548387096775</v>
      </c>
      <c r="G14" s="417"/>
      <c r="H14" s="492">
        <f t="shared" ref="H14:AB14" ca="1" si="7">(H8+H7)/H7-1</f>
        <v>6.9767441860465018E-2</v>
      </c>
      <c r="I14" s="488">
        <f t="shared" ca="1" si="7"/>
        <v>0</v>
      </c>
      <c r="J14" s="488">
        <f t="shared" ca="1" si="7"/>
        <v>9.5238095238095344E-2</v>
      </c>
      <c r="K14" s="488">
        <f t="shared" ca="1" si="7"/>
        <v>4.4444444444444509E-2</v>
      </c>
      <c r="L14" s="488">
        <f t="shared" ca="1" si="7"/>
        <v>4.2553191489361764E-2</v>
      </c>
      <c r="M14" s="488">
        <f t="shared" ca="1" si="7"/>
        <v>0.125</v>
      </c>
      <c r="N14" s="488">
        <f t="shared" ca="1" si="7"/>
        <v>7.547169811320753E-2</v>
      </c>
      <c r="O14" s="488">
        <f t="shared" ca="1" si="7"/>
        <v>8.7719298245614086E-2</v>
      </c>
      <c r="P14" s="488">
        <f t="shared" ca="1" si="7"/>
        <v>1.6393442622950838E-2</v>
      </c>
      <c r="Q14" s="492">
        <f t="shared" ca="1" si="7"/>
        <v>4.8387096774193505E-2</v>
      </c>
      <c r="R14" s="488">
        <f t="shared" ca="1" si="7"/>
        <v>6.1538461538461542E-2</v>
      </c>
      <c r="S14" s="488">
        <f t="shared" ca="1" si="7"/>
        <v>7.575757575757569E-2</v>
      </c>
      <c r="T14" s="488">
        <f t="shared" ca="1" si="7"/>
        <v>4.2857142857142927E-2</v>
      </c>
      <c r="U14" s="488">
        <f t="shared" ca="1" si="7"/>
        <v>8.3333333333333259E-2</v>
      </c>
      <c r="V14" s="488">
        <f t="shared" ca="1" si="7"/>
        <v>3.8961038961038863E-2</v>
      </c>
      <c r="W14" s="488">
        <f t="shared" ca="1" si="7"/>
        <v>3.7500000000000089E-2</v>
      </c>
      <c r="X14" s="488">
        <f t="shared" ca="1" si="7"/>
        <v>2.4390243902439046E-2</v>
      </c>
      <c r="Y14" s="488">
        <f t="shared" ca="1" si="7"/>
        <v>6.3291139240506222E-2</v>
      </c>
      <c r="Z14" s="488">
        <f t="shared" ca="1" si="7"/>
        <v>4.8192771084337283E-2</v>
      </c>
      <c r="AA14" s="488">
        <f t="shared" ca="1" si="7"/>
        <v>5.8823529411764719E-2</v>
      </c>
      <c r="AB14" s="489">
        <f t="shared" ca="1" si="7"/>
        <v>3.488372093023262E-2</v>
      </c>
      <c r="AC14" s="417"/>
      <c r="AD14" s="417"/>
      <c r="AE14" s="417"/>
    </row>
    <row r="15" spans="1:32">
      <c r="A15" s="417"/>
      <c r="B15" s="493" t="s">
        <v>1812</v>
      </c>
      <c r="C15" s="494">
        <f t="shared" ref="C15:D15" ca="1" si="8">(C9+C12)/C12-1</f>
        <v>-0.21238938053097345</v>
      </c>
      <c r="D15" s="495">
        <f t="shared" ca="1" si="8"/>
        <v>-0.21656050955414008</v>
      </c>
      <c r="E15" s="490"/>
      <c r="F15" s="496">
        <f ca="1">(F9+F12)/F12-1</f>
        <v>-0.28187919463087252</v>
      </c>
      <c r="G15" s="417"/>
      <c r="H15" s="497">
        <f t="shared" ref="H15:AB15" ca="1" si="9">(H9+H12)/H12-1</f>
        <v>-2.2727272727272707E-2</v>
      </c>
      <c r="I15" s="494">
        <f t="shared" ca="1" si="9"/>
        <v>-6.8965517241379337E-2</v>
      </c>
      <c r="J15" s="494">
        <f t="shared" ca="1" si="9"/>
        <v>-2.2988505747126409E-2</v>
      </c>
      <c r="K15" s="494">
        <f t="shared" ca="1" si="9"/>
        <v>0</v>
      </c>
      <c r="L15" s="494">
        <f t="shared" ca="1" si="9"/>
        <v>-2.1052631578947323E-2</v>
      </c>
      <c r="M15" s="494">
        <f t="shared" ca="1" si="9"/>
        <v>-1.980198019801982E-2</v>
      </c>
      <c r="N15" s="494">
        <f t="shared" ca="1" si="9"/>
        <v>0</v>
      </c>
      <c r="O15" s="494">
        <f t="shared" ca="1" si="9"/>
        <v>-1.6949152542372836E-2</v>
      </c>
      <c r="P15" s="494">
        <f t="shared" ca="1" si="9"/>
        <v>0</v>
      </c>
      <c r="Q15" s="497">
        <f t="shared" ca="1" si="9"/>
        <v>0</v>
      </c>
      <c r="R15" s="494">
        <f t="shared" ca="1" si="9"/>
        <v>-4.5801526717557217E-2</v>
      </c>
      <c r="S15" s="494">
        <f t="shared" ca="1" si="9"/>
        <v>-1.4705882352941124E-2</v>
      </c>
      <c r="T15" s="494">
        <f t="shared" ca="1" si="9"/>
        <v>-1.4084507042253502E-2</v>
      </c>
      <c r="U15" s="494">
        <f t="shared" ca="1" si="9"/>
        <v>-1.3422818791946289E-2</v>
      </c>
      <c r="V15" s="494">
        <f t="shared" ca="1" si="9"/>
        <v>0</v>
      </c>
      <c r="W15" s="494">
        <f t="shared" ca="1" si="9"/>
        <v>-1.2345679012345734E-2</v>
      </c>
      <c r="X15" s="494">
        <f t="shared" ca="1" si="9"/>
        <v>-6.2111801242236031E-2</v>
      </c>
      <c r="Y15" s="494">
        <f t="shared" ca="1" si="9"/>
        <v>-1.2345679012345734E-2</v>
      </c>
      <c r="Z15" s="494">
        <f t="shared" ca="1" si="9"/>
        <v>-2.3809523809523836E-2</v>
      </c>
      <c r="AA15" s="494">
        <f t="shared" ca="1" si="9"/>
        <v>-4.6783625730994149E-2</v>
      </c>
      <c r="AB15" s="495">
        <f t="shared" ca="1" si="9"/>
        <v>-2.3121387283236983E-2</v>
      </c>
      <c r="AC15" s="417"/>
      <c r="AD15" s="417"/>
      <c r="AE15" s="417"/>
    </row>
    <row r="16" spans="1:32" ht="3.95" customHeight="1">
      <c r="A16" s="417"/>
      <c r="B16" s="480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</row>
    <row r="17" spans="1:31" ht="24">
      <c r="A17" s="417"/>
      <c r="B17" s="462" t="s">
        <v>1997</v>
      </c>
      <c r="C17" s="463" t="s">
        <v>4</v>
      </c>
      <c r="D17" s="463" t="s">
        <v>1317</v>
      </c>
      <c r="E17" s="464"/>
      <c r="F17" s="463" t="s">
        <v>1527</v>
      </c>
      <c r="G17" s="417"/>
      <c r="H17" s="465">
        <v>45658</v>
      </c>
      <c r="I17" s="465">
        <f t="shared" ref="I17:N17" si="10">EOMONTH(H17,0)+1</f>
        <v>45689</v>
      </c>
      <c r="J17" s="465">
        <f t="shared" si="10"/>
        <v>45717</v>
      </c>
      <c r="K17" s="465">
        <f t="shared" si="10"/>
        <v>45748</v>
      </c>
      <c r="L17" s="465">
        <f t="shared" si="10"/>
        <v>45778</v>
      </c>
      <c r="M17" s="465">
        <f t="shared" si="10"/>
        <v>45809</v>
      </c>
      <c r="N17" s="465">
        <f t="shared" si="10"/>
        <v>45839</v>
      </c>
      <c r="O17" s="465">
        <v>45870</v>
      </c>
      <c r="P17" s="465">
        <f t="shared" ref="P17:AB17" si="11">EOMONTH(O17,0)+1</f>
        <v>45901</v>
      </c>
      <c r="Q17" s="465">
        <f t="shared" si="11"/>
        <v>45931</v>
      </c>
      <c r="R17" s="465">
        <f t="shared" si="11"/>
        <v>45962</v>
      </c>
      <c r="S17" s="465">
        <f t="shared" si="11"/>
        <v>45992</v>
      </c>
      <c r="T17" s="465">
        <f t="shared" si="11"/>
        <v>46023</v>
      </c>
      <c r="U17" s="465">
        <f t="shared" si="11"/>
        <v>46054</v>
      </c>
      <c r="V17" s="465">
        <f t="shared" si="11"/>
        <v>46082</v>
      </c>
      <c r="W17" s="465">
        <f t="shared" si="11"/>
        <v>46113</v>
      </c>
      <c r="X17" s="465">
        <f t="shared" si="11"/>
        <v>46143</v>
      </c>
      <c r="Y17" s="465">
        <f t="shared" si="11"/>
        <v>46174</v>
      </c>
      <c r="Z17" s="465">
        <f t="shared" si="11"/>
        <v>46204</v>
      </c>
      <c r="AA17" s="465">
        <f t="shared" si="11"/>
        <v>46235</v>
      </c>
      <c r="AB17" s="465">
        <f t="shared" si="11"/>
        <v>46266</v>
      </c>
      <c r="AC17" s="466"/>
      <c r="AD17" s="417"/>
      <c r="AE17" s="466"/>
    </row>
    <row r="18" spans="1:31">
      <c r="A18" s="417"/>
      <c r="B18" s="498" t="s">
        <v>490</v>
      </c>
      <c r="C18" s="468"/>
      <c r="D18" s="468"/>
      <c r="E18" s="469"/>
      <c r="F18" s="468"/>
      <c r="G18" s="417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9"/>
      <c r="AD18" s="469"/>
      <c r="AE18" s="469"/>
    </row>
    <row r="19" spans="1:31">
      <c r="A19" s="417"/>
      <c r="B19" s="469" t="s">
        <v>1818</v>
      </c>
      <c r="C19" s="499">
        <f>AVERAGE(('Client Retention'!E7-'Client Retention'!E97),('Client Retention'!E13-'Client Retention'!E103))</f>
        <v>162.5</v>
      </c>
      <c r="D19" s="499">
        <f>AVERAGE(('Client Retention'!F7-'Client Retention'!F97),('Client Retention'!F13-'Client Retention'!F103))</f>
        <v>179.5</v>
      </c>
      <c r="E19" s="469"/>
      <c r="F19" s="499">
        <f>AVERAGE(('Client Retention'!H7-'Client Retention'!H97),('Client Retention'!H13-'Client Retention'!H103))</f>
        <v>178</v>
      </c>
      <c r="G19" s="417"/>
      <c r="H19" s="499">
        <f>AVERAGE(('Client Retention'!J7-'Client Retention'!J97),('Client Retention'!J13-'Client Retention'!J103))</f>
        <v>146</v>
      </c>
      <c r="I19" s="499">
        <f>AVERAGE(('Client Retention'!K7-'Client Retention'!K97),('Client Retention'!K13-'Client Retention'!K103))</f>
        <v>147.5</v>
      </c>
      <c r="J19" s="499">
        <f>AVERAGE(('Client Retention'!L7-'Client Retention'!L97),('Client Retention'!L13-'Client Retention'!L103))</f>
        <v>151</v>
      </c>
      <c r="K19" s="499">
        <f>AVERAGE(('Client Retention'!M7-'Client Retention'!M97),('Client Retention'!M13-'Client Retention'!M103))</f>
        <v>156.5</v>
      </c>
      <c r="L19" s="499">
        <f>AVERAGE(('Client Retention'!N7-'Client Retention'!N97),('Client Retention'!N13-'Client Retention'!N103))</f>
        <v>162</v>
      </c>
      <c r="M19" s="499">
        <f>AVERAGE(('Client Retention'!O7-'Client Retention'!O97),('Client Retention'!O13-'Client Retention'!O103))</f>
        <v>165</v>
      </c>
      <c r="N19" s="499">
        <f>AVERAGE(('Client Retention'!P7-'Client Retention'!P97),('Client Retention'!P13-'Client Retention'!P103))</f>
        <v>167</v>
      </c>
      <c r="O19" s="499">
        <f>AVERAGE(('Client Retention'!Q7-'Client Retention'!Q97),('Client Retention'!Q13-'Client Retention'!Q103))</f>
        <v>172</v>
      </c>
      <c r="P19" s="499">
        <f>AVERAGE(('Client Retention'!R7-'Client Retention'!R97),('Client Retention'!R13-'Client Retention'!R103))</f>
        <v>176</v>
      </c>
      <c r="Q19" s="499">
        <f>AVERAGE(('Client Retention'!S7-'Client Retention'!S97),('Client Retention'!S13-'Client Retention'!S103))</f>
        <v>179.5</v>
      </c>
      <c r="R19" s="499">
        <f>AVERAGE(('Client Retention'!T7-'Client Retention'!T97),('Client Retention'!T13-'Client Retention'!T103))</f>
        <v>181.5</v>
      </c>
      <c r="S19" s="499">
        <f>AVERAGE(('Client Retention'!U7-'Client Retention'!U97),('Client Retention'!U13-'Client Retention'!U103))</f>
        <v>180.5</v>
      </c>
      <c r="T19" s="499">
        <f>AVERAGE(('Client Retention'!V7-'Client Retention'!V97),('Client Retention'!V13-'Client Retention'!V103))</f>
        <v>183</v>
      </c>
      <c r="U19" s="499">
        <f>AVERAGE(('Client Retention'!W7-'Client Retention'!W97),('Client Retention'!W13-'Client Retention'!W103))</f>
        <v>189.5</v>
      </c>
      <c r="V19" s="499">
        <f>AVERAGE(('Client Retention'!X7-'Client Retention'!X97),('Client Retention'!X13-'Client Retention'!X103))</f>
        <v>192.5</v>
      </c>
      <c r="W19" s="499">
        <f>AVERAGE(('Client Retention'!Y7-'Client Retention'!Y97),('Client Retention'!Y13-'Client Retention'!Y103))</f>
        <v>195</v>
      </c>
      <c r="X19" s="499">
        <f>AVERAGE(('Client Retention'!Z7-'Client Retention'!Z97),('Client Retention'!Z13-'Client Retention'!Z103))</f>
        <v>193.5</v>
      </c>
      <c r="Y19" s="499">
        <f>AVERAGE(('Client Retention'!AA7-'Client Retention'!AA97),('Client Retention'!AA13-'Client Retention'!AA103))</f>
        <v>189</v>
      </c>
      <c r="Z19" s="499">
        <f>AVERAGE(('Client Retention'!AB7-'Client Retention'!AB97),('Client Retention'!AB13-'Client Retention'!AB103))</f>
        <v>181.5</v>
      </c>
      <c r="AA19" s="499">
        <f>AVERAGE(('Client Retention'!AC7-'Client Retention'!AC97),('Client Retention'!AC13-'Client Retention'!AC103))</f>
        <v>174.5</v>
      </c>
      <c r="AB19" s="499">
        <f>AVERAGE(('Client Retention'!AD7-'Client Retention'!AD97),('Client Retention'!AD13-'Client Retention'!AD103))</f>
        <v>177</v>
      </c>
      <c r="AC19" s="469"/>
      <c r="AD19" s="469"/>
      <c r="AE19" s="469"/>
    </row>
    <row r="20" spans="1:31" ht="3.95" customHeight="1">
      <c r="A20" s="417"/>
      <c r="B20" s="500"/>
      <c r="C20" s="469"/>
      <c r="D20" s="469"/>
      <c r="E20" s="469"/>
      <c r="F20" s="469"/>
      <c r="G20" s="417"/>
      <c r="H20" s="469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</row>
    <row r="21" spans="1:31">
      <c r="A21" s="417"/>
      <c r="B21" s="417" t="s">
        <v>1313</v>
      </c>
      <c r="C21" s="470">
        <f ca="1">+C24-C22-C23</f>
        <v>13</v>
      </c>
      <c r="D21" s="470">
        <f ca="1">+D24-D22-D23</f>
        <v>31</v>
      </c>
      <c r="E21" s="417"/>
      <c r="F21" s="470">
        <f ca="1">+F24-F22-F23</f>
        <v>26</v>
      </c>
      <c r="G21" s="417"/>
      <c r="H21" s="470">
        <f t="shared" ref="H21:AB21" ca="1" si="12">+H24-H22-H23</f>
        <v>13</v>
      </c>
      <c r="I21" s="470">
        <f t="shared" ca="1" si="12"/>
        <v>13</v>
      </c>
      <c r="J21" s="470">
        <f t="shared" ca="1" si="12"/>
        <v>13</v>
      </c>
      <c r="K21" s="470">
        <f t="shared" ca="1" si="12"/>
        <v>14</v>
      </c>
      <c r="L21" s="470">
        <f t="shared" ca="1" si="12"/>
        <v>15</v>
      </c>
      <c r="M21" s="470">
        <f t="shared" ca="1" si="12"/>
        <v>15</v>
      </c>
      <c r="N21" s="470">
        <f t="shared" ca="1" si="12"/>
        <v>20</v>
      </c>
      <c r="O21" s="470">
        <f t="shared" ca="1" si="12"/>
        <v>24</v>
      </c>
      <c r="P21" s="470">
        <f t="shared" ca="1" si="12"/>
        <v>26</v>
      </c>
      <c r="Q21" s="470">
        <f t="shared" ca="1" si="12"/>
        <v>26</v>
      </c>
      <c r="R21" s="470">
        <f t="shared" ca="1" si="12"/>
        <v>28</v>
      </c>
      <c r="S21" s="470">
        <f t="shared" ca="1" si="12"/>
        <v>30</v>
      </c>
      <c r="T21" s="470">
        <f t="shared" ca="1" si="12"/>
        <v>31</v>
      </c>
      <c r="U21" s="470">
        <f t="shared" ca="1" si="12"/>
        <v>32</v>
      </c>
      <c r="V21" s="470">
        <f t="shared" ca="1" si="12"/>
        <v>32</v>
      </c>
      <c r="W21" s="470">
        <f t="shared" ca="1" si="12"/>
        <v>32</v>
      </c>
      <c r="X21" s="470">
        <f t="shared" ca="1" si="12"/>
        <v>34</v>
      </c>
      <c r="Y21" s="470">
        <f t="shared" ca="1" si="12"/>
        <v>33</v>
      </c>
      <c r="Z21" s="470">
        <f t="shared" ca="1" si="12"/>
        <v>37</v>
      </c>
      <c r="AA21" s="470">
        <f t="shared" ca="1" si="12"/>
        <v>39</v>
      </c>
      <c r="AB21" s="470">
        <f t="shared" ca="1" si="12"/>
        <v>38</v>
      </c>
      <c r="AC21" s="417"/>
      <c r="AD21" s="417"/>
      <c r="AE21" s="417"/>
    </row>
    <row r="22" spans="1:31">
      <c r="A22" s="417"/>
      <c r="B22" s="471" t="s">
        <v>1814</v>
      </c>
      <c r="C22" s="433">
        <f ca="1">SUM(H22:S22)</f>
        <v>21</v>
      </c>
      <c r="D22" s="433">
        <f ca="1">SUM(T22:AB22)</f>
        <v>15</v>
      </c>
      <c r="E22" s="417"/>
      <c r="F22" s="433">
        <f ca="1">SUM(Q22:AB22)</f>
        <v>21</v>
      </c>
      <c r="G22" s="417"/>
      <c r="H22" s="472">
        <f>COUNTIFS('Combined Employee Worksheet'!$I:$I,"&gt;="&amp;'Adj. Employee Retention'!H$5,'Combined Employee Worksheet'!$I:$I,"&lt;="&amp;'Adj. Employee Retention'!H$1,'Combined Employee Worksheet'!$D:$D,'Adj. Employee Retention'!$B18)-COUNTIFS('Combined Employee Worksheet'!$I:$I,"&gt;="&amp;'Adj. Employee Retention'!H$5,'Combined Employee Worksheet'!$I:$I,"&lt;="&amp;'Adj. Employee Retention'!H$1,'Combined Employee Worksheet'!$D:$D,'Adj. Employee Retention'!$B18,'Combined Employee Worksheet'!$K:$K,"&lt;="&amp;$C$138,'Combined Employee Worksheet'!$J:$J,"&lt;&gt;")</f>
        <v>0</v>
      </c>
      <c r="I22" s="472">
        <f ca="1">COUNTIFS('Combined Employee Worksheet'!$I:$I,"&gt;="&amp;'Adj. Employee Retention'!I$5,'Combined Employee Worksheet'!$I:$I,"&lt;="&amp;'Adj. Employee Retention'!I$1,'Combined Employee Worksheet'!$D:$D,'Adj. Employee Retention'!$B18)-COUNTIFS('Combined Employee Worksheet'!$I:$I,"&gt;="&amp;'Adj. Employee Retention'!I$5,'Combined Employee Worksheet'!$I:$I,"&lt;="&amp;'Adj. Employee Retention'!I$1,'Combined Employee Worksheet'!$D:$D,'Adj. Employee Retention'!$B18,'Combined Employee Worksheet'!$K:$K,"&lt;="&amp;$C$138,'Combined Employee Worksheet'!$J:$J,"&lt;&gt;")</f>
        <v>0</v>
      </c>
      <c r="J22" s="472">
        <f ca="1">COUNTIFS('Combined Employee Worksheet'!$I:$I,"&gt;="&amp;'Adj. Employee Retention'!J$5,'Combined Employee Worksheet'!$I:$I,"&lt;="&amp;'Adj. Employee Retention'!J$1,'Combined Employee Worksheet'!$D:$D,'Adj. Employee Retention'!$B18)-COUNTIFS('Combined Employee Worksheet'!$I:$I,"&gt;="&amp;'Adj. Employee Retention'!J$5,'Combined Employee Worksheet'!$I:$I,"&lt;="&amp;'Adj. Employee Retention'!J$1,'Combined Employee Worksheet'!$D:$D,'Adj. Employee Retention'!$B18,'Combined Employee Worksheet'!$K:$K,"&lt;="&amp;$C$138,'Combined Employee Worksheet'!$J:$J,"&lt;&gt;")</f>
        <v>1</v>
      </c>
      <c r="K22" s="472">
        <f ca="1">COUNTIFS('Combined Employee Worksheet'!$I:$I,"&gt;="&amp;'Adj. Employee Retention'!K$5,'Combined Employee Worksheet'!$I:$I,"&lt;="&amp;'Adj. Employee Retention'!K$1,'Combined Employee Worksheet'!$D:$D,'Adj. Employee Retention'!$B18)-COUNTIFS('Combined Employee Worksheet'!$I:$I,"&gt;="&amp;'Adj. Employee Retention'!K$5,'Combined Employee Worksheet'!$I:$I,"&lt;="&amp;'Adj. Employee Retention'!K$1,'Combined Employee Worksheet'!$D:$D,'Adj. Employee Retention'!$B18,'Combined Employee Worksheet'!$K:$K,"&lt;="&amp;$C$138,'Combined Employee Worksheet'!$J:$J,"&lt;&gt;")</f>
        <v>1</v>
      </c>
      <c r="L22" s="472">
        <f ca="1">COUNTIFS('Combined Employee Worksheet'!$I:$I,"&gt;="&amp;'Adj. Employee Retention'!L$5,'Combined Employee Worksheet'!$I:$I,"&lt;="&amp;'Adj. Employee Retention'!L$1,'Combined Employee Worksheet'!$D:$D,'Adj. Employee Retention'!$B18)-COUNTIFS('Combined Employee Worksheet'!$I:$I,"&gt;="&amp;'Adj. Employee Retention'!L$5,'Combined Employee Worksheet'!$I:$I,"&lt;="&amp;'Adj. Employee Retention'!L$1,'Combined Employee Worksheet'!$D:$D,'Adj. Employee Retention'!$B18,'Combined Employee Worksheet'!$K:$K,"&lt;="&amp;$C$138,'Combined Employee Worksheet'!$J:$J,"&lt;&gt;")</f>
        <v>1</v>
      </c>
      <c r="M22" s="472">
        <f ca="1">COUNTIFS('Combined Employee Worksheet'!$I:$I,"&gt;="&amp;'Adj. Employee Retention'!M$5,'Combined Employee Worksheet'!$I:$I,"&lt;="&amp;'Adj. Employee Retention'!M$1,'Combined Employee Worksheet'!$D:$D,'Adj. Employee Retention'!$B18)-COUNTIFS('Combined Employee Worksheet'!$I:$I,"&gt;="&amp;'Adj. Employee Retention'!M$5,'Combined Employee Worksheet'!$I:$I,"&lt;="&amp;'Adj. Employee Retention'!M$1,'Combined Employee Worksheet'!$D:$D,'Adj. Employee Retention'!$B18,'Combined Employee Worksheet'!$K:$K,"&lt;="&amp;$C$138,'Combined Employee Worksheet'!$J:$J,"&lt;&gt;")</f>
        <v>5</v>
      </c>
      <c r="N22" s="472">
        <f ca="1">COUNTIFS('Combined Employee Worksheet'!$I:$I,"&gt;="&amp;'Adj. Employee Retention'!N$5,'Combined Employee Worksheet'!$I:$I,"&lt;="&amp;'Adj. Employee Retention'!N$1,'Combined Employee Worksheet'!$D:$D,'Adj. Employee Retention'!$B18)-COUNTIFS('Combined Employee Worksheet'!$I:$I,"&gt;="&amp;'Adj. Employee Retention'!N$5,'Combined Employee Worksheet'!$I:$I,"&lt;="&amp;'Adj. Employee Retention'!N$1,'Combined Employee Worksheet'!$D:$D,'Adj. Employee Retention'!$B18,'Combined Employee Worksheet'!$K:$K,"&lt;="&amp;$C$138,'Combined Employee Worksheet'!$J:$J,"&lt;&gt;")</f>
        <v>4</v>
      </c>
      <c r="O22" s="472">
        <f ca="1">COUNTIFS('Combined Employee Worksheet'!$I:$I,"&gt;="&amp;'Adj. Employee Retention'!O$5,'Combined Employee Worksheet'!$I:$I,"&lt;="&amp;'Adj. Employee Retention'!O$1,'Combined Employee Worksheet'!$D:$D,'Adj. Employee Retention'!$B18)-COUNTIFS('Combined Employee Worksheet'!$I:$I,"&gt;="&amp;'Adj. Employee Retention'!O$5,'Combined Employee Worksheet'!$I:$I,"&lt;="&amp;'Adj. Employee Retention'!O$1,'Combined Employee Worksheet'!$D:$D,'Adj. Employee Retention'!$B18,'Combined Employee Worksheet'!$K:$K,"&lt;="&amp;$C$138,'Combined Employee Worksheet'!$J:$J,"&lt;&gt;")</f>
        <v>3</v>
      </c>
      <c r="P22" s="472">
        <f ca="1">COUNTIFS('Combined Employee Worksheet'!$I:$I,"&gt;="&amp;'Adj. Employee Retention'!P$5,'Combined Employee Worksheet'!$I:$I,"&lt;="&amp;'Adj. Employee Retention'!P$1,'Combined Employee Worksheet'!$D:$D,'Adj. Employee Retention'!$B18)-COUNTIFS('Combined Employee Worksheet'!$I:$I,"&gt;="&amp;'Adj. Employee Retention'!P$5,'Combined Employee Worksheet'!$I:$I,"&lt;="&amp;'Adj. Employee Retention'!P$1,'Combined Employee Worksheet'!$D:$D,'Adj. Employee Retention'!$B18,'Combined Employee Worksheet'!$K:$K,"&lt;="&amp;$C$138,'Combined Employee Worksheet'!$J:$J,"&lt;&gt;")</f>
        <v>0</v>
      </c>
      <c r="Q22" s="472">
        <f ca="1">COUNTIFS('Combined Employee Worksheet'!$I:$I,"&gt;="&amp;'Adj. Employee Retention'!Q$5,'Combined Employee Worksheet'!$I:$I,"&lt;="&amp;'Adj. Employee Retention'!Q$1,'Combined Employee Worksheet'!$D:$D,'Adj. Employee Retention'!$B18)-COUNTIFS('Combined Employee Worksheet'!$I:$I,"&gt;="&amp;'Adj. Employee Retention'!Q$5,'Combined Employee Worksheet'!$I:$I,"&lt;="&amp;'Adj. Employee Retention'!Q$1,'Combined Employee Worksheet'!$D:$D,'Adj. Employee Retention'!$B18,'Combined Employee Worksheet'!$K:$K,"&lt;="&amp;$C$138,'Combined Employee Worksheet'!$J:$J,"&lt;&gt;")</f>
        <v>2</v>
      </c>
      <c r="R22" s="472">
        <f ca="1">COUNTIFS('Combined Employee Worksheet'!$I:$I,"&gt;="&amp;'Adj. Employee Retention'!R$5,'Combined Employee Worksheet'!$I:$I,"&lt;="&amp;'Adj. Employee Retention'!R$1,'Combined Employee Worksheet'!$D:$D,'Adj. Employee Retention'!$B18)-COUNTIFS('Combined Employee Worksheet'!$I:$I,"&gt;="&amp;'Adj. Employee Retention'!R$5,'Combined Employee Worksheet'!$I:$I,"&lt;="&amp;'Adj. Employee Retention'!R$1,'Combined Employee Worksheet'!$D:$D,'Adj. Employee Retention'!$B18,'Combined Employee Worksheet'!$K:$K,"&lt;="&amp;$C$138,'Combined Employee Worksheet'!$J:$J,"&lt;&gt;")</f>
        <v>3</v>
      </c>
      <c r="S22" s="472">
        <f ca="1">COUNTIFS('Combined Employee Worksheet'!$I:$I,"&gt;="&amp;'Adj. Employee Retention'!S$5,'Combined Employee Worksheet'!$I:$I,"&lt;="&amp;'Adj. Employee Retention'!S$1,'Combined Employee Worksheet'!$D:$D,'Adj. Employee Retention'!$B18)-COUNTIFS('Combined Employee Worksheet'!$I:$I,"&gt;="&amp;'Adj. Employee Retention'!S$5,'Combined Employee Worksheet'!$I:$I,"&lt;="&amp;'Adj. Employee Retention'!S$1,'Combined Employee Worksheet'!$D:$D,'Adj. Employee Retention'!$B18,'Combined Employee Worksheet'!$K:$K,"&lt;="&amp;$C$138,'Combined Employee Worksheet'!$J:$J,"&lt;&gt;")</f>
        <v>1</v>
      </c>
      <c r="T22" s="472">
        <f ca="1">COUNTIFS('Combined Employee Worksheet'!$I:$I,"&gt;="&amp;'Adj. Employee Retention'!T$5,'Combined Employee Worksheet'!$I:$I,"&lt;="&amp;'Adj. Employee Retention'!T$1,'Combined Employee Worksheet'!$D:$D,'Adj. Employee Retention'!$B18)-COUNTIFS('Combined Employee Worksheet'!$I:$I,"&gt;="&amp;'Adj. Employee Retention'!T$5,'Combined Employee Worksheet'!$I:$I,"&lt;="&amp;'Adj. Employee Retention'!T$1,'Combined Employee Worksheet'!$D:$D,'Adj. Employee Retention'!$B18,'Combined Employee Worksheet'!$K:$K,"&lt;="&amp;$C$138,'Combined Employee Worksheet'!$J:$J,"&lt;&gt;")</f>
        <v>1</v>
      </c>
      <c r="U22" s="472">
        <f>COUNTIFS('Combined Employee Worksheet'!$I:$I,"&gt;="&amp;'Adj. Employee Retention'!U$5,'Combined Employee Worksheet'!$I:$I,"&lt;="&amp;'Adj. Employee Retention'!U$1,'Combined Employee Worksheet'!$D:$D,'Adj. Employee Retention'!$B18)-COUNTIFS('Combined Employee Worksheet'!$I:$I,"&gt;="&amp;'Adj. Employee Retention'!U$5,'Combined Employee Worksheet'!$I:$I,"&lt;="&amp;'Adj. Employee Retention'!U$1,'Combined Employee Worksheet'!$D:$D,'Adj. Employee Retention'!$B18,'Combined Employee Worksheet'!$K:$K,"&lt;="&amp;$C$138,'Combined Employee Worksheet'!$J:$J,"&lt;&gt;")</f>
        <v>0</v>
      </c>
      <c r="V22" s="472">
        <f>COUNTIFS('Combined Employee Worksheet'!$I:$I,"&gt;="&amp;'Adj. Employee Retention'!V$5,'Combined Employee Worksheet'!$I:$I,"&lt;="&amp;'Adj. Employee Retention'!V$1,'Combined Employee Worksheet'!$D:$D,'Adj. Employee Retention'!$B18)-COUNTIFS('Combined Employee Worksheet'!$I:$I,"&gt;="&amp;'Adj. Employee Retention'!V$5,'Combined Employee Worksheet'!$I:$I,"&lt;="&amp;'Adj. Employee Retention'!V$1,'Combined Employee Worksheet'!$D:$D,'Adj. Employee Retention'!$B18,'Combined Employee Worksheet'!$K:$K,"&lt;="&amp;$C$138,'Combined Employee Worksheet'!$J:$J,"&lt;&gt;")</f>
        <v>0</v>
      </c>
      <c r="W22" s="472">
        <f ca="1">COUNTIFS('Combined Employee Worksheet'!$I:$I,"&gt;="&amp;'Adj. Employee Retention'!W$5,'Combined Employee Worksheet'!$I:$I,"&lt;="&amp;'Adj. Employee Retention'!W$1,'Combined Employee Worksheet'!$D:$D,'Adj. Employee Retention'!$B18)-COUNTIFS('Combined Employee Worksheet'!$I:$I,"&gt;="&amp;'Adj. Employee Retention'!W$5,'Combined Employee Worksheet'!$I:$I,"&lt;="&amp;'Adj. Employee Retention'!W$1,'Combined Employee Worksheet'!$D:$D,'Adj. Employee Retention'!$B18,'Combined Employee Worksheet'!$K:$K,"&lt;="&amp;$C$138,'Combined Employee Worksheet'!$J:$J,"&lt;&gt;")</f>
        <v>2</v>
      </c>
      <c r="X22" s="472">
        <f ca="1">COUNTIFS('Combined Employee Worksheet'!$I:$I,"&gt;="&amp;'Adj. Employee Retention'!X$5,'Combined Employee Worksheet'!$I:$I,"&lt;="&amp;'Adj. Employee Retention'!X$1,'Combined Employee Worksheet'!$D:$D,'Adj. Employee Retention'!$B18)-COUNTIFS('Combined Employee Worksheet'!$I:$I,"&gt;="&amp;'Adj. Employee Retention'!X$5,'Combined Employee Worksheet'!$I:$I,"&lt;="&amp;'Adj. Employee Retention'!X$1,'Combined Employee Worksheet'!$D:$D,'Adj. Employee Retention'!$B18,'Combined Employee Worksheet'!$K:$K,"&lt;="&amp;$C$138,'Combined Employee Worksheet'!$J:$J,"&lt;&gt;")</f>
        <v>1</v>
      </c>
      <c r="Y22" s="472">
        <f ca="1">COUNTIFS('Combined Employee Worksheet'!$I:$I,"&gt;="&amp;'Adj. Employee Retention'!Y$5,'Combined Employee Worksheet'!$I:$I,"&lt;="&amp;'Adj. Employee Retention'!Y$1,'Combined Employee Worksheet'!$D:$D,'Adj. Employee Retention'!$B18)-COUNTIFS('Combined Employee Worksheet'!$I:$I,"&gt;="&amp;'Adj. Employee Retention'!Y$5,'Combined Employee Worksheet'!$I:$I,"&lt;="&amp;'Adj. Employee Retention'!Y$1,'Combined Employee Worksheet'!$D:$D,'Adj. Employee Retention'!$B18,'Combined Employee Worksheet'!$K:$K,"&lt;="&amp;$C$138,'Combined Employee Worksheet'!$J:$J,"&lt;&gt;")</f>
        <v>5</v>
      </c>
      <c r="Z22" s="472">
        <f ca="1">COUNTIFS('Combined Employee Worksheet'!$I:$I,"&gt;="&amp;'Adj. Employee Retention'!Z$5,'Combined Employee Worksheet'!$I:$I,"&lt;="&amp;'Adj. Employee Retention'!Z$1,'Combined Employee Worksheet'!$D:$D,'Adj. Employee Retention'!$B18)-COUNTIFS('Combined Employee Worksheet'!$I:$I,"&gt;="&amp;'Adj. Employee Retention'!Z$5,'Combined Employee Worksheet'!$I:$I,"&lt;="&amp;'Adj. Employee Retention'!Z$1,'Combined Employee Worksheet'!$D:$D,'Adj. Employee Retention'!$B18,'Combined Employee Worksheet'!$K:$K,"&lt;="&amp;$C$138,'Combined Employee Worksheet'!$J:$J,"&lt;&gt;")</f>
        <v>2</v>
      </c>
      <c r="AA22" s="472">
        <f ca="1">COUNTIFS('Combined Employee Worksheet'!$I:$I,"&gt;="&amp;'Adj. Employee Retention'!AA$5,'Combined Employee Worksheet'!$I:$I,"&lt;="&amp;'Adj. Employee Retention'!AA$1,'Combined Employee Worksheet'!$D:$D,'Adj. Employee Retention'!$B18)-COUNTIFS('Combined Employee Worksheet'!$I:$I,"&gt;="&amp;'Adj. Employee Retention'!AA$5,'Combined Employee Worksheet'!$I:$I,"&lt;="&amp;'Adj. Employee Retention'!AA$1,'Combined Employee Worksheet'!$D:$D,'Adj. Employee Retention'!$B18,'Combined Employee Worksheet'!$K:$K,"&lt;="&amp;$C$138,'Combined Employee Worksheet'!$J:$J,"&lt;&gt;")</f>
        <v>2</v>
      </c>
      <c r="AB22" s="472">
        <f ca="1">COUNTIFS('Combined Employee Worksheet'!$I:$I,"&gt;="&amp;'Adj. Employee Retention'!AB$5,'Combined Employee Worksheet'!$I:$I,"&lt;="&amp;'Adj. Employee Retention'!AB$1,'Combined Employee Worksheet'!$D:$D,'Adj. Employee Retention'!$B18)-COUNTIFS('Combined Employee Worksheet'!$I:$I,"&gt;="&amp;'Adj. Employee Retention'!AB$5,'Combined Employee Worksheet'!$I:$I,"&lt;="&amp;'Adj. Employee Retention'!AB$1,'Combined Employee Worksheet'!$D:$D,'Adj. Employee Retention'!$B18,'Combined Employee Worksheet'!$K:$K,"&lt;="&amp;$C$138,'Combined Employee Worksheet'!$J:$J,"&lt;&gt;")</f>
        <v>2</v>
      </c>
      <c r="AC22" s="417"/>
      <c r="AD22" s="417"/>
      <c r="AE22" s="417"/>
    </row>
    <row r="23" spans="1:31" ht="12" customHeight="1">
      <c r="A23" s="417"/>
      <c r="B23" s="471" t="s">
        <v>1815</v>
      </c>
      <c r="C23" s="433">
        <f ca="1">SUM(H23:S23)</f>
        <v>-3</v>
      </c>
      <c r="D23" s="433">
        <f ca="1">SUM(T23:AB23)</f>
        <v>-6</v>
      </c>
      <c r="E23" s="417"/>
      <c r="F23" s="433">
        <f ca="1">SUM(Q23:AB23)</f>
        <v>-7</v>
      </c>
      <c r="G23" s="417"/>
      <c r="H23" s="472">
        <f>-COUNTIFS('Combined Employee Worksheet'!$J:$J,"&gt;="&amp;'Adj. Employee Retention'!H$5,'Combined Employee Worksheet'!$J:$J,"&lt;="&amp;'Adj. Employee Retention'!H$1,'Combined Employee Worksheet'!$D:$D,'Adj. Employee Retention'!$B18,'Combined Employee Worksheet'!$K:$K,"&gt;"&amp;$C$138)</f>
        <v>0</v>
      </c>
      <c r="I23" s="472">
        <f ca="1">-COUNTIFS('Combined Employee Worksheet'!$J:$J,"&gt;="&amp;'Adj. Employee Retention'!I$5,'Combined Employee Worksheet'!$J:$J,"&lt;="&amp;'Adj. Employee Retention'!I$1,'Combined Employee Worksheet'!$D:$D,'Adj. Employee Retention'!$B18,'Combined Employee Worksheet'!$K:$K,"&gt;"&amp;$C$138)</f>
        <v>0</v>
      </c>
      <c r="J23" s="472">
        <f ca="1">-COUNTIFS('Combined Employee Worksheet'!$J:$J,"&gt;="&amp;'Adj. Employee Retention'!J$5,'Combined Employee Worksheet'!$J:$J,"&lt;="&amp;'Adj. Employee Retention'!J$1,'Combined Employee Worksheet'!$D:$D,'Adj. Employee Retention'!$B18,'Combined Employee Worksheet'!$K:$K,"&gt;"&amp;$C$138)</f>
        <v>0</v>
      </c>
      <c r="K23" s="472">
        <f>-COUNTIFS('Combined Employee Worksheet'!$J:$J,"&gt;="&amp;'Adj. Employee Retention'!K$5,'Combined Employee Worksheet'!$J:$J,"&lt;="&amp;'Adj. Employee Retention'!K$1,'Combined Employee Worksheet'!$D:$D,'Adj. Employee Retention'!$B18,'Combined Employee Worksheet'!$K:$K,"&gt;"&amp;$C$138)</f>
        <v>0</v>
      </c>
      <c r="L23" s="472">
        <f ca="1">-COUNTIFS('Combined Employee Worksheet'!$J:$J,"&gt;="&amp;'Adj. Employee Retention'!L$5,'Combined Employee Worksheet'!$J:$J,"&lt;="&amp;'Adj. Employee Retention'!L$1,'Combined Employee Worksheet'!$D:$D,'Adj. Employee Retention'!$B18,'Combined Employee Worksheet'!$K:$K,"&gt;"&amp;$C$138)</f>
        <v>-1</v>
      </c>
      <c r="M23" s="472">
        <f ca="1">-COUNTIFS('Combined Employee Worksheet'!$J:$J,"&gt;="&amp;'Adj. Employee Retention'!M$5,'Combined Employee Worksheet'!$J:$J,"&lt;="&amp;'Adj. Employee Retention'!M$1,'Combined Employee Worksheet'!$D:$D,'Adj. Employee Retention'!$B18,'Combined Employee Worksheet'!$K:$K,"&gt;"&amp;$C$138)</f>
        <v>0</v>
      </c>
      <c r="N23" s="472">
        <f>-COUNTIFS('Combined Employee Worksheet'!$J:$J,"&gt;="&amp;'Adj. Employee Retention'!N$5,'Combined Employee Worksheet'!$J:$J,"&lt;="&amp;'Adj. Employee Retention'!N$1,'Combined Employee Worksheet'!$D:$D,'Adj. Employee Retention'!$B18,'Combined Employee Worksheet'!$K:$K,"&gt;"&amp;$C$138)</f>
        <v>0</v>
      </c>
      <c r="O23" s="472">
        <f ca="1">-COUNTIFS('Combined Employee Worksheet'!$J:$J,"&gt;="&amp;'Adj. Employee Retention'!O$5,'Combined Employee Worksheet'!$J:$J,"&lt;="&amp;'Adj. Employee Retention'!O$1,'Combined Employee Worksheet'!$D:$D,'Adj. Employee Retention'!$B18,'Combined Employee Worksheet'!$K:$K,"&gt;"&amp;$C$138)</f>
        <v>-1</v>
      </c>
      <c r="P23" s="472">
        <f>-COUNTIFS('Combined Employee Worksheet'!$J:$J,"&gt;="&amp;'Adj. Employee Retention'!P$5,'Combined Employee Worksheet'!$J:$J,"&lt;="&amp;'Adj. Employee Retention'!P$1,'Combined Employee Worksheet'!$D:$D,'Adj. Employee Retention'!$B18,'Combined Employee Worksheet'!$K:$K,"&gt;"&amp;$C$138)</f>
        <v>0</v>
      </c>
      <c r="Q23" s="472">
        <f>-COUNTIFS('Combined Employee Worksheet'!$J:$J,"&gt;="&amp;'Adj. Employee Retention'!Q$5,'Combined Employee Worksheet'!$J:$J,"&lt;="&amp;'Adj. Employee Retention'!Q$1,'Combined Employee Worksheet'!$D:$D,'Adj. Employee Retention'!$B18,'Combined Employee Worksheet'!$K:$K,"&gt;"&amp;$C$138)</f>
        <v>0</v>
      </c>
      <c r="R23" s="472">
        <f ca="1">-COUNTIFS('Combined Employee Worksheet'!$J:$J,"&gt;="&amp;'Adj. Employee Retention'!R$5,'Combined Employee Worksheet'!$J:$J,"&lt;="&amp;'Adj. Employee Retention'!R$1,'Combined Employee Worksheet'!$D:$D,'Adj. Employee Retention'!$B18,'Combined Employee Worksheet'!$K:$K,"&gt;"&amp;$C$138)</f>
        <v>-1</v>
      </c>
      <c r="S23" s="472">
        <f>-COUNTIFS('Combined Employee Worksheet'!$J:$J,"&gt;="&amp;'Adj. Employee Retention'!S$5,'Combined Employee Worksheet'!$J:$J,"&lt;="&amp;'Adj. Employee Retention'!S$1,'Combined Employee Worksheet'!$D:$D,'Adj. Employee Retention'!$B18,'Combined Employee Worksheet'!$K:$K,"&gt;"&amp;$C$138)</f>
        <v>0</v>
      </c>
      <c r="T23" s="472">
        <f>-COUNTIFS('Combined Employee Worksheet'!$J:$J,"&gt;="&amp;'Adj. Employee Retention'!T$5,'Combined Employee Worksheet'!$J:$J,"&lt;="&amp;'Adj. Employee Retention'!T$1,'Combined Employee Worksheet'!$D:$D,'Adj. Employee Retention'!$B18,'Combined Employee Worksheet'!$K:$K,"&gt;"&amp;$C$138)</f>
        <v>0</v>
      </c>
      <c r="U23" s="472">
        <f>-COUNTIFS('Combined Employee Worksheet'!$J:$J,"&gt;="&amp;'Adj. Employee Retention'!U$5,'Combined Employee Worksheet'!$J:$J,"&lt;="&amp;'Adj. Employee Retention'!U$1,'Combined Employee Worksheet'!$D:$D,'Adj. Employee Retention'!$B18,'Combined Employee Worksheet'!$K:$K,"&gt;"&amp;$C$138)</f>
        <v>0</v>
      </c>
      <c r="V23" s="472">
        <f>-COUNTIFS('Combined Employee Worksheet'!$J:$J,"&gt;="&amp;'Adj. Employee Retention'!V$5,'Combined Employee Worksheet'!$J:$J,"&lt;="&amp;'Adj. Employee Retention'!V$1,'Combined Employee Worksheet'!$D:$D,'Adj. Employee Retention'!$B18,'Combined Employee Worksheet'!$K:$K,"&gt;"&amp;$C$138)</f>
        <v>0</v>
      </c>
      <c r="W23" s="472">
        <f>-COUNTIFS('Combined Employee Worksheet'!$J:$J,"&gt;="&amp;'Adj. Employee Retention'!W$5,'Combined Employee Worksheet'!$J:$J,"&lt;="&amp;'Adj. Employee Retention'!W$1,'Combined Employee Worksheet'!$D:$D,'Adj. Employee Retention'!$B18,'Combined Employee Worksheet'!$K:$K,"&gt;"&amp;$C$138)</f>
        <v>0</v>
      </c>
      <c r="X23" s="472">
        <f ca="1">-COUNTIFS('Combined Employee Worksheet'!$J:$J,"&gt;="&amp;'Adj. Employee Retention'!X$5,'Combined Employee Worksheet'!$J:$J,"&lt;="&amp;'Adj. Employee Retention'!X$1,'Combined Employee Worksheet'!$D:$D,'Adj. Employee Retention'!$B18,'Combined Employee Worksheet'!$K:$K,"&gt;"&amp;$C$138)</f>
        <v>-2</v>
      </c>
      <c r="Y23" s="472">
        <f ca="1">-COUNTIFS('Combined Employee Worksheet'!$J:$J,"&gt;="&amp;'Adj. Employee Retention'!Y$5,'Combined Employee Worksheet'!$J:$J,"&lt;="&amp;'Adj. Employee Retention'!Y$1,'Combined Employee Worksheet'!$D:$D,'Adj. Employee Retention'!$B18,'Combined Employee Worksheet'!$K:$K,"&gt;"&amp;$C$138)</f>
        <v>-1</v>
      </c>
      <c r="Z23" s="472">
        <f ca="1">-COUNTIFS('Combined Employee Worksheet'!$J:$J,"&gt;="&amp;'Adj. Employee Retention'!Z$5,'Combined Employee Worksheet'!$J:$J,"&lt;="&amp;'Adj. Employee Retention'!Z$1,'Combined Employee Worksheet'!$D:$D,'Adj. Employee Retention'!$B18,'Combined Employee Worksheet'!$K:$K,"&gt;"&amp;$C$138)</f>
        <v>0</v>
      </c>
      <c r="AA23" s="472">
        <f ca="1">-COUNTIFS('Combined Employee Worksheet'!$J:$J,"&gt;="&amp;'Adj. Employee Retention'!AA$5,'Combined Employee Worksheet'!$J:$J,"&lt;="&amp;'Adj. Employee Retention'!AA$1,'Combined Employee Worksheet'!$D:$D,'Adj. Employee Retention'!$B18,'Combined Employee Worksheet'!$K:$K,"&gt;"&amp;$C$138)</f>
        <v>-3</v>
      </c>
      <c r="AB23" s="472">
        <f ca="1">-COUNTIFS('Combined Employee Worksheet'!$J:$J,"&gt;="&amp;'Adj. Employee Retention'!AB$5,'Combined Employee Worksheet'!$J:$J,"&lt;="&amp;'Adj. Employee Retention'!AB$1,'Combined Employee Worksheet'!$D:$D,'Adj. Employee Retention'!$B18,'Combined Employee Worksheet'!$K:$K,"&gt;"&amp;$C$138)</f>
        <v>0</v>
      </c>
      <c r="AC23" s="417"/>
      <c r="AD23" s="417"/>
      <c r="AE23" s="417"/>
    </row>
    <row r="24" spans="1:31" ht="12" customHeight="1">
      <c r="A24" s="417"/>
      <c r="B24" s="474" t="s">
        <v>1315</v>
      </c>
      <c r="C24" s="475">
        <f ca="1">+D21</f>
        <v>31</v>
      </c>
      <c r="D24" s="476">
        <f>+$AB24</f>
        <v>40</v>
      </c>
      <c r="E24" s="417"/>
      <c r="F24" s="477">
        <f>+$AB24</f>
        <v>40</v>
      </c>
      <c r="G24" s="417"/>
      <c r="H24" s="478">
        <f t="shared" ref="H24:AA24" ca="1" si="13">+I21</f>
        <v>13</v>
      </c>
      <c r="I24" s="475">
        <f t="shared" ca="1" si="13"/>
        <v>13</v>
      </c>
      <c r="J24" s="475">
        <f t="shared" ca="1" si="13"/>
        <v>14</v>
      </c>
      <c r="K24" s="475">
        <f t="shared" ca="1" si="13"/>
        <v>15</v>
      </c>
      <c r="L24" s="475">
        <f t="shared" ca="1" si="13"/>
        <v>15</v>
      </c>
      <c r="M24" s="475">
        <f t="shared" ca="1" si="13"/>
        <v>20</v>
      </c>
      <c r="N24" s="475">
        <f t="shared" ca="1" si="13"/>
        <v>24</v>
      </c>
      <c r="O24" s="475">
        <f t="shared" ca="1" si="13"/>
        <v>26</v>
      </c>
      <c r="P24" s="475">
        <f t="shared" ca="1" si="13"/>
        <v>26</v>
      </c>
      <c r="Q24" s="478">
        <f t="shared" ca="1" si="13"/>
        <v>28</v>
      </c>
      <c r="R24" s="475">
        <f t="shared" ca="1" si="13"/>
        <v>30</v>
      </c>
      <c r="S24" s="475">
        <f t="shared" ca="1" si="13"/>
        <v>31</v>
      </c>
      <c r="T24" s="475">
        <f t="shared" ca="1" si="13"/>
        <v>32</v>
      </c>
      <c r="U24" s="475">
        <f t="shared" ca="1" si="13"/>
        <v>32</v>
      </c>
      <c r="V24" s="475">
        <f t="shared" ca="1" si="13"/>
        <v>32</v>
      </c>
      <c r="W24" s="475">
        <f t="shared" ca="1" si="13"/>
        <v>34</v>
      </c>
      <c r="X24" s="475">
        <f t="shared" ca="1" si="13"/>
        <v>33</v>
      </c>
      <c r="Y24" s="475">
        <f t="shared" ca="1" si="13"/>
        <v>37</v>
      </c>
      <c r="Z24" s="475">
        <f t="shared" ca="1" si="13"/>
        <v>39</v>
      </c>
      <c r="AA24" s="475">
        <f t="shared" ca="1" si="13"/>
        <v>38</v>
      </c>
      <c r="AB24" s="479">
        <f>COUNTIFS('Combined Employee Worksheet'!$H:$H,"Active",'Combined Employee Worksheet'!$D:$D,'Adj. Employee Retention'!B18)</f>
        <v>40</v>
      </c>
      <c r="AC24" s="417"/>
      <c r="AD24" s="417"/>
      <c r="AE24" s="417"/>
    </row>
    <row r="25" spans="1:31" ht="3.95" customHeight="1">
      <c r="A25" s="417"/>
      <c r="B25" s="480"/>
      <c r="C25" s="481"/>
      <c r="D25" s="481"/>
      <c r="E25" s="417"/>
      <c r="F25" s="481"/>
      <c r="G25" s="417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501"/>
      <c r="AC25" s="417"/>
      <c r="AD25" s="417"/>
      <c r="AE25" s="417"/>
    </row>
    <row r="26" spans="1:31" ht="12" customHeight="1">
      <c r="A26" s="417"/>
      <c r="B26" s="487" t="s">
        <v>1817</v>
      </c>
      <c r="C26" s="502">
        <f ca="1">AVERAGE(C21,C24)</f>
        <v>22</v>
      </c>
      <c r="D26" s="503">
        <f ca="1">AVERAGE(D21,D24)</f>
        <v>35.5</v>
      </c>
      <c r="E26" s="417"/>
      <c r="F26" s="504">
        <f ca="1">AVERAGE(F21,F24)</f>
        <v>33</v>
      </c>
      <c r="G26" s="417"/>
      <c r="H26" s="505">
        <f t="shared" ref="H26:AB26" ca="1" si="14">AVERAGE(H21,H24)</f>
        <v>13</v>
      </c>
      <c r="I26" s="502">
        <f t="shared" ca="1" si="14"/>
        <v>13</v>
      </c>
      <c r="J26" s="502">
        <f t="shared" ca="1" si="14"/>
        <v>13.5</v>
      </c>
      <c r="K26" s="502">
        <f t="shared" ca="1" si="14"/>
        <v>14.5</v>
      </c>
      <c r="L26" s="502">
        <f t="shared" ca="1" si="14"/>
        <v>15</v>
      </c>
      <c r="M26" s="502">
        <f t="shared" ca="1" si="14"/>
        <v>17.5</v>
      </c>
      <c r="N26" s="502">
        <f t="shared" ca="1" si="14"/>
        <v>22</v>
      </c>
      <c r="O26" s="502">
        <f t="shared" ca="1" si="14"/>
        <v>25</v>
      </c>
      <c r="P26" s="502">
        <f t="shared" ca="1" si="14"/>
        <v>26</v>
      </c>
      <c r="Q26" s="505">
        <f t="shared" ca="1" si="14"/>
        <v>27</v>
      </c>
      <c r="R26" s="502">
        <f t="shared" ca="1" si="14"/>
        <v>29</v>
      </c>
      <c r="S26" s="502">
        <f t="shared" ca="1" si="14"/>
        <v>30.5</v>
      </c>
      <c r="T26" s="502">
        <f t="shared" ca="1" si="14"/>
        <v>31.5</v>
      </c>
      <c r="U26" s="502">
        <f t="shared" ca="1" si="14"/>
        <v>32</v>
      </c>
      <c r="V26" s="502">
        <f t="shared" ca="1" si="14"/>
        <v>32</v>
      </c>
      <c r="W26" s="502">
        <f t="shared" ca="1" si="14"/>
        <v>33</v>
      </c>
      <c r="X26" s="502">
        <f t="shared" ca="1" si="14"/>
        <v>33.5</v>
      </c>
      <c r="Y26" s="502">
        <f t="shared" ca="1" si="14"/>
        <v>35</v>
      </c>
      <c r="Z26" s="502">
        <f t="shared" ca="1" si="14"/>
        <v>38</v>
      </c>
      <c r="AA26" s="502">
        <f t="shared" ca="1" si="14"/>
        <v>38.5</v>
      </c>
      <c r="AB26" s="503">
        <f t="shared" ca="1" si="14"/>
        <v>39</v>
      </c>
      <c r="AC26" s="417"/>
      <c r="AD26" s="417"/>
      <c r="AE26" s="417"/>
    </row>
    <row r="27" spans="1:31" ht="12" customHeight="1">
      <c r="A27" s="417"/>
      <c r="B27" s="493" t="s">
        <v>1816</v>
      </c>
      <c r="C27" s="506">
        <f ca="1">C19/C26</f>
        <v>7.3863636363636367</v>
      </c>
      <c r="D27" s="507">
        <f ca="1">D19/D26</f>
        <v>5.056338028169014</v>
      </c>
      <c r="E27" s="470"/>
      <c r="F27" s="508">
        <f ca="1">F19/F26</f>
        <v>5.3939393939393936</v>
      </c>
      <c r="G27" s="470"/>
      <c r="H27" s="509">
        <f t="shared" ref="H27:AB27" ca="1" si="15">H19/H26</f>
        <v>11.23076923076923</v>
      </c>
      <c r="I27" s="506">
        <f t="shared" ca="1" si="15"/>
        <v>11.346153846153847</v>
      </c>
      <c r="J27" s="506">
        <f t="shared" ca="1" si="15"/>
        <v>11.185185185185185</v>
      </c>
      <c r="K27" s="506">
        <f t="shared" ca="1" si="15"/>
        <v>10.793103448275861</v>
      </c>
      <c r="L27" s="506">
        <f t="shared" ca="1" si="15"/>
        <v>10.8</v>
      </c>
      <c r="M27" s="506">
        <f t="shared" ca="1" si="15"/>
        <v>9.4285714285714288</v>
      </c>
      <c r="N27" s="506">
        <f t="shared" ca="1" si="15"/>
        <v>7.5909090909090908</v>
      </c>
      <c r="O27" s="506">
        <f t="shared" ca="1" si="15"/>
        <v>6.88</v>
      </c>
      <c r="P27" s="506">
        <f t="shared" ca="1" si="15"/>
        <v>6.7692307692307692</v>
      </c>
      <c r="Q27" s="509">
        <f t="shared" ca="1" si="15"/>
        <v>6.6481481481481479</v>
      </c>
      <c r="R27" s="506">
        <f t="shared" ca="1" si="15"/>
        <v>6.2586206896551726</v>
      </c>
      <c r="S27" s="506">
        <f t="shared" ca="1" si="15"/>
        <v>5.918032786885246</v>
      </c>
      <c r="T27" s="506">
        <f t="shared" ca="1" si="15"/>
        <v>5.8095238095238093</v>
      </c>
      <c r="U27" s="506">
        <f t="shared" ca="1" si="15"/>
        <v>5.921875</v>
      </c>
      <c r="V27" s="506">
        <f t="shared" ca="1" si="15"/>
        <v>6.015625</v>
      </c>
      <c r="W27" s="506">
        <f t="shared" ca="1" si="15"/>
        <v>5.9090909090909092</v>
      </c>
      <c r="X27" s="506">
        <f t="shared" ca="1" si="15"/>
        <v>5.7761194029850742</v>
      </c>
      <c r="Y27" s="506">
        <f t="shared" ca="1" si="15"/>
        <v>5.4</v>
      </c>
      <c r="Z27" s="506">
        <f t="shared" ca="1" si="15"/>
        <v>4.7763157894736841</v>
      </c>
      <c r="AA27" s="506">
        <f t="shared" ca="1" si="15"/>
        <v>4.5324675324675328</v>
      </c>
      <c r="AB27" s="507">
        <f t="shared" ca="1" si="15"/>
        <v>4.5384615384615383</v>
      </c>
      <c r="AC27" s="417"/>
      <c r="AD27" s="417"/>
      <c r="AE27" s="417"/>
    </row>
    <row r="28" spans="1:31" ht="3.95" customHeight="1">
      <c r="A28" s="417"/>
      <c r="B28" s="480"/>
      <c r="C28" s="481"/>
      <c r="D28" s="481"/>
      <c r="E28" s="417"/>
      <c r="F28" s="481"/>
      <c r="G28" s="417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2"/>
      <c r="AA28" s="482"/>
      <c r="AB28" s="482"/>
      <c r="AC28" s="417"/>
      <c r="AD28" s="417"/>
      <c r="AE28" s="417"/>
    </row>
    <row r="29" spans="1:31" ht="12" customHeight="1">
      <c r="A29" s="417"/>
      <c r="B29" s="487" t="s">
        <v>1813</v>
      </c>
      <c r="C29" s="488">
        <f ca="1">(C22+C21)/C21-1</f>
        <v>1.6153846153846154</v>
      </c>
      <c r="D29" s="489">
        <f ca="1">(D22+D21)/D21-1</f>
        <v>0.4838709677419355</v>
      </c>
      <c r="E29" s="490"/>
      <c r="F29" s="491">
        <f ca="1">(F22+F21)/F21-1</f>
        <v>0.80769230769230771</v>
      </c>
      <c r="G29" s="417"/>
      <c r="H29" s="492">
        <f t="shared" ref="H29:AB29" ca="1" si="16">(H22+H21)/H21-1</f>
        <v>0</v>
      </c>
      <c r="I29" s="488">
        <f t="shared" ca="1" si="16"/>
        <v>0</v>
      </c>
      <c r="J29" s="488">
        <f t="shared" ca="1" si="16"/>
        <v>7.6923076923076872E-2</v>
      </c>
      <c r="K29" s="488">
        <f t="shared" ca="1" si="16"/>
        <v>7.1428571428571397E-2</v>
      </c>
      <c r="L29" s="488">
        <f t="shared" ca="1" si="16"/>
        <v>6.6666666666666652E-2</v>
      </c>
      <c r="M29" s="488">
        <f t="shared" ca="1" si="16"/>
        <v>0.33333333333333326</v>
      </c>
      <c r="N29" s="488">
        <f t="shared" ca="1" si="16"/>
        <v>0.19999999999999996</v>
      </c>
      <c r="O29" s="488">
        <f t="shared" ca="1" si="16"/>
        <v>0.125</v>
      </c>
      <c r="P29" s="488">
        <f t="shared" ca="1" si="16"/>
        <v>0</v>
      </c>
      <c r="Q29" s="492">
        <f t="shared" ca="1" si="16"/>
        <v>7.6923076923076872E-2</v>
      </c>
      <c r="R29" s="488">
        <f t="shared" ca="1" si="16"/>
        <v>0.10714285714285721</v>
      </c>
      <c r="S29" s="488">
        <f t="shared" ca="1" si="16"/>
        <v>3.3333333333333437E-2</v>
      </c>
      <c r="T29" s="488">
        <f t="shared" ca="1" si="16"/>
        <v>3.2258064516129004E-2</v>
      </c>
      <c r="U29" s="488">
        <f t="shared" ca="1" si="16"/>
        <v>0</v>
      </c>
      <c r="V29" s="488">
        <f t="shared" ca="1" si="16"/>
        <v>0</v>
      </c>
      <c r="W29" s="488">
        <f t="shared" ca="1" si="16"/>
        <v>6.25E-2</v>
      </c>
      <c r="X29" s="488">
        <f t="shared" ca="1" si="16"/>
        <v>2.9411764705882248E-2</v>
      </c>
      <c r="Y29" s="488">
        <f t="shared" ca="1" si="16"/>
        <v>0.1515151515151516</v>
      </c>
      <c r="Z29" s="488">
        <f t="shared" ca="1" si="16"/>
        <v>5.4054054054053946E-2</v>
      </c>
      <c r="AA29" s="488">
        <f t="shared" ca="1" si="16"/>
        <v>5.1282051282051322E-2</v>
      </c>
      <c r="AB29" s="489">
        <f t="shared" ca="1" si="16"/>
        <v>5.2631578947368363E-2</v>
      </c>
      <c r="AC29" s="417"/>
      <c r="AD29" s="417"/>
      <c r="AE29" s="417"/>
    </row>
    <row r="30" spans="1:31">
      <c r="A30" s="417"/>
      <c r="B30" s="493" t="s">
        <v>1812</v>
      </c>
      <c r="C30" s="494">
        <f ca="1">(C23+C26)/C26-1</f>
        <v>-0.13636363636363635</v>
      </c>
      <c r="D30" s="495">
        <f ca="1">(D23+D26)/D26-1</f>
        <v>-0.16901408450704225</v>
      </c>
      <c r="E30" s="490"/>
      <c r="F30" s="496">
        <f ca="1">(F23+F26)/F26-1</f>
        <v>-0.21212121212121215</v>
      </c>
      <c r="G30" s="417"/>
      <c r="H30" s="497">
        <f t="shared" ref="H30:AB30" ca="1" si="17">(H23+H26)/H26-1</f>
        <v>0</v>
      </c>
      <c r="I30" s="494">
        <f t="shared" ca="1" si="17"/>
        <v>0</v>
      </c>
      <c r="J30" s="494">
        <f t="shared" ca="1" si="17"/>
        <v>0</v>
      </c>
      <c r="K30" s="494">
        <f t="shared" ca="1" si="17"/>
        <v>0</v>
      </c>
      <c r="L30" s="494">
        <f t="shared" ca="1" si="17"/>
        <v>-6.6666666666666652E-2</v>
      </c>
      <c r="M30" s="494">
        <f t="shared" ca="1" si="17"/>
        <v>0</v>
      </c>
      <c r="N30" s="494">
        <f t="shared" ca="1" si="17"/>
        <v>0</v>
      </c>
      <c r="O30" s="494">
        <f t="shared" ca="1" si="17"/>
        <v>-4.0000000000000036E-2</v>
      </c>
      <c r="P30" s="494">
        <f t="shared" ca="1" si="17"/>
        <v>0</v>
      </c>
      <c r="Q30" s="497">
        <f t="shared" ca="1" si="17"/>
        <v>0</v>
      </c>
      <c r="R30" s="494">
        <f t="shared" ca="1" si="17"/>
        <v>-3.4482758620689613E-2</v>
      </c>
      <c r="S30" s="494">
        <f t="shared" ca="1" si="17"/>
        <v>0</v>
      </c>
      <c r="T30" s="494">
        <f t="shared" ca="1" si="17"/>
        <v>0</v>
      </c>
      <c r="U30" s="494">
        <f t="shared" ca="1" si="17"/>
        <v>0</v>
      </c>
      <c r="V30" s="494">
        <f t="shared" ca="1" si="17"/>
        <v>0</v>
      </c>
      <c r="W30" s="494">
        <f t="shared" ca="1" si="17"/>
        <v>0</v>
      </c>
      <c r="X30" s="494">
        <f t="shared" ca="1" si="17"/>
        <v>-5.9701492537313383E-2</v>
      </c>
      <c r="Y30" s="494">
        <f t="shared" ca="1" si="17"/>
        <v>-2.8571428571428581E-2</v>
      </c>
      <c r="Z30" s="494">
        <f t="shared" ca="1" si="17"/>
        <v>0</v>
      </c>
      <c r="AA30" s="494">
        <f t="shared" ca="1" si="17"/>
        <v>-7.7922077922077948E-2</v>
      </c>
      <c r="AB30" s="495">
        <f t="shared" ca="1" si="17"/>
        <v>0</v>
      </c>
      <c r="AC30" s="417"/>
      <c r="AD30" s="417"/>
      <c r="AE30" s="417"/>
    </row>
    <row r="31" spans="1:31" ht="3.95" customHeight="1">
      <c r="A31" s="417"/>
      <c r="B31" s="480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</row>
    <row r="32" spans="1:31" ht="24">
      <c r="A32" s="417"/>
      <c r="B32" s="462" t="s">
        <v>1997</v>
      </c>
      <c r="C32" s="463" t="s">
        <v>4</v>
      </c>
      <c r="D32" s="463" t="s">
        <v>1317</v>
      </c>
      <c r="E32" s="464"/>
      <c r="F32" s="463" t="s">
        <v>1527</v>
      </c>
      <c r="G32" s="417"/>
      <c r="H32" s="465">
        <v>45658</v>
      </c>
      <c r="I32" s="465">
        <f t="shared" ref="I32:N32" si="18">EOMONTH(H32,0)+1</f>
        <v>45689</v>
      </c>
      <c r="J32" s="465">
        <f t="shared" si="18"/>
        <v>45717</v>
      </c>
      <c r="K32" s="465">
        <f t="shared" si="18"/>
        <v>45748</v>
      </c>
      <c r="L32" s="465">
        <f t="shared" si="18"/>
        <v>45778</v>
      </c>
      <c r="M32" s="465">
        <f t="shared" si="18"/>
        <v>45809</v>
      </c>
      <c r="N32" s="465">
        <f t="shared" si="18"/>
        <v>45839</v>
      </c>
      <c r="O32" s="465">
        <v>45870</v>
      </c>
      <c r="P32" s="465">
        <f t="shared" ref="P32:AB32" si="19">EOMONTH(O32,0)+1</f>
        <v>45901</v>
      </c>
      <c r="Q32" s="465">
        <f t="shared" si="19"/>
        <v>45931</v>
      </c>
      <c r="R32" s="465">
        <f t="shared" si="19"/>
        <v>45962</v>
      </c>
      <c r="S32" s="465">
        <f t="shared" si="19"/>
        <v>45992</v>
      </c>
      <c r="T32" s="465">
        <f t="shared" si="19"/>
        <v>46023</v>
      </c>
      <c r="U32" s="465">
        <f t="shared" si="19"/>
        <v>46054</v>
      </c>
      <c r="V32" s="465">
        <f t="shared" si="19"/>
        <v>46082</v>
      </c>
      <c r="W32" s="465">
        <f t="shared" si="19"/>
        <v>46113</v>
      </c>
      <c r="X32" s="465">
        <f t="shared" si="19"/>
        <v>46143</v>
      </c>
      <c r="Y32" s="465">
        <f t="shared" si="19"/>
        <v>46174</v>
      </c>
      <c r="Z32" s="465">
        <f t="shared" si="19"/>
        <v>46204</v>
      </c>
      <c r="AA32" s="465">
        <f t="shared" si="19"/>
        <v>46235</v>
      </c>
      <c r="AB32" s="465">
        <f t="shared" si="19"/>
        <v>46266</v>
      </c>
      <c r="AC32" s="466"/>
      <c r="AD32" s="417"/>
      <c r="AE32" s="466"/>
    </row>
    <row r="33" spans="1:31">
      <c r="A33" s="417"/>
      <c r="B33" s="498" t="s">
        <v>491</v>
      </c>
      <c r="C33" s="468"/>
      <c r="D33" s="468"/>
      <c r="E33" s="469"/>
      <c r="F33" s="468"/>
      <c r="G33" s="417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9"/>
      <c r="AD33" s="469"/>
      <c r="AE33" s="469"/>
    </row>
    <row r="34" spans="1:31">
      <c r="A34" s="417"/>
      <c r="B34" s="469" t="s">
        <v>1818</v>
      </c>
      <c r="C34" s="510">
        <f>+C$19</f>
        <v>162.5</v>
      </c>
      <c r="D34" s="510">
        <f>+D$19</f>
        <v>179.5</v>
      </c>
      <c r="E34" s="469"/>
      <c r="F34" s="510">
        <f>+F$19</f>
        <v>178</v>
      </c>
      <c r="G34" s="417"/>
      <c r="H34" s="510">
        <f>+H$19</f>
        <v>146</v>
      </c>
      <c r="I34" s="510">
        <f t="shared" ref="I34:AB34" si="20">+I$19</f>
        <v>147.5</v>
      </c>
      <c r="J34" s="510">
        <f t="shared" si="20"/>
        <v>151</v>
      </c>
      <c r="K34" s="510">
        <f t="shared" si="20"/>
        <v>156.5</v>
      </c>
      <c r="L34" s="510">
        <f t="shared" si="20"/>
        <v>162</v>
      </c>
      <c r="M34" s="510">
        <f t="shared" si="20"/>
        <v>165</v>
      </c>
      <c r="N34" s="510">
        <f t="shared" si="20"/>
        <v>167</v>
      </c>
      <c r="O34" s="510">
        <f t="shared" si="20"/>
        <v>172</v>
      </c>
      <c r="P34" s="510">
        <f t="shared" si="20"/>
        <v>176</v>
      </c>
      <c r="Q34" s="510">
        <f t="shared" si="20"/>
        <v>179.5</v>
      </c>
      <c r="R34" s="510">
        <f t="shared" si="20"/>
        <v>181.5</v>
      </c>
      <c r="S34" s="510">
        <f t="shared" si="20"/>
        <v>180.5</v>
      </c>
      <c r="T34" s="510">
        <f t="shared" si="20"/>
        <v>183</v>
      </c>
      <c r="U34" s="510">
        <f t="shared" si="20"/>
        <v>189.5</v>
      </c>
      <c r="V34" s="510">
        <f t="shared" si="20"/>
        <v>192.5</v>
      </c>
      <c r="W34" s="510">
        <f t="shared" si="20"/>
        <v>195</v>
      </c>
      <c r="X34" s="510">
        <f t="shared" si="20"/>
        <v>193.5</v>
      </c>
      <c r="Y34" s="510">
        <f t="shared" si="20"/>
        <v>189</v>
      </c>
      <c r="Z34" s="510">
        <f t="shared" si="20"/>
        <v>181.5</v>
      </c>
      <c r="AA34" s="510">
        <f t="shared" si="20"/>
        <v>174.5</v>
      </c>
      <c r="AB34" s="510">
        <f t="shared" si="20"/>
        <v>177</v>
      </c>
      <c r="AC34" s="469"/>
      <c r="AD34" s="469"/>
      <c r="AE34" s="469"/>
    </row>
    <row r="35" spans="1:31" ht="3.95" customHeight="1">
      <c r="A35" s="417"/>
      <c r="B35" s="500"/>
      <c r="C35" s="469"/>
      <c r="D35" s="469"/>
      <c r="E35" s="469"/>
      <c r="F35" s="469"/>
      <c r="G35" s="417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</row>
    <row r="36" spans="1:31">
      <c r="A36" s="417"/>
      <c r="B36" s="417" t="s">
        <v>1313</v>
      </c>
      <c r="C36" s="470">
        <f ca="1">+C39-C37-C38</f>
        <v>13</v>
      </c>
      <c r="D36" s="470">
        <f ca="1">+D39-D37-D38</f>
        <v>13</v>
      </c>
      <c r="E36" s="417"/>
      <c r="F36" s="470">
        <f ca="1">+F39-F37-F38</f>
        <v>12</v>
      </c>
      <c r="G36" s="417"/>
      <c r="H36" s="470">
        <f t="shared" ref="H36:AB36" ca="1" si="21">+H39-H37-H38</f>
        <v>13</v>
      </c>
      <c r="I36" s="470">
        <f t="shared" ca="1" si="21"/>
        <v>14</v>
      </c>
      <c r="J36" s="470">
        <f t="shared" ca="1" si="21"/>
        <v>12</v>
      </c>
      <c r="K36" s="470">
        <f t="shared" ca="1" si="21"/>
        <v>13</v>
      </c>
      <c r="L36" s="470">
        <f t="shared" ca="1" si="21"/>
        <v>13</v>
      </c>
      <c r="M36" s="470">
        <f t="shared" ca="1" si="21"/>
        <v>13</v>
      </c>
      <c r="N36" s="470">
        <f t="shared" ca="1" si="21"/>
        <v>12</v>
      </c>
      <c r="O36" s="470">
        <f t="shared" ca="1" si="21"/>
        <v>12</v>
      </c>
      <c r="P36" s="470">
        <f t="shared" ca="1" si="21"/>
        <v>12</v>
      </c>
      <c r="Q36" s="470">
        <f t="shared" ca="1" si="21"/>
        <v>12</v>
      </c>
      <c r="R36" s="470">
        <f t="shared" ca="1" si="21"/>
        <v>12</v>
      </c>
      <c r="S36" s="470">
        <f t="shared" ca="1" si="21"/>
        <v>13</v>
      </c>
      <c r="T36" s="470">
        <f t="shared" ca="1" si="21"/>
        <v>13</v>
      </c>
      <c r="U36" s="470">
        <f t="shared" ca="1" si="21"/>
        <v>13</v>
      </c>
      <c r="V36" s="470">
        <f t="shared" ca="1" si="21"/>
        <v>14</v>
      </c>
      <c r="W36" s="470">
        <f t="shared" ca="1" si="21"/>
        <v>15</v>
      </c>
      <c r="X36" s="470">
        <f t="shared" ca="1" si="21"/>
        <v>15</v>
      </c>
      <c r="Y36" s="470">
        <f t="shared" ca="1" si="21"/>
        <v>16</v>
      </c>
      <c r="Z36" s="470">
        <f t="shared" ca="1" si="21"/>
        <v>16</v>
      </c>
      <c r="AA36" s="470">
        <f t="shared" ca="1" si="21"/>
        <v>17</v>
      </c>
      <c r="AB36" s="470">
        <f t="shared" ca="1" si="21"/>
        <v>18</v>
      </c>
      <c r="AC36" s="417"/>
      <c r="AD36" s="417"/>
      <c r="AE36" s="417"/>
    </row>
    <row r="37" spans="1:31">
      <c r="A37" s="417"/>
      <c r="B37" s="471" t="s">
        <v>1814</v>
      </c>
      <c r="C37" s="433">
        <f ca="1">SUM(H37:S37)</f>
        <v>4</v>
      </c>
      <c r="D37" s="433">
        <f ca="1">SUM(T37:AB37)</f>
        <v>6</v>
      </c>
      <c r="E37" s="417"/>
      <c r="F37" s="433">
        <f ca="1">SUM(Q37:AB37)</f>
        <v>7</v>
      </c>
      <c r="G37" s="417"/>
      <c r="H37" s="472">
        <f ca="1">COUNTIFS('Combined Employee Worksheet'!$I:$I,"&gt;="&amp;'Adj. Employee Retention'!H$5,'Combined Employee Worksheet'!$I:$I,"&lt;="&amp;'Adj. Employee Retention'!H$1,'Combined Employee Worksheet'!$D:$D,'Adj. Employee Retention'!$B33)-COUNTIFS('Combined Employee Worksheet'!$I:$I,"&gt;="&amp;'Adj. Employee Retention'!H$5,'Combined Employee Worksheet'!$I:$I,"&lt;="&amp;'Adj. Employee Retention'!H$1,'Combined Employee Worksheet'!$D:$D,'Adj. Employee Retention'!$B33,'Combined Employee Worksheet'!$K:$K,"&lt;="&amp;$C$138,'Combined Employee Worksheet'!$J:$J,"&lt;&gt;")</f>
        <v>1</v>
      </c>
      <c r="I37" s="472">
        <f>COUNTIFS('Combined Employee Worksheet'!$I:$I,"&gt;="&amp;'Adj. Employee Retention'!I$5,'Combined Employee Worksheet'!$I:$I,"&lt;="&amp;'Adj. Employee Retention'!I$1,'Combined Employee Worksheet'!$D:$D,'Adj. Employee Retention'!$B33)-COUNTIFS('Combined Employee Worksheet'!$I:$I,"&gt;="&amp;'Adj. Employee Retention'!I$5,'Combined Employee Worksheet'!$I:$I,"&lt;="&amp;'Adj. Employee Retention'!I$1,'Combined Employee Worksheet'!$D:$D,'Adj. Employee Retention'!$B33,'Combined Employee Worksheet'!$K:$K,"&lt;="&amp;$C$138,'Combined Employee Worksheet'!$J:$J,"&lt;&gt;")</f>
        <v>0</v>
      </c>
      <c r="J37" s="472">
        <f ca="1">COUNTIFS('Combined Employee Worksheet'!$I:$I,"&gt;="&amp;'Adj. Employee Retention'!J$5,'Combined Employee Worksheet'!$I:$I,"&lt;="&amp;'Adj. Employee Retention'!J$1,'Combined Employee Worksheet'!$D:$D,'Adj. Employee Retention'!$B33)-COUNTIFS('Combined Employee Worksheet'!$I:$I,"&gt;="&amp;'Adj. Employee Retention'!J$5,'Combined Employee Worksheet'!$I:$I,"&lt;="&amp;'Adj. Employee Retention'!J$1,'Combined Employee Worksheet'!$D:$D,'Adj. Employee Retention'!$B33,'Combined Employee Worksheet'!$K:$K,"&lt;="&amp;$C$138,'Combined Employee Worksheet'!$J:$J,"&lt;&gt;")</f>
        <v>2</v>
      </c>
      <c r="K37" s="472">
        <f>COUNTIFS('Combined Employee Worksheet'!$I:$I,"&gt;="&amp;'Adj. Employee Retention'!K$5,'Combined Employee Worksheet'!$I:$I,"&lt;="&amp;'Adj. Employee Retention'!K$1,'Combined Employee Worksheet'!$D:$D,'Adj. Employee Retention'!$B33)-COUNTIFS('Combined Employee Worksheet'!$I:$I,"&gt;="&amp;'Adj. Employee Retention'!K$5,'Combined Employee Worksheet'!$I:$I,"&lt;="&amp;'Adj. Employee Retention'!K$1,'Combined Employee Worksheet'!$D:$D,'Adj. Employee Retention'!$B33,'Combined Employee Worksheet'!$K:$K,"&lt;="&amp;$C$138,'Combined Employee Worksheet'!$J:$J,"&lt;&gt;")</f>
        <v>0</v>
      </c>
      <c r="L37" s="472">
        <f>COUNTIFS('Combined Employee Worksheet'!$I:$I,"&gt;="&amp;'Adj. Employee Retention'!L$5,'Combined Employee Worksheet'!$I:$I,"&lt;="&amp;'Adj. Employee Retention'!L$1,'Combined Employee Worksheet'!$D:$D,'Adj. Employee Retention'!$B33)-COUNTIFS('Combined Employee Worksheet'!$I:$I,"&gt;="&amp;'Adj. Employee Retention'!L$5,'Combined Employee Worksheet'!$I:$I,"&lt;="&amp;'Adj. Employee Retention'!L$1,'Combined Employee Worksheet'!$D:$D,'Adj. Employee Retention'!$B33,'Combined Employee Worksheet'!$K:$K,"&lt;="&amp;$C$138,'Combined Employee Worksheet'!$J:$J,"&lt;&gt;")</f>
        <v>0</v>
      </c>
      <c r="M37" s="472">
        <f>COUNTIFS('Combined Employee Worksheet'!$I:$I,"&gt;="&amp;'Adj. Employee Retention'!M$5,'Combined Employee Worksheet'!$I:$I,"&lt;="&amp;'Adj. Employee Retention'!M$1,'Combined Employee Worksheet'!$D:$D,'Adj. Employee Retention'!$B33)-COUNTIFS('Combined Employee Worksheet'!$I:$I,"&gt;="&amp;'Adj. Employee Retention'!M$5,'Combined Employee Worksheet'!$I:$I,"&lt;="&amp;'Adj. Employee Retention'!M$1,'Combined Employee Worksheet'!$D:$D,'Adj. Employee Retention'!$B33,'Combined Employee Worksheet'!$K:$K,"&lt;="&amp;$C$138,'Combined Employee Worksheet'!$J:$J,"&lt;&gt;")</f>
        <v>0</v>
      </c>
      <c r="N37" s="472">
        <f>COUNTIFS('Combined Employee Worksheet'!$I:$I,"&gt;="&amp;'Adj. Employee Retention'!N$5,'Combined Employee Worksheet'!$I:$I,"&lt;="&amp;'Adj. Employee Retention'!N$1,'Combined Employee Worksheet'!$D:$D,'Adj. Employee Retention'!$B33)-COUNTIFS('Combined Employee Worksheet'!$I:$I,"&gt;="&amp;'Adj. Employee Retention'!N$5,'Combined Employee Worksheet'!$I:$I,"&lt;="&amp;'Adj. Employee Retention'!N$1,'Combined Employee Worksheet'!$D:$D,'Adj. Employee Retention'!$B33,'Combined Employee Worksheet'!$K:$K,"&lt;="&amp;$C$138,'Combined Employee Worksheet'!$J:$J,"&lt;&gt;")</f>
        <v>0</v>
      </c>
      <c r="O37" s="472">
        <f>COUNTIFS('Combined Employee Worksheet'!$I:$I,"&gt;="&amp;'Adj. Employee Retention'!O$5,'Combined Employee Worksheet'!$I:$I,"&lt;="&amp;'Adj. Employee Retention'!O$1,'Combined Employee Worksheet'!$D:$D,'Adj. Employee Retention'!$B33)-COUNTIFS('Combined Employee Worksheet'!$I:$I,"&gt;="&amp;'Adj. Employee Retention'!O$5,'Combined Employee Worksheet'!$I:$I,"&lt;="&amp;'Adj. Employee Retention'!O$1,'Combined Employee Worksheet'!$D:$D,'Adj. Employee Retention'!$B33,'Combined Employee Worksheet'!$K:$K,"&lt;="&amp;$C$138,'Combined Employee Worksheet'!$J:$J,"&lt;&gt;")</f>
        <v>0</v>
      </c>
      <c r="P37" s="472">
        <f>COUNTIFS('Combined Employee Worksheet'!$I:$I,"&gt;="&amp;'Adj. Employee Retention'!P$5,'Combined Employee Worksheet'!$I:$I,"&lt;="&amp;'Adj. Employee Retention'!P$1,'Combined Employee Worksheet'!$D:$D,'Adj. Employee Retention'!$B33)-COUNTIFS('Combined Employee Worksheet'!$I:$I,"&gt;="&amp;'Adj. Employee Retention'!P$5,'Combined Employee Worksheet'!$I:$I,"&lt;="&amp;'Adj. Employee Retention'!P$1,'Combined Employee Worksheet'!$D:$D,'Adj. Employee Retention'!$B33,'Combined Employee Worksheet'!$K:$K,"&lt;="&amp;$C$138,'Combined Employee Worksheet'!$J:$J,"&lt;&gt;")</f>
        <v>0</v>
      </c>
      <c r="Q37" s="472">
        <f ca="1">COUNTIFS('Combined Employee Worksheet'!$I:$I,"&gt;="&amp;'Adj. Employee Retention'!Q$5,'Combined Employee Worksheet'!$I:$I,"&lt;="&amp;'Adj. Employee Retention'!Q$1,'Combined Employee Worksheet'!$D:$D,'Adj. Employee Retention'!$B33)-COUNTIFS('Combined Employee Worksheet'!$I:$I,"&gt;="&amp;'Adj. Employee Retention'!Q$5,'Combined Employee Worksheet'!$I:$I,"&lt;="&amp;'Adj. Employee Retention'!Q$1,'Combined Employee Worksheet'!$D:$D,'Adj. Employee Retention'!$B33,'Combined Employee Worksheet'!$K:$K,"&lt;="&amp;$C$138,'Combined Employee Worksheet'!$J:$J,"&lt;&gt;")</f>
        <v>0</v>
      </c>
      <c r="R37" s="472">
        <f ca="1">COUNTIFS('Combined Employee Worksheet'!$I:$I,"&gt;="&amp;'Adj. Employee Retention'!R$5,'Combined Employee Worksheet'!$I:$I,"&lt;="&amp;'Adj. Employee Retention'!R$1,'Combined Employee Worksheet'!$D:$D,'Adj. Employee Retention'!$B33)-COUNTIFS('Combined Employee Worksheet'!$I:$I,"&gt;="&amp;'Adj. Employee Retention'!R$5,'Combined Employee Worksheet'!$I:$I,"&lt;="&amp;'Adj. Employee Retention'!R$1,'Combined Employee Worksheet'!$D:$D,'Adj. Employee Retention'!$B33,'Combined Employee Worksheet'!$K:$K,"&lt;="&amp;$C$138,'Combined Employee Worksheet'!$J:$J,"&lt;&gt;")</f>
        <v>1</v>
      </c>
      <c r="S37" s="472">
        <f>COUNTIFS('Combined Employee Worksheet'!$I:$I,"&gt;="&amp;'Adj. Employee Retention'!S$5,'Combined Employee Worksheet'!$I:$I,"&lt;="&amp;'Adj. Employee Retention'!S$1,'Combined Employee Worksheet'!$D:$D,'Adj. Employee Retention'!$B33)-COUNTIFS('Combined Employee Worksheet'!$I:$I,"&gt;="&amp;'Adj. Employee Retention'!S$5,'Combined Employee Worksheet'!$I:$I,"&lt;="&amp;'Adj. Employee Retention'!S$1,'Combined Employee Worksheet'!$D:$D,'Adj. Employee Retention'!$B33,'Combined Employee Worksheet'!$K:$K,"&lt;="&amp;$C$138,'Combined Employee Worksheet'!$J:$J,"&lt;&gt;")</f>
        <v>0</v>
      </c>
      <c r="T37" s="472">
        <f>COUNTIFS('Combined Employee Worksheet'!$I:$I,"&gt;="&amp;'Adj. Employee Retention'!T$5,'Combined Employee Worksheet'!$I:$I,"&lt;="&amp;'Adj. Employee Retention'!T$1,'Combined Employee Worksheet'!$D:$D,'Adj. Employee Retention'!$B33)-COUNTIFS('Combined Employee Worksheet'!$I:$I,"&gt;="&amp;'Adj. Employee Retention'!T$5,'Combined Employee Worksheet'!$I:$I,"&lt;="&amp;'Adj. Employee Retention'!T$1,'Combined Employee Worksheet'!$D:$D,'Adj. Employee Retention'!$B33,'Combined Employee Worksheet'!$K:$K,"&lt;="&amp;$C$138,'Combined Employee Worksheet'!$J:$J,"&lt;&gt;")</f>
        <v>0</v>
      </c>
      <c r="U37" s="472">
        <f ca="1">COUNTIFS('Combined Employee Worksheet'!$I:$I,"&gt;="&amp;'Adj. Employee Retention'!U$5,'Combined Employee Worksheet'!$I:$I,"&lt;="&amp;'Adj. Employee Retention'!U$1,'Combined Employee Worksheet'!$D:$D,'Adj. Employee Retention'!$B33)-COUNTIFS('Combined Employee Worksheet'!$I:$I,"&gt;="&amp;'Adj. Employee Retention'!U$5,'Combined Employee Worksheet'!$I:$I,"&lt;="&amp;'Adj. Employee Retention'!U$1,'Combined Employee Worksheet'!$D:$D,'Adj. Employee Retention'!$B33,'Combined Employee Worksheet'!$K:$K,"&lt;="&amp;$C$138,'Combined Employee Worksheet'!$J:$J,"&lt;&gt;")</f>
        <v>2</v>
      </c>
      <c r="V37" s="472">
        <f ca="1">COUNTIFS('Combined Employee Worksheet'!$I:$I,"&gt;="&amp;'Adj. Employee Retention'!V$5,'Combined Employee Worksheet'!$I:$I,"&lt;="&amp;'Adj. Employee Retention'!V$1,'Combined Employee Worksheet'!$D:$D,'Adj. Employee Retention'!$B33)-COUNTIFS('Combined Employee Worksheet'!$I:$I,"&gt;="&amp;'Adj. Employee Retention'!V$5,'Combined Employee Worksheet'!$I:$I,"&lt;="&amp;'Adj. Employee Retention'!V$1,'Combined Employee Worksheet'!$D:$D,'Adj. Employee Retention'!$B33,'Combined Employee Worksheet'!$K:$K,"&lt;="&amp;$C$138,'Combined Employee Worksheet'!$J:$J,"&lt;&gt;")</f>
        <v>1</v>
      </c>
      <c r="W37" s="472">
        <f ca="1">COUNTIFS('Combined Employee Worksheet'!$I:$I,"&gt;="&amp;'Adj. Employee Retention'!W$5,'Combined Employee Worksheet'!$I:$I,"&lt;="&amp;'Adj. Employee Retention'!W$1,'Combined Employee Worksheet'!$D:$D,'Adj. Employee Retention'!$B33)-COUNTIFS('Combined Employee Worksheet'!$I:$I,"&gt;="&amp;'Adj. Employee Retention'!W$5,'Combined Employee Worksheet'!$I:$I,"&lt;="&amp;'Adj. Employee Retention'!W$1,'Combined Employee Worksheet'!$D:$D,'Adj. Employee Retention'!$B33,'Combined Employee Worksheet'!$K:$K,"&lt;="&amp;$C$138,'Combined Employee Worksheet'!$J:$J,"&lt;&gt;")</f>
        <v>0</v>
      </c>
      <c r="X37" s="472">
        <f ca="1">COUNTIFS('Combined Employee Worksheet'!$I:$I,"&gt;="&amp;'Adj. Employee Retention'!X$5,'Combined Employee Worksheet'!$I:$I,"&lt;="&amp;'Adj. Employee Retention'!X$1,'Combined Employee Worksheet'!$D:$D,'Adj. Employee Retention'!$B33)-COUNTIFS('Combined Employee Worksheet'!$I:$I,"&gt;="&amp;'Adj. Employee Retention'!X$5,'Combined Employee Worksheet'!$I:$I,"&lt;="&amp;'Adj. Employee Retention'!X$1,'Combined Employee Worksheet'!$D:$D,'Adj. Employee Retention'!$B33,'Combined Employee Worksheet'!$K:$K,"&lt;="&amp;$C$138,'Combined Employee Worksheet'!$J:$J,"&lt;&gt;")</f>
        <v>1</v>
      </c>
      <c r="Y37" s="472">
        <f>COUNTIFS('Combined Employee Worksheet'!$I:$I,"&gt;="&amp;'Adj. Employee Retention'!Y$5,'Combined Employee Worksheet'!$I:$I,"&lt;="&amp;'Adj. Employee Retention'!Y$1,'Combined Employee Worksheet'!$D:$D,'Adj. Employee Retention'!$B33)-COUNTIFS('Combined Employee Worksheet'!$I:$I,"&gt;="&amp;'Adj. Employee Retention'!Y$5,'Combined Employee Worksheet'!$I:$I,"&lt;="&amp;'Adj. Employee Retention'!Y$1,'Combined Employee Worksheet'!$D:$D,'Adj. Employee Retention'!$B33,'Combined Employee Worksheet'!$K:$K,"&lt;="&amp;$C$138,'Combined Employee Worksheet'!$J:$J,"&lt;&gt;")</f>
        <v>0</v>
      </c>
      <c r="Z37" s="472">
        <f ca="1">COUNTIFS('Combined Employee Worksheet'!$I:$I,"&gt;="&amp;'Adj. Employee Retention'!Z$5,'Combined Employee Worksheet'!$I:$I,"&lt;="&amp;'Adj. Employee Retention'!Z$1,'Combined Employee Worksheet'!$D:$D,'Adj. Employee Retention'!$B33)-COUNTIFS('Combined Employee Worksheet'!$I:$I,"&gt;="&amp;'Adj. Employee Retention'!Z$5,'Combined Employee Worksheet'!$I:$I,"&lt;="&amp;'Adj. Employee Retention'!Z$1,'Combined Employee Worksheet'!$D:$D,'Adj. Employee Retention'!$B33,'Combined Employee Worksheet'!$K:$K,"&lt;="&amp;$C$138,'Combined Employee Worksheet'!$J:$J,"&lt;&gt;")</f>
        <v>1</v>
      </c>
      <c r="AA37" s="472">
        <f ca="1">COUNTIFS('Combined Employee Worksheet'!$I:$I,"&gt;="&amp;'Adj. Employee Retention'!AA$5,'Combined Employee Worksheet'!$I:$I,"&lt;="&amp;'Adj. Employee Retention'!AA$1,'Combined Employee Worksheet'!$D:$D,'Adj. Employee Retention'!$B33)-COUNTIFS('Combined Employee Worksheet'!$I:$I,"&gt;="&amp;'Adj. Employee Retention'!AA$5,'Combined Employee Worksheet'!$I:$I,"&lt;="&amp;'Adj. Employee Retention'!AA$1,'Combined Employee Worksheet'!$D:$D,'Adj. Employee Retention'!$B33,'Combined Employee Worksheet'!$K:$K,"&lt;="&amp;$C$138,'Combined Employee Worksheet'!$J:$J,"&lt;&gt;")</f>
        <v>1</v>
      </c>
      <c r="AB37" s="472">
        <f>COUNTIFS('Combined Employee Worksheet'!$I:$I,"&gt;="&amp;'Adj. Employee Retention'!AB$5,'Combined Employee Worksheet'!$I:$I,"&lt;="&amp;'Adj. Employee Retention'!AB$1,'Combined Employee Worksheet'!$D:$D,'Adj. Employee Retention'!$B33)-COUNTIFS('Combined Employee Worksheet'!$I:$I,"&gt;="&amp;'Adj. Employee Retention'!AB$5,'Combined Employee Worksheet'!$I:$I,"&lt;="&amp;'Adj. Employee Retention'!AB$1,'Combined Employee Worksheet'!$D:$D,'Adj. Employee Retention'!$B33,'Combined Employee Worksheet'!$K:$K,"&lt;="&amp;$C$138,'Combined Employee Worksheet'!$J:$J,"&lt;&gt;")</f>
        <v>0</v>
      </c>
      <c r="AC37" s="417"/>
      <c r="AD37" s="417"/>
      <c r="AE37" s="417"/>
    </row>
    <row r="38" spans="1:31" ht="12" customHeight="1">
      <c r="A38" s="417"/>
      <c r="B38" s="471" t="s">
        <v>1815</v>
      </c>
      <c r="C38" s="433">
        <f ca="1">SUM(H38:S38)</f>
        <v>-4</v>
      </c>
      <c r="D38" s="433">
        <f ca="1">SUM(T38:AB38)</f>
        <v>-3</v>
      </c>
      <c r="E38" s="417"/>
      <c r="F38" s="433">
        <f ca="1">SUM(Q38:AB38)</f>
        <v>-3</v>
      </c>
      <c r="G38" s="417"/>
      <c r="H38" s="472">
        <f>-COUNTIFS('Combined Employee Worksheet'!$J:$J,"&gt;="&amp;'Adj. Employee Retention'!H$5,'Combined Employee Worksheet'!$J:$J,"&lt;="&amp;'Adj. Employee Retention'!H$1,'Combined Employee Worksheet'!$D:$D,'Adj. Employee Retention'!$B33,'Combined Employee Worksheet'!$K:$K,"&gt;"&amp;$C$138)</f>
        <v>0</v>
      </c>
      <c r="I38" s="472">
        <f ca="1">-COUNTIFS('Combined Employee Worksheet'!$J:$J,"&gt;="&amp;'Adj. Employee Retention'!I$5,'Combined Employee Worksheet'!$J:$J,"&lt;="&amp;'Adj. Employee Retention'!I$1,'Combined Employee Worksheet'!$D:$D,'Adj. Employee Retention'!$B33,'Combined Employee Worksheet'!$K:$K,"&gt;"&amp;$C$138)</f>
        <v>-2</v>
      </c>
      <c r="J38" s="472">
        <f ca="1">-COUNTIFS('Combined Employee Worksheet'!$J:$J,"&gt;="&amp;'Adj. Employee Retention'!J$5,'Combined Employee Worksheet'!$J:$J,"&lt;="&amp;'Adj. Employee Retention'!J$1,'Combined Employee Worksheet'!$D:$D,'Adj. Employee Retention'!$B33,'Combined Employee Worksheet'!$K:$K,"&gt;"&amp;$C$138)</f>
        <v>-1</v>
      </c>
      <c r="K38" s="472">
        <f>-COUNTIFS('Combined Employee Worksheet'!$J:$J,"&gt;="&amp;'Adj. Employee Retention'!K$5,'Combined Employee Worksheet'!$J:$J,"&lt;="&amp;'Adj. Employee Retention'!K$1,'Combined Employee Worksheet'!$D:$D,'Adj. Employee Retention'!$B33,'Combined Employee Worksheet'!$K:$K,"&gt;"&amp;$C$138)</f>
        <v>0</v>
      </c>
      <c r="L38" s="472">
        <f>-COUNTIFS('Combined Employee Worksheet'!$J:$J,"&gt;="&amp;'Adj. Employee Retention'!L$5,'Combined Employee Worksheet'!$J:$J,"&lt;="&amp;'Adj. Employee Retention'!L$1,'Combined Employee Worksheet'!$D:$D,'Adj. Employee Retention'!$B33,'Combined Employee Worksheet'!$K:$K,"&gt;"&amp;$C$138)</f>
        <v>0</v>
      </c>
      <c r="M38" s="472">
        <f ca="1">-COUNTIFS('Combined Employee Worksheet'!$J:$J,"&gt;="&amp;'Adj. Employee Retention'!M$5,'Combined Employee Worksheet'!$J:$J,"&lt;="&amp;'Adj. Employee Retention'!M$1,'Combined Employee Worksheet'!$D:$D,'Adj. Employee Retention'!$B33,'Combined Employee Worksheet'!$K:$K,"&gt;"&amp;$C$138)</f>
        <v>-1</v>
      </c>
      <c r="N38" s="472">
        <f>-COUNTIFS('Combined Employee Worksheet'!$J:$J,"&gt;="&amp;'Adj. Employee Retention'!N$5,'Combined Employee Worksheet'!$J:$J,"&lt;="&amp;'Adj. Employee Retention'!N$1,'Combined Employee Worksheet'!$D:$D,'Adj. Employee Retention'!$B33,'Combined Employee Worksheet'!$K:$K,"&gt;"&amp;$C$138)</f>
        <v>0</v>
      </c>
      <c r="O38" s="472">
        <f>-COUNTIFS('Combined Employee Worksheet'!$J:$J,"&gt;="&amp;'Adj. Employee Retention'!O$5,'Combined Employee Worksheet'!$J:$J,"&lt;="&amp;'Adj. Employee Retention'!O$1,'Combined Employee Worksheet'!$D:$D,'Adj. Employee Retention'!$B33,'Combined Employee Worksheet'!$K:$K,"&gt;"&amp;$C$138)</f>
        <v>0</v>
      </c>
      <c r="P38" s="472">
        <f>-COUNTIFS('Combined Employee Worksheet'!$J:$J,"&gt;="&amp;'Adj. Employee Retention'!P$5,'Combined Employee Worksheet'!$J:$J,"&lt;="&amp;'Adj. Employee Retention'!P$1,'Combined Employee Worksheet'!$D:$D,'Adj. Employee Retention'!$B33,'Combined Employee Worksheet'!$K:$K,"&gt;"&amp;$C$138)</f>
        <v>0</v>
      </c>
      <c r="Q38" s="472">
        <f>-COUNTIFS('Combined Employee Worksheet'!$J:$J,"&gt;="&amp;'Adj. Employee Retention'!Q$5,'Combined Employee Worksheet'!$J:$J,"&lt;="&amp;'Adj. Employee Retention'!Q$1,'Combined Employee Worksheet'!$D:$D,'Adj. Employee Retention'!$B33,'Combined Employee Worksheet'!$K:$K,"&gt;"&amp;$C$138)</f>
        <v>0</v>
      </c>
      <c r="R38" s="472">
        <f ca="1">-COUNTIFS('Combined Employee Worksheet'!$J:$J,"&gt;="&amp;'Adj. Employee Retention'!R$5,'Combined Employee Worksheet'!$J:$J,"&lt;="&amp;'Adj. Employee Retention'!R$1,'Combined Employee Worksheet'!$D:$D,'Adj. Employee Retention'!$B33,'Combined Employee Worksheet'!$K:$K,"&gt;"&amp;$C$138)</f>
        <v>0</v>
      </c>
      <c r="S38" s="472">
        <f>-COUNTIFS('Combined Employee Worksheet'!$J:$J,"&gt;="&amp;'Adj. Employee Retention'!S$5,'Combined Employee Worksheet'!$J:$J,"&lt;="&amp;'Adj. Employee Retention'!S$1,'Combined Employee Worksheet'!$D:$D,'Adj. Employee Retention'!$B33,'Combined Employee Worksheet'!$K:$K,"&gt;"&amp;$C$138)</f>
        <v>0</v>
      </c>
      <c r="T38" s="472">
        <f>-COUNTIFS('Combined Employee Worksheet'!$J:$J,"&gt;="&amp;'Adj. Employee Retention'!T$5,'Combined Employee Worksheet'!$J:$J,"&lt;="&amp;'Adj. Employee Retention'!T$1,'Combined Employee Worksheet'!$D:$D,'Adj. Employee Retention'!$B33,'Combined Employee Worksheet'!$K:$K,"&gt;"&amp;$C$138)</f>
        <v>0</v>
      </c>
      <c r="U38" s="472">
        <f ca="1">-COUNTIFS('Combined Employee Worksheet'!$J:$J,"&gt;="&amp;'Adj. Employee Retention'!U$5,'Combined Employee Worksheet'!$J:$J,"&lt;="&amp;'Adj. Employee Retention'!U$1,'Combined Employee Worksheet'!$D:$D,'Adj. Employee Retention'!$B33,'Combined Employee Worksheet'!$K:$K,"&gt;"&amp;$C$138)</f>
        <v>-1</v>
      </c>
      <c r="V38" s="472">
        <f>-COUNTIFS('Combined Employee Worksheet'!$J:$J,"&gt;="&amp;'Adj. Employee Retention'!V$5,'Combined Employee Worksheet'!$J:$J,"&lt;="&amp;'Adj. Employee Retention'!V$1,'Combined Employee Worksheet'!$D:$D,'Adj. Employee Retention'!$B33,'Combined Employee Worksheet'!$K:$K,"&gt;"&amp;$C$138)</f>
        <v>0</v>
      </c>
      <c r="W38" s="472">
        <f>-COUNTIFS('Combined Employee Worksheet'!$J:$J,"&gt;="&amp;'Adj. Employee Retention'!W$5,'Combined Employee Worksheet'!$J:$J,"&lt;="&amp;'Adj. Employee Retention'!W$1,'Combined Employee Worksheet'!$D:$D,'Adj. Employee Retention'!$B33,'Combined Employee Worksheet'!$K:$K,"&gt;"&amp;$C$138)</f>
        <v>0</v>
      </c>
      <c r="X38" s="472">
        <f ca="1">-COUNTIFS('Combined Employee Worksheet'!$J:$J,"&gt;="&amp;'Adj. Employee Retention'!X$5,'Combined Employee Worksheet'!$J:$J,"&lt;="&amp;'Adj. Employee Retention'!X$1,'Combined Employee Worksheet'!$D:$D,'Adj. Employee Retention'!$B33,'Combined Employee Worksheet'!$K:$K,"&gt;"&amp;$C$138)</f>
        <v>0</v>
      </c>
      <c r="Y38" s="472">
        <f ca="1">-COUNTIFS('Combined Employee Worksheet'!$J:$J,"&gt;="&amp;'Adj. Employee Retention'!Y$5,'Combined Employee Worksheet'!$J:$J,"&lt;="&amp;'Adj. Employee Retention'!Y$1,'Combined Employee Worksheet'!$D:$D,'Adj. Employee Retention'!$B33,'Combined Employee Worksheet'!$K:$K,"&gt;"&amp;$C$138)</f>
        <v>0</v>
      </c>
      <c r="Z38" s="472">
        <f>-COUNTIFS('Combined Employee Worksheet'!$J:$J,"&gt;="&amp;'Adj. Employee Retention'!Z$5,'Combined Employee Worksheet'!$J:$J,"&lt;="&amp;'Adj. Employee Retention'!Z$1,'Combined Employee Worksheet'!$D:$D,'Adj. Employee Retention'!$B33,'Combined Employee Worksheet'!$K:$K,"&gt;"&amp;$C$138)</f>
        <v>0</v>
      </c>
      <c r="AA38" s="472">
        <f>-COUNTIFS('Combined Employee Worksheet'!$J:$J,"&gt;="&amp;'Adj. Employee Retention'!AA$5,'Combined Employee Worksheet'!$J:$J,"&lt;="&amp;'Adj. Employee Retention'!AA$1,'Combined Employee Worksheet'!$D:$D,'Adj. Employee Retention'!$B33,'Combined Employee Worksheet'!$K:$K,"&gt;"&amp;$C$138)</f>
        <v>0</v>
      </c>
      <c r="AB38" s="472">
        <f ca="1">-COUNTIFS('Combined Employee Worksheet'!$J:$J,"&gt;="&amp;'Adj. Employee Retention'!AB$5,'Combined Employee Worksheet'!$J:$J,"&lt;="&amp;'Adj. Employee Retention'!AB$1,'Combined Employee Worksheet'!$D:$D,'Adj. Employee Retention'!$B33,'Combined Employee Worksheet'!$K:$K,"&gt;"&amp;$C$138)</f>
        <v>-2</v>
      </c>
      <c r="AC38" s="417"/>
      <c r="AD38" s="417"/>
      <c r="AE38" s="417"/>
    </row>
    <row r="39" spans="1:31" ht="12" customHeight="1">
      <c r="A39" s="417"/>
      <c r="B39" s="474" t="s">
        <v>1315</v>
      </c>
      <c r="C39" s="475">
        <f ca="1">+D36</f>
        <v>13</v>
      </c>
      <c r="D39" s="476">
        <f>+$AB39</f>
        <v>16</v>
      </c>
      <c r="E39" s="417"/>
      <c r="F39" s="477">
        <f>+$AB39</f>
        <v>16</v>
      </c>
      <c r="G39" s="417"/>
      <c r="H39" s="478">
        <f t="shared" ref="H39:AA39" ca="1" si="22">+I36</f>
        <v>14</v>
      </c>
      <c r="I39" s="475">
        <f t="shared" ca="1" si="22"/>
        <v>12</v>
      </c>
      <c r="J39" s="475">
        <f t="shared" ca="1" si="22"/>
        <v>13</v>
      </c>
      <c r="K39" s="475">
        <f t="shared" ca="1" si="22"/>
        <v>13</v>
      </c>
      <c r="L39" s="475">
        <f t="shared" ca="1" si="22"/>
        <v>13</v>
      </c>
      <c r="M39" s="475">
        <f t="shared" ca="1" si="22"/>
        <v>12</v>
      </c>
      <c r="N39" s="475">
        <f t="shared" ca="1" si="22"/>
        <v>12</v>
      </c>
      <c r="O39" s="475">
        <f t="shared" ca="1" si="22"/>
        <v>12</v>
      </c>
      <c r="P39" s="475">
        <f t="shared" ca="1" si="22"/>
        <v>12</v>
      </c>
      <c r="Q39" s="478">
        <f t="shared" ca="1" si="22"/>
        <v>12</v>
      </c>
      <c r="R39" s="475">
        <f t="shared" ca="1" si="22"/>
        <v>13</v>
      </c>
      <c r="S39" s="475">
        <f t="shared" ca="1" si="22"/>
        <v>13</v>
      </c>
      <c r="T39" s="475">
        <f t="shared" ca="1" si="22"/>
        <v>13</v>
      </c>
      <c r="U39" s="475">
        <f t="shared" ca="1" si="22"/>
        <v>14</v>
      </c>
      <c r="V39" s="475">
        <f t="shared" ca="1" si="22"/>
        <v>15</v>
      </c>
      <c r="W39" s="475">
        <f t="shared" ca="1" si="22"/>
        <v>15</v>
      </c>
      <c r="X39" s="475">
        <f t="shared" ca="1" si="22"/>
        <v>16</v>
      </c>
      <c r="Y39" s="475">
        <f t="shared" ca="1" si="22"/>
        <v>16</v>
      </c>
      <c r="Z39" s="475">
        <f t="shared" ca="1" si="22"/>
        <v>17</v>
      </c>
      <c r="AA39" s="475">
        <f t="shared" ca="1" si="22"/>
        <v>18</v>
      </c>
      <c r="AB39" s="479">
        <f>COUNTIFS('Combined Employee Worksheet'!$H:$H,"Active",'Combined Employee Worksheet'!$D:$D,'Adj. Employee Retention'!B33)</f>
        <v>16</v>
      </c>
      <c r="AC39" s="417"/>
      <c r="AD39" s="417"/>
      <c r="AE39" s="417"/>
    </row>
    <row r="40" spans="1:31" ht="3.95" customHeight="1">
      <c r="A40" s="417"/>
      <c r="B40" s="480"/>
      <c r="C40" s="481"/>
      <c r="D40" s="481"/>
      <c r="E40" s="417"/>
      <c r="F40" s="481"/>
      <c r="G40" s="417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501"/>
      <c r="AC40" s="417"/>
      <c r="AD40" s="417"/>
      <c r="AE40" s="417"/>
    </row>
    <row r="41" spans="1:31" ht="12" customHeight="1">
      <c r="A41" s="417"/>
      <c r="B41" s="487" t="s">
        <v>1817</v>
      </c>
      <c r="C41" s="502">
        <f ca="1">AVERAGE(C36,C39)</f>
        <v>13</v>
      </c>
      <c r="D41" s="503">
        <f ca="1">AVERAGE(D36,D39)</f>
        <v>14.5</v>
      </c>
      <c r="E41" s="417"/>
      <c r="F41" s="504">
        <f ca="1">AVERAGE(F36,F39)</f>
        <v>14</v>
      </c>
      <c r="G41" s="417"/>
      <c r="H41" s="505">
        <f t="shared" ref="H41:AB41" ca="1" si="23">AVERAGE(H36,H39)</f>
        <v>13.5</v>
      </c>
      <c r="I41" s="502">
        <f t="shared" ca="1" si="23"/>
        <v>13</v>
      </c>
      <c r="J41" s="502">
        <f t="shared" ca="1" si="23"/>
        <v>12.5</v>
      </c>
      <c r="K41" s="502">
        <f t="shared" ca="1" si="23"/>
        <v>13</v>
      </c>
      <c r="L41" s="502">
        <f t="shared" ca="1" si="23"/>
        <v>13</v>
      </c>
      <c r="M41" s="502">
        <f t="shared" ca="1" si="23"/>
        <v>12.5</v>
      </c>
      <c r="N41" s="502">
        <f t="shared" ca="1" si="23"/>
        <v>12</v>
      </c>
      <c r="O41" s="502">
        <f t="shared" ca="1" si="23"/>
        <v>12</v>
      </c>
      <c r="P41" s="502">
        <f t="shared" ca="1" si="23"/>
        <v>12</v>
      </c>
      <c r="Q41" s="505">
        <f t="shared" ca="1" si="23"/>
        <v>12</v>
      </c>
      <c r="R41" s="502">
        <f t="shared" ca="1" si="23"/>
        <v>12.5</v>
      </c>
      <c r="S41" s="502">
        <f t="shared" ca="1" si="23"/>
        <v>13</v>
      </c>
      <c r="T41" s="502">
        <f t="shared" ca="1" si="23"/>
        <v>13</v>
      </c>
      <c r="U41" s="502">
        <f t="shared" ca="1" si="23"/>
        <v>13.5</v>
      </c>
      <c r="V41" s="502">
        <f t="shared" ca="1" si="23"/>
        <v>14.5</v>
      </c>
      <c r="W41" s="502">
        <f t="shared" ca="1" si="23"/>
        <v>15</v>
      </c>
      <c r="X41" s="502">
        <f t="shared" ca="1" si="23"/>
        <v>15.5</v>
      </c>
      <c r="Y41" s="502">
        <f t="shared" ca="1" si="23"/>
        <v>16</v>
      </c>
      <c r="Z41" s="502">
        <f t="shared" ca="1" si="23"/>
        <v>16.5</v>
      </c>
      <c r="AA41" s="502">
        <f t="shared" ca="1" si="23"/>
        <v>17.5</v>
      </c>
      <c r="AB41" s="503">
        <f t="shared" ca="1" si="23"/>
        <v>17</v>
      </c>
      <c r="AC41" s="417"/>
      <c r="AD41" s="417"/>
      <c r="AE41" s="417"/>
    </row>
    <row r="42" spans="1:31" ht="12" customHeight="1">
      <c r="A42" s="417"/>
      <c r="B42" s="493" t="s">
        <v>1816</v>
      </c>
      <c r="C42" s="506">
        <f ca="1">C34/C41</f>
        <v>12.5</v>
      </c>
      <c r="D42" s="507">
        <f ca="1">D34/D41</f>
        <v>12.379310344827585</v>
      </c>
      <c r="E42" s="470"/>
      <c r="F42" s="508">
        <f ca="1">F34/F41</f>
        <v>12.714285714285714</v>
      </c>
      <c r="G42" s="470"/>
      <c r="H42" s="509">
        <f t="shared" ref="H42:AB42" ca="1" si="24">H34/H41</f>
        <v>10.814814814814815</v>
      </c>
      <c r="I42" s="506">
        <f t="shared" ca="1" si="24"/>
        <v>11.346153846153847</v>
      </c>
      <c r="J42" s="506">
        <f t="shared" ca="1" si="24"/>
        <v>12.08</v>
      </c>
      <c r="K42" s="506">
        <f t="shared" ca="1" si="24"/>
        <v>12.038461538461538</v>
      </c>
      <c r="L42" s="506">
        <f t="shared" ca="1" si="24"/>
        <v>12.461538461538462</v>
      </c>
      <c r="M42" s="506">
        <f t="shared" ca="1" si="24"/>
        <v>13.2</v>
      </c>
      <c r="N42" s="506">
        <f t="shared" ca="1" si="24"/>
        <v>13.916666666666666</v>
      </c>
      <c r="O42" s="506">
        <f t="shared" ca="1" si="24"/>
        <v>14.333333333333334</v>
      </c>
      <c r="P42" s="506">
        <f t="shared" ca="1" si="24"/>
        <v>14.666666666666666</v>
      </c>
      <c r="Q42" s="509">
        <f t="shared" ca="1" si="24"/>
        <v>14.958333333333334</v>
      </c>
      <c r="R42" s="506">
        <f t="shared" ca="1" si="24"/>
        <v>14.52</v>
      </c>
      <c r="S42" s="506">
        <f t="shared" ca="1" si="24"/>
        <v>13.884615384615385</v>
      </c>
      <c r="T42" s="506">
        <f t="shared" ca="1" si="24"/>
        <v>14.076923076923077</v>
      </c>
      <c r="U42" s="506">
        <f t="shared" ca="1" si="24"/>
        <v>14.037037037037036</v>
      </c>
      <c r="V42" s="506">
        <f t="shared" ca="1" si="24"/>
        <v>13.275862068965518</v>
      </c>
      <c r="W42" s="506">
        <f t="shared" ca="1" si="24"/>
        <v>13</v>
      </c>
      <c r="X42" s="506">
        <f t="shared" ca="1" si="24"/>
        <v>12.483870967741936</v>
      </c>
      <c r="Y42" s="506">
        <f t="shared" ca="1" si="24"/>
        <v>11.8125</v>
      </c>
      <c r="Z42" s="506">
        <f t="shared" ca="1" si="24"/>
        <v>11</v>
      </c>
      <c r="AA42" s="506">
        <f t="shared" ca="1" si="24"/>
        <v>9.9714285714285715</v>
      </c>
      <c r="AB42" s="507">
        <f t="shared" ca="1" si="24"/>
        <v>10.411764705882353</v>
      </c>
      <c r="AC42" s="417"/>
      <c r="AD42" s="417"/>
      <c r="AE42" s="417"/>
    </row>
    <row r="43" spans="1:31" ht="3.95" customHeight="1">
      <c r="A43" s="417"/>
      <c r="B43" s="480"/>
      <c r="C43" s="481"/>
      <c r="D43" s="481"/>
      <c r="E43" s="417"/>
      <c r="F43" s="481"/>
      <c r="G43" s="417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2"/>
      <c r="AA43" s="482"/>
      <c r="AB43" s="482"/>
      <c r="AC43" s="417"/>
      <c r="AD43" s="417"/>
      <c r="AE43" s="417"/>
    </row>
    <row r="44" spans="1:31" ht="12" customHeight="1">
      <c r="A44" s="417"/>
      <c r="B44" s="487" t="s">
        <v>1813</v>
      </c>
      <c r="C44" s="488">
        <f ca="1">(C37+C36)/C36-1</f>
        <v>0.30769230769230771</v>
      </c>
      <c r="D44" s="489">
        <f ca="1">(D37+D36)/D36-1</f>
        <v>0.46153846153846145</v>
      </c>
      <c r="E44" s="490"/>
      <c r="F44" s="491">
        <f ca="1">(F37+F36)/F36-1</f>
        <v>0.58333333333333326</v>
      </c>
      <c r="G44" s="417"/>
      <c r="H44" s="492">
        <f t="shared" ref="H44:AB44" ca="1" si="25">(H37+H36)/H36-1</f>
        <v>7.6923076923076872E-2</v>
      </c>
      <c r="I44" s="488">
        <f t="shared" ca="1" si="25"/>
        <v>0</v>
      </c>
      <c r="J44" s="488">
        <f t="shared" ca="1" si="25"/>
        <v>0.16666666666666674</v>
      </c>
      <c r="K44" s="488">
        <f t="shared" ca="1" si="25"/>
        <v>0</v>
      </c>
      <c r="L44" s="488">
        <f t="shared" ca="1" si="25"/>
        <v>0</v>
      </c>
      <c r="M44" s="488">
        <f t="shared" ca="1" si="25"/>
        <v>0</v>
      </c>
      <c r="N44" s="488">
        <f t="shared" ca="1" si="25"/>
        <v>0</v>
      </c>
      <c r="O44" s="488">
        <f t="shared" ca="1" si="25"/>
        <v>0</v>
      </c>
      <c r="P44" s="488">
        <f t="shared" ca="1" si="25"/>
        <v>0</v>
      </c>
      <c r="Q44" s="492">
        <f t="shared" ca="1" si="25"/>
        <v>0</v>
      </c>
      <c r="R44" s="488">
        <f t="shared" ca="1" si="25"/>
        <v>8.3333333333333259E-2</v>
      </c>
      <c r="S44" s="488">
        <f t="shared" ca="1" si="25"/>
        <v>0</v>
      </c>
      <c r="T44" s="488">
        <f t="shared" ca="1" si="25"/>
        <v>0</v>
      </c>
      <c r="U44" s="488">
        <f t="shared" ca="1" si="25"/>
        <v>0.15384615384615374</v>
      </c>
      <c r="V44" s="488">
        <f t="shared" ca="1" si="25"/>
        <v>7.1428571428571397E-2</v>
      </c>
      <c r="W44" s="488">
        <f t="shared" ca="1" si="25"/>
        <v>0</v>
      </c>
      <c r="X44" s="488">
        <f t="shared" ca="1" si="25"/>
        <v>6.6666666666666652E-2</v>
      </c>
      <c r="Y44" s="488">
        <f t="shared" ca="1" si="25"/>
        <v>0</v>
      </c>
      <c r="Z44" s="488">
        <f t="shared" ca="1" si="25"/>
        <v>6.25E-2</v>
      </c>
      <c r="AA44" s="488">
        <f t="shared" ca="1" si="25"/>
        <v>5.8823529411764719E-2</v>
      </c>
      <c r="AB44" s="489">
        <f t="shared" ca="1" si="25"/>
        <v>0</v>
      </c>
      <c r="AC44" s="417"/>
      <c r="AD44" s="417"/>
      <c r="AE44" s="417"/>
    </row>
    <row r="45" spans="1:31">
      <c r="A45" s="417"/>
      <c r="B45" s="493" t="s">
        <v>1812</v>
      </c>
      <c r="C45" s="494">
        <f ca="1">(C38+C41)/C41-1</f>
        <v>-0.30769230769230771</v>
      </c>
      <c r="D45" s="495">
        <f ca="1">(D38+D41)/D41-1</f>
        <v>-0.2068965517241379</v>
      </c>
      <c r="E45" s="490"/>
      <c r="F45" s="496">
        <f ca="1">(F38+F41)/F41-1</f>
        <v>-0.2142857142857143</v>
      </c>
      <c r="G45" s="417"/>
      <c r="H45" s="497">
        <f t="shared" ref="H45:AB45" ca="1" si="26">(H38+H41)/H41-1</f>
        <v>0</v>
      </c>
      <c r="I45" s="494">
        <f t="shared" ca="1" si="26"/>
        <v>-0.15384615384615385</v>
      </c>
      <c r="J45" s="494">
        <f t="shared" ca="1" si="26"/>
        <v>-7.999999999999996E-2</v>
      </c>
      <c r="K45" s="494">
        <f t="shared" ca="1" si="26"/>
        <v>0</v>
      </c>
      <c r="L45" s="494">
        <f t="shared" ca="1" si="26"/>
        <v>0</v>
      </c>
      <c r="M45" s="494">
        <f t="shared" ca="1" si="26"/>
        <v>-7.999999999999996E-2</v>
      </c>
      <c r="N45" s="494">
        <f t="shared" ca="1" si="26"/>
        <v>0</v>
      </c>
      <c r="O45" s="494">
        <f t="shared" ca="1" si="26"/>
        <v>0</v>
      </c>
      <c r="P45" s="494">
        <f t="shared" ca="1" si="26"/>
        <v>0</v>
      </c>
      <c r="Q45" s="497">
        <f t="shared" ca="1" si="26"/>
        <v>0</v>
      </c>
      <c r="R45" s="494">
        <f t="shared" ca="1" si="26"/>
        <v>0</v>
      </c>
      <c r="S45" s="494">
        <f t="shared" ca="1" si="26"/>
        <v>0</v>
      </c>
      <c r="T45" s="494">
        <f t="shared" ca="1" si="26"/>
        <v>0</v>
      </c>
      <c r="U45" s="494">
        <f t="shared" ca="1" si="26"/>
        <v>-7.407407407407407E-2</v>
      </c>
      <c r="V45" s="494">
        <f t="shared" ca="1" si="26"/>
        <v>0</v>
      </c>
      <c r="W45" s="494">
        <f t="shared" ca="1" si="26"/>
        <v>0</v>
      </c>
      <c r="X45" s="494">
        <f t="shared" ca="1" si="26"/>
        <v>0</v>
      </c>
      <c r="Y45" s="494">
        <f t="shared" ca="1" si="26"/>
        <v>0</v>
      </c>
      <c r="Z45" s="494">
        <f t="shared" ca="1" si="26"/>
        <v>0</v>
      </c>
      <c r="AA45" s="494">
        <f t="shared" ca="1" si="26"/>
        <v>0</v>
      </c>
      <c r="AB45" s="495">
        <f t="shared" ca="1" si="26"/>
        <v>-0.11764705882352944</v>
      </c>
      <c r="AC45" s="417"/>
      <c r="AD45" s="417"/>
      <c r="AE45" s="417"/>
    </row>
    <row r="46" spans="1:31" ht="3.95" customHeight="1">
      <c r="A46" s="417"/>
      <c r="B46" s="480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</row>
    <row r="47" spans="1:31" ht="24">
      <c r="A47" s="417"/>
      <c r="B47" s="462" t="s">
        <v>1997</v>
      </c>
      <c r="C47" s="463" t="s">
        <v>4</v>
      </c>
      <c r="D47" s="463" t="s">
        <v>1317</v>
      </c>
      <c r="E47" s="464"/>
      <c r="F47" s="463" t="s">
        <v>1527</v>
      </c>
      <c r="G47" s="417"/>
      <c r="H47" s="465">
        <v>45658</v>
      </c>
      <c r="I47" s="465">
        <f t="shared" ref="I47:N47" si="27">EOMONTH(H47,0)+1</f>
        <v>45689</v>
      </c>
      <c r="J47" s="465">
        <f t="shared" si="27"/>
        <v>45717</v>
      </c>
      <c r="K47" s="465">
        <f t="shared" si="27"/>
        <v>45748</v>
      </c>
      <c r="L47" s="465">
        <f t="shared" si="27"/>
        <v>45778</v>
      </c>
      <c r="M47" s="465">
        <f t="shared" si="27"/>
        <v>45809</v>
      </c>
      <c r="N47" s="465">
        <f t="shared" si="27"/>
        <v>45839</v>
      </c>
      <c r="O47" s="465">
        <v>45870</v>
      </c>
      <c r="P47" s="465">
        <f t="shared" ref="P47:AB47" si="28">EOMONTH(O47,0)+1</f>
        <v>45901</v>
      </c>
      <c r="Q47" s="465">
        <f t="shared" si="28"/>
        <v>45931</v>
      </c>
      <c r="R47" s="465">
        <f t="shared" si="28"/>
        <v>45962</v>
      </c>
      <c r="S47" s="465">
        <f t="shared" si="28"/>
        <v>45992</v>
      </c>
      <c r="T47" s="465">
        <f t="shared" si="28"/>
        <v>46023</v>
      </c>
      <c r="U47" s="465">
        <f t="shared" si="28"/>
        <v>46054</v>
      </c>
      <c r="V47" s="465">
        <f t="shared" si="28"/>
        <v>46082</v>
      </c>
      <c r="W47" s="465">
        <f t="shared" si="28"/>
        <v>46113</v>
      </c>
      <c r="X47" s="465">
        <f t="shared" si="28"/>
        <v>46143</v>
      </c>
      <c r="Y47" s="465">
        <f t="shared" si="28"/>
        <v>46174</v>
      </c>
      <c r="Z47" s="465">
        <f t="shared" si="28"/>
        <v>46204</v>
      </c>
      <c r="AA47" s="465">
        <f t="shared" si="28"/>
        <v>46235</v>
      </c>
      <c r="AB47" s="465">
        <f t="shared" si="28"/>
        <v>46266</v>
      </c>
      <c r="AC47" s="466"/>
      <c r="AD47" s="417"/>
      <c r="AE47" s="466"/>
    </row>
    <row r="48" spans="1:31">
      <c r="A48" s="417"/>
      <c r="B48" s="498" t="s">
        <v>1361</v>
      </c>
      <c r="C48" s="468"/>
      <c r="D48" s="468"/>
      <c r="E48" s="469"/>
      <c r="F48" s="468"/>
      <c r="G48" s="417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9"/>
      <c r="AD48" s="469"/>
      <c r="AE48" s="469"/>
    </row>
    <row r="49" spans="1:31">
      <c r="A49" s="417"/>
      <c r="B49" s="469" t="s">
        <v>1818</v>
      </c>
      <c r="C49" s="510">
        <f>+C$19</f>
        <v>162.5</v>
      </c>
      <c r="D49" s="510">
        <f>+D$19</f>
        <v>179.5</v>
      </c>
      <c r="E49" s="469"/>
      <c r="F49" s="510">
        <f>+F$19</f>
        <v>178</v>
      </c>
      <c r="G49" s="417"/>
      <c r="H49" s="510">
        <f>+H$19</f>
        <v>146</v>
      </c>
      <c r="I49" s="510">
        <f t="shared" ref="I49:AB49" si="29">+I$19</f>
        <v>147.5</v>
      </c>
      <c r="J49" s="510">
        <f t="shared" si="29"/>
        <v>151</v>
      </c>
      <c r="K49" s="510">
        <f t="shared" si="29"/>
        <v>156.5</v>
      </c>
      <c r="L49" s="510">
        <f t="shared" si="29"/>
        <v>162</v>
      </c>
      <c r="M49" s="510">
        <f t="shared" si="29"/>
        <v>165</v>
      </c>
      <c r="N49" s="510">
        <f t="shared" si="29"/>
        <v>167</v>
      </c>
      <c r="O49" s="510">
        <f t="shared" si="29"/>
        <v>172</v>
      </c>
      <c r="P49" s="510">
        <f t="shared" si="29"/>
        <v>176</v>
      </c>
      <c r="Q49" s="510">
        <f t="shared" si="29"/>
        <v>179.5</v>
      </c>
      <c r="R49" s="510">
        <f t="shared" si="29"/>
        <v>181.5</v>
      </c>
      <c r="S49" s="510">
        <f t="shared" si="29"/>
        <v>180.5</v>
      </c>
      <c r="T49" s="510">
        <f t="shared" si="29"/>
        <v>183</v>
      </c>
      <c r="U49" s="510">
        <f t="shared" si="29"/>
        <v>189.5</v>
      </c>
      <c r="V49" s="510">
        <f t="shared" si="29"/>
        <v>192.5</v>
      </c>
      <c r="W49" s="510">
        <f t="shared" si="29"/>
        <v>195</v>
      </c>
      <c r="X49" s="510">
        <f t="shared" si="29"/>
        <v>193.5</v>
      </c>
      <c r="Y49" s="510">
        <f t="shared" si="29"/>
        <v>189</v>
      </c>
      <c r="Z49" s="510">
        <f t="shared" si="29"/>
        <v>181.5</v>
      </c>
      <c r="AA49" s="510">
        <f t="shared" si="29"/>
        <v>174.5</v>
      </c>
      <c r="AB49" s="510">
        <f t="shared" si="29"/>
        <v>177</v>
      </c>
      <c r="AC49" s="469"/>
      <c r="AD49" s="469"/>
      <c r="AE49" s="469"/>
    </row>
    <row r="50" spans="1:31" ht="3.95" customHeight="1">
      <c r="A50" s="417"/>
      <c r="B50" s="500"/>
      <c r="C50" s="469"/>
      <c r="D50" s="469"/>
      <c r="E50" s="469"/>
      <c r="F50" s="469"/>
      <c r="G50" s="417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</row>
    <row r="51" spans="1:31">
      <c r="A51" s="417"/>
      <c r="B51" s="417" t="s">
        <v>1313</v>
      </c>
      <c r="C51" s="470">
        <f ca="1">+C54-C52-C53</f>
        <v>1</v>
      </c>
      <c r="D51" s="470">
        <f ca="1">+D54-D52-D53</f>
        <v>2</v>
      </c>
      <c r="E51" s="417"/>
      <c r="F51" s="470">
        <f ca="1">+F54-F52-F53</f>
        <v>3</v>
      </c>
      <c r="G51" s="417"/>
      <c r="H51" s="470">
        <f t="shared" ref="H51:AB51" ca="1" si="30">+H54-H52-H53</f>
        <v>1</v>
      </c>
      <c r="I51" s="470">
        <f t="shared" ca="1" si="30"/>
        <v>1</v>
      </c>
      <c r="J51" s="470">
        <f t="shared" ca="1" si="30"/>
        <v>1</v>
      </c>
      <c r="K51" s="470">
        <f t="shared" ca="1" si="30"/>
        <v>2</v>
      </c>
      <c r="L51" s="470">
        <f t="shared" ca="1" si="30"/>
        <v>2</v>
      </c>
      <c r="M51" s="470">
        <f t="shared" ca="1" si="30"/>
        <v>2</v>
      </c>
      <c r="N51" s="470">
        <f t="shared" ca="1" si="30"/>
        <v>2</v>
      </c>
      <c r="O51" s="470">
        <f t="shared" ca="1" si="30"/>
        <v>2</v>
      </c>
      <c r="P51" s="470">
        <f t="shared" ca="1" si="30"/>
        <v>2</v>
      </c>
      <c r="Q51" s="470">
        <f t="shared" ca="1" si="30"/>
        <v>3</v>
      </c>
      <c r="R51" s="470">
        <f t="shared" ca="1" si="30"/>
        <v>3</v>
      </c>
      <c r="S51" s="470">
        <f t="shared" ca="1" si="30"/>
        <v>3</v>
      </c>
      <c r="T51" s="470">
        <f t="shared" ca="1" si="30"/>
        <v>2</v>
      </c>
      <c r="U51" s="470">
        <f t="shared" ca="1" si="30"/>
        <v>2</v>
      </c>
      <c r="V51" s="470">
        <f t="shared" ca="1" si="30"/>
        <v>4</v>
      </c>
      <c r="W51" s="470">
        <f t="shared" ca="1" si="30"/>
        <v>4</v>
      </c>
      <c r="X51" s="470">
        <f t="shared" ca="1" si="30"/>
        <v>4</v>
      </c>
      <c r="Y51" s="470">
        <f t="shared" ca="1" si="30"/>
        <v>4</v>
      </c>
      <c r="Z51" s="470">
        <f t="shared" ca="1" si="30"/>
        <v>4</v>
      </c>
      <c r="AA51" s="470">
        <f t="shared" ca="1" si="30"/>
        <v>4</v>
      </c>
      <c r="AB51" s="470">
        <f t="shared" si="30"/>
        <v>4</v>
      </c>
      <c r="AC51" s="417"/>
      <c r="AD51" s="417"/>
      <c r="AE51" s="417"/>
    </row>
    <row r="52" spans="1:31">
      <c r="A52" s="417"/>
      <c r="B52" s="471" t="s">
        <v>1814</v>
      </c>
      <c r="C52" s="433">
        <f ca="1">SUM(H52:S52)</f>
        <v>2</v>
      </c>
      <c r="D52" s="433">
        <f ca="1">SUM(T52:AB52)</f>
        <v>3</v>
      </c>
      <c r="E52" s="417"/>
      <c r="F52" s="433">
        <f ca="1">SUM(Q52:AB52)</f>
        <v>3</v>
      </c>
      <c r="G52" s="417"/>
      <c r="H52" s="472">
        <f>COUNTIFS('Combined Employee Worksheet'!$I:$I,"&gt;="&amp;'Adj. Employee Retention'!H$5,'Combined Employee Worksheet'!$I:$I,"&lt;="&amp;'Adj. Employee Retention'!H$1,'Combined Employee Worksheet'!$D:$D,'Adj. Employee Retention'!$B48)-COUNTIFS('Combined Employee Worksheet'!$I:$I,"&gt;="&amp;'Adj. Employee Retention'!H$5,'Combined Employee Worksheet'!$I:$I,"&lt;="&amp;'Adj. Employee Retention'!H$1,'Combined Employee Worksheet'!$D:$D,'Adj. Employee Retention'!$B48,'Combined Employee Worksheet'!$K:$K,"&lt;="&amp;$C$138,'Combined Employee Worksheet'!$J:$J,"&lt;&gt;")</f>
        <v>0</v>
      </c>
      <c r="I52" s="472">
        <f ca="1">COUNTIFS('Combined Employee Worksheet'!$I:$I,"&gt;="&amp;'Adj. Employee Retention'!I$5,'Combined Employee Worksheet'!$I:$I,"&lt;="&amp;'Adj. Employee Retention'!I$1,'Combined Employee Worksheet'!$D:$D,'Adj. Employee Retention'!$B48)-COUNTIFS('Combined Employee Worksheet'!$I:$I,"&gt;="&amp;'Adj. Employee Retention'!I$5,'Combined Employee Worksheet'!$I:$I,"&lt;="&amp;'Adj. Employee Retention'!I$1,'Combined Employee Worksheet'!$D:$D,'Adj. Employee Retention'!$B48,'Combined Employee Worksheet'!$K:$K,"&lt;="&amp;$C$138,'Combined Employee Worksheet'!$J:$J,"&lt;&gt;")</f>
        <v>0</v>
      </c>
      <c r="J52" s="472">
        <f ca="1">COUNTIFS('Combined Employee Worksheet'!$I:$I,"&gt;="&amp;'Adj. Employee Retention'!J$5,'Combined Employee Worksheet'!$I:$I,"&lt;="&amp;'Adj. Employee Retention'!J$1,'Combined Employee Worksheet'!$D:$D,'Adj. Employee Retention'!$B48)-COUNTIFS('Combined Employee Worksheet'!$I:$I,"&gt;="&amp;'Adj. Employee Retention'!J$5,'Combined Employee Worksheet'!$I:$I,"&lt;="&amp;'Adj. Employee Retention'!J$1,'Combined Employee Worksheet'!$D:$D,'Adj. Employee Retention'!$B48,'Combined Employee Worksheet'!$K:$K,"&lt;="&amp;$C$138,'Combined Employee Worksheet'!$J:$J,"&lt;&gt;")</f>
        <v>1</v>
      </c>
      <c r="K52" s="472">
        <f>COUNTIFS('Combined Employee Worksheet'!$I:$I,"&gt;="&amp;'Adj. Employee Retention'!K$5,'Combined Employee Worksheet'!$I:$I,"&lt;="&amp;'Adj. Employee Retention'!K$1,'Combined Employee Worksheet'!$D:$D,'Adj. Employee Retention'!$B48)-COUNTIFS('Combined Employee Worksheet'!$I:$I,"&gt;="&amp;'Adj. Employee Retention'!K$5,'Combined Employee Worksheet'!$I:$I,"&lt;="&amp;'Adj. Employee Retention'!K$1,'Combined Employee Worksheet'!$D:$D,'Adj. Employee Retention'!$B48,'Combined Employee Worksheet'!$K:$K,"&lt;="&amp;$C$138,'Combined Employee Worksheet'!$J:$J,"&lt;&gt;")</f>
        <v>0</v>
      </c>
      <c r="L52" s="472">
        <f>COUNTIFS('Combined Employee Worksheet'!$I:$I,"&gt;="&amp;'Adj. Employee Retention'!L$5,'Combined Employee Worksheet'!$I:$I,"&lt;="&amp;'Adj. Employee Retention'!L$1,'Combined Employee Worksheet'!$D:$D,'Adj. Employee Retention'!$B48)-COUNTIFS('Combined Employee Worksheet'!$I:$I,"&gt;="&amp;'Adj. Employee Retention'!L$5,'Combined Employee Worksheet'!$I:$I,"&lt;="&amp;'Adj. Employee Retention'!L$1,'Combined Employee Worksheet'!$D:$D,'Adj. Employee Retention'!$B48,'Combined Employee Worksheet'!$K:$K,"&lt;="&amp;$C$138,'Combined Employee Worksheet'!$J:$J,"&lt;&gt;")</f>
        <v>0</v>
      </c>
      <c r="M52" s="472">
        <f>COUNTIFS('Combined Employee Worksheet'!$I:$I,"&gt;="&amp;'Adj. Employee Retention'!M$5,'Combined Employee Worksheet'!$I:$I,"&lt;="&amp;'Adj. Employee Retention'!M$1,'Combined Employee Worksheet'!$D:$D,'Adj. Employee Retention'!$B48)-COUNTIFS('Combined Employee Worksheet'!$I:$I,"&gt;="&amp;'Adj. Employee Retention'!M$5,'Combined Employee Worksheet'!$I:$I,"&lt;="&amp;'Adj. Employee Retention'!M$1,'Combined Employee Worksheet'!$D:$D,'Adj. Employee Retention'!$B48,'Combined Employee Worksheet'!$K:$K,"&lt;="&amp;$C$138,'Combined Employee Worksheet'!$J:$J,"&lt;&gt;")</f>
        <v>0</v>
      </c>
      <c r="N52" s="472">
        <f>COUNTIFS('Combined Employee Worksheet'!$I:$I,"&gt;="&amp;'Adj. Employee Retention'!N$5,'Combined Employee Worksheet'!$I:$I,"&lt;="&amp;'Adj. Employee Retention'!N$1,'Combined Employee Worksheet'!$D:$D,'Adj. Employee Retention'!$B48)-COUNTIFS('Combined Employee Worksheet'!$I:$I,"&gt;="&amp;'Adj. Employee Retention'!N$5,'Combined Employee Worksheet'!$I:$I,"&lt;="&amp;'Adj. Employee Retention'!N$1,'Combined Employee Worksheet'!$D:$D,'Adj. Employee Retention'!$B48,'Combined Employee Worksheet'!$K:$K,"&lt;="&amp;$C$138,'Combined Employee Worksheet'!$J:$J,"&lt;&gt;")</f>
        <v>0</v>
      </c>
      <c r="O52" s="472">
        <f>COUNTIFS('Combined Employee Worksheet'!$I:$I,"&gt;="&amp;'Adj. Employee Retention'!O$5,'Combined Employee Worksheet'!$I:$I,"&lt;="&amp;'Adj. Employee Retention'!O$1,'Combined Employee Worksheet'!$D:$D,'Adj. Employee Retention'!$B48)-COUNTIFS('Combined Employee Worksheet'!$I:$I,"&gt;="&amp;'Adj. Employee Retention'!O$5,'Combined Employee Worksheet'!$I:$I,"&lt;="&amp;'Adj. Employee Retention'!O$1,'Combined Employee Worksheet'!$D:$D,'Adj. Employee Retention'!$B48,'Combined Employee Worksheet'!$K:$K,"&lt;="&amp;$C$138,'Combined Employee Worksheet'!$J:$J,"&lt;&gt;")</f>
        <v>0</v>
      </c>
      <c r="P52" s="472">
        <f ca="1">COUNTIFS('Combined Employee Worksheet'!$I:$I,"&gt;="&amp;'Adj. Employee Retention'!P$5,'Combined Employee Worksheet'!$I:$I,"&lt;="&amp;'Adj. Employee Retention'!P$1,'Combined Employee Worksheet'!$D:$D,'Adj. Employee Retention'!$B48)-COUNTIFS('Combined Employee Worksheet'!$I:$I,"&gt;="&amp;'Adj. Employee Retention'!P$5,'Combined Employee Worksheet'!$I:$I,"&lt;="&amp;'Adj. Employee Retention'!P$1,'Combined Employee Worksheet'!$D:$D,'Adj. Employee Retention'!$B48,'Combined Employee Worksheet'!$K:$K,"&lt;="&amp;$C$138,'Combined Employee Worksheet'!$J:$J,"&lt;&gt;")</f>
        <v>1</v>
      </c>
      <c r="Q52" s="472">
        <f>COUNTIFS('Combined Employee Worksheet'!$I:$I,"&gt;="&amp;'Adj. Employee Retention'!Q$5,'Combined Employee Worksheet'!$I:$I,"&lt;="&amp;'Adj. Employee Retention'!Q$1,'Combined Employee Worksheet'!$D:$D,'Adj. Employee Retention'!$B48)-COUNTIFS('Combined Employee Worksheet'!$I:$I,"&gt;="&amp;'Adj. Employee Retention'!Q$5,'Combined Employee Worksheet'!$I:$I,"&lt;="&amp;'Adj. Employee Retention'!Q$1,'Combined Employee Worksheet'!$D:$D,'Adj. Employee Retention'!$B48,'Combined Employee Worksheet'!$K:$K,"&lt;="&amp;$C$138,'Combined Employee Worksheet'!$J:$J,"&lt;&gt;")</f>
        <v>0</v>
      </c>
      <c r="R52" s="472">
        <f>COUNTIFS('Combined Employee Worksheet'!$I:$I,"&gt;="&amp;'Adj. Employee Retention'!R$5,'Combined Employee Worksheet'!$I:$I,"&lt;="&amp;'Adj. Employee Retention'!R$1,'Combined Employee Worksheet'!$D:$D,'Adj. Employee Retention'!$B48)-COUNTIFS('Combined Employee Worksheet'!$I:$I,"&gt;="&amp;'Adj. Employee Retention'!R$5,'Combined Employee Worksheet'!$I:$I,"&lt;="&amp;'Adj. Employee Retention'!R$1,'Combined Employee Worksheet'!$D:$D,'Adj. Employee Retention'!$B48,'Combined Employee Worksheet'!$K:$K,"&lt;="&amp;$C$138,'Combined Employee Worksheet'!$J:$J,"&lt;&gt;")</f>
        <v>0</v>
      </c>
      <c r="S52" s="472">
        <f>COUNTIFS('Combined Employee Worksheet'!$I:$I,"&gt;="&amp;'Adj. Employee Retention'!S$5,'Combined Employee Worksheet'!$I:$I,"&lt;="&amp;'Adj. Employee Retention'!S$1,'Combined Employee Worksheet'!$D:$D,'Adj. Employee Retention'!$B48)-COUNTIFS('Combined Employee Worksheet'!$I:$I,"&gt;="&amp;'Adj. Employee Retention'!S$5,'Combined Employee Worksheet'!$I:$I,"&lt;="&amp;'Adj. Employee Retention'!S$1,'Combined Employee Worksheet'!$D:$D,'Adj. Employee Retention'!$B48,'Combined Employee Worksheet'!$K:$K,"&lt;="&amp;$C$138,'Combined Employee Worksheet'!$J:$J,"&lt;&gt;")</f>
        <v>0</v>
      </c>
      <c r="T52" s="472">
        <f>COUNTIFS('Combined Employee Worksheet'!$I:$I,"&gt;="&amp;'Adj. Employee Retention'!T$5,'Combined Employee Worksheet'!$I:$I,"&lt;="&amp;'Adj. Employee Retention'!T$1,'Combined Employee Worksheet'!$D:$D,'Adj. Employee Retention'!$B48)-COUNTIFS('Combined Employee Worksheet'!$I:$I,"&gt;="&amp;'Adj. Employee Retention'!T$5,'Combined Employee Worksheet'!$I:$I,"&lt;="&amp;'Adj. Employee Retention'!T$1,'Combined Employee Worksheet'!$D:$D,'Adj. Employee Retention'!$B48,'Combined Employee Worksheet'!$K:$K,"&lt;="&amp;$C$138,'Combined Employee Worksheet'!$J:$J,"&lt;&gt;")</f>
        <v>0</v>
      </c>
      <c r="U52" s="472">
        <f ca="1">COUNTIFS('Combined Employee Worksheet'!$I:$I,"&gt;="&amp;'Adj. Employee Retention'!U$5,'Combined Employee Worksheet'!$I:$I,"&lt;="&amp;'Adj. Employee Retention'!U$1,'Combined Employee Worksheet'!$D:$D,'Adj. Employee Retention'!$B48)-COUNTIFS('Combined Employee Worksheet'!$I:$I,"&gt;="&amp;'Adj. Employee Retention'!U$5,'Combined Employee Worksheet'!$I:$I,"&lt;="&amp;'Adj. Employee Retention'!U$1,'Combined Employee Worksheet'!$D:$D,'Adj. Employee Retention'!$B48,'Combined Employee Worksheet'!$K:$K,"&lt;="&amp;$C$138,'Combined Employee Worksheet'!$J:$J,"&lt;&gt;")</f>
        <v>2</v>
      </c>
      <c r="V52" s="472">
        <f>COUNTIFS('Combined Employee Worksheet'!$I:$I,"&gt;="&amp;'Adj. Employee Retention'!V$5,'Combined Employee Worksheet'!$I:$I,"&lt;="&amp;'Adj. Employee Retention'!V$1,'Combined Employee Worksheet'!$D:$D,'Adj. Employee Retention'!$B48)-COUNTIFS('Combined Employee Worksheet'!$I:$I,"&gt;="&amp;'Adj. Employee Retention'!V$5,'Combined Employee Worksheet'!$I:$I,"&lt;="&amp;'Adj. Employee Retention'!V$1,'Combined Employee Worksheet'!$D:$D,'Adj. Employee Retention'!$B48,'Combined Employee Worksheet'!$K:$K,"&lt;="&amp;$C$138,'Combined Employee Worksheet'!$J:$J,"&lt;&gt;")</f>
        <v>0</v>
      </c>
      <c r="W52" s="472">
        <f>COUNTIFS('Combined Employee Worksheet'!$I:$I,"&gt;="&amp;'Adj. Employee Retention'!W$5,'Combined Employee Worksheet'!$I:$I,"&lt;="&amp;'Adj. Employee Retention'!W$1,'Combined Employee Worksheet'!$D:$D,'Adj. Employee Retention'!$B48)-COUNTIFS('Combined Employee Worksheet'!$I:$I,"&gt;="&amp;'Adj. Employee Retention'!W$5,'Combined Employee Worksheet'!$I:$I,"&lt;="&amp;'Adj. Employee Retention'!W$1,'Combined Employee Worksheet'!$D:$D,'Adj. Employee Retention'!$B48,'Combined Employee Worksheet'!$K:$K,"&lt;="&amp;$C$138,'Combined Employee Worksheet'!$J:$J,"&lt;&gt;")</f>
        <v>0</v>
      </c>
      <c r="X52" s="472">
        <f>COUNTIFS('Combined Employee Worksheet'!$I:$I,"&gt;="&amp;'Adj. Employee Retention'!X$5,'Combined Employee Worksheet'!$I:$I,"&lt;="&amp;'Adj. Employee Retention'!X$1,'Combined Employee Worksheet'!$D:$D,'Adj. Employee Retention'!$B48)-COUNTIFS('Combined Employee Worksheet'!$I:$I,"&gt;="&amp;'Adj. Employee Retention'!X$5,'Combined Employee Worksheet'!$I:$I,"&lt;="&amp;'Adj. Employee Retention'!X$1,'Combined Employee Worksheet'!$D:$D,'Adj. Employee Retention'!$B48,'Combined Employee Worksheet'!$K:$K,"&lt;="&amp;$C$138,'Combined Employee Worksheet'!$J:$J,"&lt;&gt;")</f>
        <v>0</v>
      </c>
      <c r="Y52" s="472">
        <f>COUNTIFS('Combined Employee Worksheet'!$I:$I,"&gt;="&amp;'Adj. Employee Retention'!Y$5,'Combined Employee Worksheet'!$I:$I,"&lt;="&amp;'Adj. Employee Retention'!Y$1,'Combined Employee Worksheet'!$D:$D,'Adj. Employee Retention'!$B48)-COUNTIFS('Combined Employee Worksheet'!$I:$I,"&gt;="&amp;'Adj. Employee Retention'!Y$5,'Combined Employee Worksheet'!$I:$I,"&lt;="&amp;'Adj. Employee Retention'!Y$1,'Combined Employee Worksheet'!$D:$D,'Adj. Employee Retention'!$B48,'Combined Employee Worksheet'!$K:$K,"&lt;="&amp;$C$138,'Combined Employee Worksheet'!$J:$J,"&lt;&gt;")</f>
        <v>0</v>
      </c>
      <c r="Z52" s="472">
        <f>COUNTIFS('Combined Employee Worksheet'!$I:$I,"&gt;="&amp;'Adj. Employee Retention'!Z$5,'Combined Employee Worksheet'!$I:$I,"&lt;="&amp;'Adj. Employee Retention'!Z$1,'Combined Employee Worksheet'!$D:$D,'Adj. Employee Retention'!$B48)-COUNTIFS('Combined Employee Worksheet'!$I:$I,"&gt;="&amp;'Adj. Employee Retention'!Z$5,'Combined Employee Worksheet'!$I:$I,"&lt;="&amp;'Adj. Employee Retention'!Z$1,'Combined Employee Worksheet'!$D:$D,'Adj. Employee Retention'!$B48,'Combined Employee Worksheet'!$K:$K,"&lt;="&amp;$C$138,'Combined Employee Worksheet'!$J:$J,"&lt;&gt;")</f>
        <v>0</v>
      </c>
      <c r="AA52" s="472">
        <f ca="1">COUNTIFS('Combined Employee Worksheet'!$I:$I,"&gt;="&amp;'Adj. Employee Retention'!AA$5,'Combined Employee Worksheet'!$I:$I,"&lt;="&amp;'Adj. Employee Retention'!AA$1,'Combined Employee Worksheet'!$D:$D,'Adj. Employee Retention'!$B48)-COUNTIFS('Combined Employee Worksheet'!$I:$I,"&gt;="&amp;'Adj. Employee Retention'!AA$5,'Combined Employee Worksheet'!$I:$I,"&lt;="&amp;'Adj. Employee Retention'!AA$1,'Combined Employee Worksheet'!$D:$D,'Adj. Employee Retention'!$B48,'Combined Employee Worksheet'!$K:$K,"&lt;="&amp;$C$138,'Combined Employee Worksheet'!$J:$J,"&lt;&gt;")</f>
        <v>1</v>
      </c>
      <c r="AB52" s="472">
        <f>COUNTIFS('Combined Employee Worksheet'!$I:$I,"&gt;="&amp;'Adj. Employee Retention'!AB$5,'Combined Employee Worksheet'!$I:$I,"&lt;="&amp;'Adj. Employee Retention'!AB$1,'Combined Employee Worksheet'!$D:$D,'Adj. Employee Retention'!$B48)-COUNTIFS('Combined Employee Worksheet'!$I:$I,"&gt;="&amp;'Adj. Employee Retention'!AB$5,'Combined Employee Worksheet'!$I:$I,"&lt;="&amp;'Adj. Employee Retention'!AB$1,'Combined Employee Worksheet'!$D:$D,'Adj. Employee Retention'!$B48,'Combined Employee Worksheet'!$K:$K,"&lt;="&amp;$C$138,'Combined Employee Worksheet'!$J:$J,"&lt;&gt;")</f>
        <v>0</v>
      </c>
      <c r="AC52" s="417"/>
      <c r="AD52" s="417"/>
      <c r="AE52" s="417"/>
    </row>
    <row r="53" spans="1:31" ht="12" customHeight="1">
      <c r="A53" s="417"/>
      <c r="B53" s="471" t="s">
        <v>1815</v>
      </c>
      <c r="C53" s="433">
        <f ca="1">SUM(H53:S53)</f>
        <v>-1</v>
      </c>
      <c r="D53" s="433">
        <f ca="1">SUM(T53:AB53)</f>
        <v>-1</v>
      </c>
      <c r="E53" s="417"/>
      <c r="F53" s="433">
        <f ca="1">SUM(Q53:AB53)</f>
        <v>-2</v>
      </c>
      <c r="G53" s="417"/>
      <c r="H53" s="472">
        <f>-COUNTIFS('Combined Employee Worksheet'!$J:$J,"&gt;="&amp;'Adj. Employee Retention'!H$5,'Combined Employee Worksheet'!$J:$J,"&lt;="&amp;'Adj. Employee Retention'!H$1,'Combined Employee Worksheet'!$D:$D,'Adj. Employee Retention'!$B48,'Combined Employee Worksheet'!$K:$K,"&gt;"&amp;$C$138)</f>
        <v>0</v>
      </c>
      <c r="I53" s="472">
        <f>-COUNTIFS('Combined Employee Worksheet'!$J:$J,"&gt;="&amp;'Adj. Employee Retention'!I$5,'Combined Employee Worksheet'!$J:$J,"&lt;="&amp;'Adj. Employee Retention'!I$1,'Combined Employee Worksheet'!$D:$D,'Adj. Employee Retention'!$B48,'Combined Employee Worksheet'!$K:$K,"&gt;"&amp;$C$138)</f>
        <v>0</v>
      </c>
      <c r="J53" s="472">
        <f ca="1">-COUNTIFS('Combined Employee Worksheet'!$J:$J,"&gt;="&amp;'Adj. Employee Retention'!J$5,'Combined Employee Worksheet'!$J:$J,"&lt;="&amp;'Adj. Employee Retention'!J$1,'Combined Employee Worksheet'!$D:$D,'Adj. Employee Retention'!$B48,'Combined Employee Worksheet'!$K:$K,"&gt;"&amp;$C$138)</f>
        <v>0</v>
      </c>
      <c r="K53" s="472">
        <f>-COUNTIFS('Combined Employee Worksheet'!$J:$J,"&gt;="&amp;'Adj. Employee Retention'!K$5,'Combined Employee Worksheet'!$J:$J,"&lt;="&amp;'Adj. Employee Retention'!K$1,'Combined Employee Worksheet'!$D:$D,'Adj. Employee Retention'!$B48,'Combined Employee Worksheet'!$K:$K,"&gt;"&amp;$C$138)</f>
        <v>0</v>
      </c>
      <c r="L53" s="472">
        <f>-COUNTIFS('Combined Employee Worksheet'!$J:$J,"&gt;="&amp;'Adj. Employee Retention'!L$5,'Combined Employee Worksheet'!$J:$J,"&lt;="&amp;'Adj. Employee Retention'!L$1,'Combined Employee Worksheet'!$D:$D,'Adj. Employee Retention'!$B48,'Combined Employee Worksheet'!$K:$K,"&gt;"&amp;$C$138)</f>
        <v>0</v>
      </c>
      <c r="M53" s="472">
        <f>-COUNTIFS('Combined Employee Worksheet'!$J:$J,"&gt;="&amp;'Adj. Employee Retention'!M$5,'Combined Employee Worksheet'!$J:$J,"&lt;="&amp;'Adj. Employee Retention'!M$1,'Combined Employee Worksheet'!$D:$D,'Adj. Employee Retention'!$B48,'Combined Employee Worksheet'!$K:$K,"&gt;"&amp;$C$138)</f>
        <v>0</v>
      </c>
      <c r="N53" s="472">
        <f>-COUNTIFS('Combined Employee Worksheet'!$J:$J,"&gt;="&amp;'Adj. Employee Retention'!N$5,'Combined Employee Worksheet'!$J:$J,"&lt;="&amp;'Adj. Employee Retention'!N$1,'Combined Employee Worksheet'!$D:$D,'Adj. Employee Retention'!$B48,'Combined Employee Worksheet'!$K:$K,"&gt;"&amp;$C$138)</f>
        <v>0</v>
      </c>
      <c r="O53" s="472">
        <f>-COUNTIFS('Combined Employee Worksheet'!$J:$J,"&gt;="&amp;'Adj. Employee Retention'!O$5,'Combined Employee Worksheet'!$J:$J,"&lt;="&amp;'Adj. Employee Retention'!O$1,'Combined Employee Worksheet'!$D:$D,'Adj. Employee Retention'!$B48,'Combined Employee Worksheet'!$K:$K,"&gt;"&amp;$C$138)</f>
        <v>0</v>
      </c>
      <c r="P53" s="472">
        <f>-COUNTIFS('Combined Employee Worksheet'!$J:$J,"&gt;="&amp;'Adj. Employee Retention'!P$5,'Combined Employee Worksheet'!$J:$J,"&lt;="&amp;'Adj. Employee Retention'!P$1,'Combined Employee Worksheet'!$D:$D,'Adj. Employee Retention'!$B48,'Combined Employee Worksheet'!$K:$K,"&gt;"&amp;$C$138)</f>
        <v>0</v>
      </c>
      <c r="Q53" s="472">
        <f>-COUNTIFS('Combined Employee Worksheet'!$J:$J,"&gt;="&amp;'Adj. Employee Retention'!Q$5,'Combined Employee Worksheet'!$J:$J,"&lt;="&amp;'Adj. Employee Retention'!Q$1,'Combined Employee Worksheet'!$D:$D,'Adj. Employee Retention'!$B48,'Combined Employee Worksheet'!$K:$K,"&gt;"&amp;$C$138)</f>
        <v>0</v>
      </c>
      <c r="R53" s="472">
        <f>-COUNTIFS('Combined Employee Worksheet'!$J:$J,"&gt;="&amp;'Adj. Employee Retention'!R$5,'Combined Employee Worksheet'!$J:$J,"&lt;="&amp;'Adj. Employee Retention'!R$1,'Combined Employee Worksheet'!$D:$D,'Adj. Employee Retention'!$B48,'Combined Employee Worksheet'!$K:$K,"&gt;"&amp;$C$138)</f>
        <v>0</v>
      </c>
      <c r="S53" s="472">
        <f ca="1">-COUNTIFS('Combined Employee Worksheet'!$J:$J,"&gt;="&amp;'Adj. Employee Retention'!S$5,'Combined Employee Worksheet'!$J:$J,"&lt;="&amp;'Adj. Employee Retention'!S$1,'Combined Employee Worksheet'!$D:$D,'Adj. Employee Retention'!$B48,'Combined Employee Worksheet'!$K:$K,"&gt;"&amp;$C$138)</f>
        <v>-1</v>
      </c>
      <c r="T53" s="472">
        <f>-COUNTIFS('Combined Employee Worksheet'!$J:$J,"&gt;="&amp;'Adj. Employee Retention'!T$5,'Combined Employee Worksheet'!$J:$J,"&lt;="&amp;'Adj. Employee Retention'!T$1,'Combined Employee Worksheet'!$D:$D,'Adj. Employee Retention'!$B48,'Combined Employee Worksheet'!$K:$K,"&gt;"&amp;$C$138)</f>
        <v>0</v>
      </c>
      <c r="U53" s="472">
        <f>-COUNTIFS('Combined Employee Worksheet'!$J:$J,"&gt;="&amp;'Adj. Employee Retention'!U$5,'Combined Employee Worksheet'!$J:$J,"&lt;="&amp;'Adj. Employee Retention'!U$1,'Combined Employee Worksheet'!$D:$D,'Adj. Employee Retention'!$B48,'Combined Employee Worksheet'!$K:$K,"&gt;"&amp;$C$138)</f>
        <v>0</v>
      </c>
      <c r="V53" s="472">
        <f>-COUNTIFS('Combined Employee Worksheet'!$J:$J,"&gt;="&amp;'Adj. Employee Retention'!V$5,'Combined Employee Worksheet'!$J:$J,"&lt;="&amp;'Adj. Employee Retention'!V$1,'Combined Employee Worksheet'!$D:$D,'Adj. Employee Retention'!$B48,'Combined Employee Worksheet'!$K:$K,"&gt;"&amp;$C$138)</f>
        <v>0</v>
      </c>
      <c r="W53" s="472">
        <f>-COUNTIFS('Combined Employee Worksheet'!$J:$J,"&gt;="&amp;'Adj. Employee Retention'!W$5,'Combined Employee Worksheet'!$J:$J,"&lt;="&amp;'Adj. Employee Retention'!W$1,'Combined Employee Worksheet'!$D:$D,'Adj. Employee Retention'!$B48,'Combined Employee Worksheet'!$K:$K,"&gt;"&amp;$C$138)</f>
        <v>0</v>
      </c>
      <c r="X53" s="472">
        <f>-COUNTIFS('Combined Employee Worksheet'!$J:$J,"&gt;="&amp;'Adj. Employee Retention'!X$5,'Combined Employee Worksheet'!$J:$J,"&lt;="&amp;'Adj. Employee Retention'!X$1,'Combined Employee Worksheet'!$D:$D,'Adj. Employee Retention'!$B48,'Combined Employee Worksheet'!$K:$K,"&gt;"&amp;$C$138)</f>
        <v>0</v>
      </c>
      <c r="Y53" s="472">
        <f>-COUNTIFS('Combined Employee Worksheet'!$J:$J,"&gt;="&amp;'Adj. Employee Retention'!Y$5,'Combined Employee Worksheet'!$J:$J,"&lt;="&amp;'Adj. Employee Retention'!Y$1,'Combined Employee Worksheet'!$D:$D,'Adj. Employee Retention'!$B48,'Combined Employee Worksheet'!$K:$K,"&gt;"&amp;$C$138)</f>
        <v>0</v>
      </c>
      <c r="Z53" s="472">
        <f>-COUNTIFS('Combined Employee Worksheet'!$J:$J,"&gt;="&amp;'Adj. Employee Retention'!Z$5,'Combined Employee Worksheet'!$J:$J,"&lt;="&amp;'Adj. Employee Retention'!Z$1,'Combined Employee Worksheet'!$D:$D,'Adj. Employee Retention'!$B48,'Combined Employee Worksheet'!$K:$K,"&gt;"&amp;$C$138)</f>
        <v>0</v>
      </c>
      <c r="AA53" s="472">
        <f ca="1">-COUNTIFS('Combined Employee Worksheet'!$J:$J,"&gt;="&amp;'Adj. Employee Retention'!AA$5,'Combined Employee Worksheet'!$J:$J,"&lt;="&amp;'Adj. Employee Retention'!AA$1,'Combined Employee Worksheet'!$D:$D,'Adj. Employee Retention'!$B48,'Combined Employee Worksheet'!$K:$K,"&gt;"&amp;$C$138)</f>
        <v>-1</v>
      </c>
      <c r="AB53" s="472">
        <f>-COUNTIFS('Combined Employee Worksheet'!$J:$J,"&gt;="&amp;'Adj. Employee Retention'!AB$5,'Combined Employee Worksheet'!$J:$J,"&lt;="&amp;'Adj. Employee Retention'!AB$1,'Combined Employee Worksheet'!$D:$D,'Adj. Employee Retention'!$B48,'Combined Employee Worksheet'!$K:$K,"&gt;"&amp;$C$138)</f>
        <v>0</v>
      </c>
      <c r="AC53" s="417"/>
      <c r="AD53" s="417"/>
      <c r="AE53" s="417"/>
    </row>
    <row r="54" spans="1:31" ht="12" customHeight="1">
      <c r="A54" s="417"/>
      <c r="B54" s="474" t="s">
        <v>1315</v>
      </c>
      <c r="C54" s="475">
        <f ca="1">+D51</f>
        <v>2</v>
      </c>
      <c r="D54" s="476">
        <f>+$AB54</f>
        <v>4</v>
      </c>
      <c r="E54" s="417"/>
      <c r="F54" s="477">
        <f>+$AB54</f>
        <v>4</v>
      </c>
      <c r="G54" s="417"/>
      <c r="H54" s="478">
        <f t="shared" ref="H54:AA54" ca="1" si="31">+I51</f>
        <v>1</v>
      </c>
      <c r="I54" s="475">
        <f t="shared" ca="1" si="31"/>
        <v>1</v>
      </c>
      <c r="J54" s="475">
        <f t="shared" ca="1" si="31"/>
        <v>2</v>
      </c>
      <c r="K54" s="475">
        <f t="shared" ca="1" si="31"/>
        <v>2</v>
      </c>
      <c r="L54" s="475">
        <f t="shared" ca="1" si="31"/>
        <v>2</v>
      </c>
      <c r="M54" s="475">
        <f t="shared" ca="1" si="31"/>
        <v>2</v>
      </c>
      <c r="N54" s="475">
        <f t="shared" ca="1" si="31"/>
        <v>2</v>
      </c>
      <c r="O54" s="475">
        <f t="shared" ca="1" si="31"/>
        <v>2</v>
      </c>
      <c r="P54" s="475">
        <f t="shared" ca="1" si="31"/>
        <v>3</v>
      </c>
      <c r="Q54" s="478">
        <f t="shared" ca="1" si="31"/>
        <v>3</v>
      </c>
      <c r="R54" s="475">
        <f t="shared" ca="1" si="31"/>
        <v>3</v>
      </c>
      <c r="S54" s="475">
        <f t="shared" ca="1" si="31"/>
        <v>2</v>
      </c>
      <c r="T54" s="475">
        <f t="shared" ca="1" si="31"/>
        <v>2</v>
      </c>
      <c r="U54" s="475">
        <f t="shared" ca="1" si="31"/>
        <v>4</v>
      </c>
      <c r="V54" s="475">
        <f t="shared" ca="1" si="31"/>
        <v>4</v>
      </c>
      <c r="W54" s="475">
        <f t="shared" ca="1" si="31"/>
        <v>4</v>
      </c>
      <c r="X54" s="475">
        <f t="shared" ca="1" si="31"/>
        <v>4</v>
      </c>
      <c r="Y54" s="475">
        <f t="shared" ca="1" si="31"/>
        <v>4</v>
      </c>
      <c r="Z54" s="475">
        <f t="shared" ca="1" si="31"/>
        <v>4</v>
      </c>
      <c r="AA54" s="475">
        <f t="shared" si="31"/>
        <v>4</v>
      </c>
      <c r="AB54" s="479">
        <f>COUNTIFS('Combined Employee Worksheet'!$H:$H,"Active",'Combined Employee Worksheet'!$D:$D,'Adj. Employee Retention'!B48)</f>
        <v>4</v>
      </c>
      <c r="AC54" s="417"/>
      <c r="AD54" s="417"/>
      <c r="AE54" s="417"/>
    </row>
    <row r="55" spans="1:31" ht="3.95" customHeight="1">
      <c r="A55" s="417"/>
      <c r="B55" s="480"/>
      <c r="C55" s="481"/>
      <c r="D55" s="481"/>
      <c r="E55" s="417"/>
      <c r="F55" s="481"/>
      <c r="G55" s="417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501"/>
      <c r="AC55" s="417"/>
      <c r="AD55" s="417"/>
      <c r="AE55" s="417"/>
    </row>
    <row r="56" spans="1:31" ht="12" customHeight="1">
      <c r="A56" s="417"/>
      <c r="B56" s="487" t="s">
        <v>1817</v>
      </c>
      <c r="C56" s="502">
        <f ca="1">AVERAGE(C51,C54)</f>
        <v>1.5</v>
      </c>
      <c r="D56" s="503">
        <f ca="1">AVERAGE(D51,D54)</f>
        <v>3</v>
      </c>
      <c r="E56" s="417"/>
      <c r="F56" s="504">
        <f ca="1">AVERAGE(F51,F54)</f>
        <v>3.5</v>
      </c>
      <c r="G56" s="417"/>
      <c r="H56" s="505">
        <f t="shared" ref="H56:AB56" ca="1" si="32">AVERAGE(H51,H54)</f>
        <v>1</v>
      </c>
      <c r="I56" s="502">
        <f t="shared" ca="1" si="32"/>
        <v>1</v>
      </c>
      <c r="J56" s="502">
        <f t="shared" ca="1" si="32"/>
        <v>1.5</v>
      </c>
      <c r="K56" s="502">
        <f t="shared" ca="1" si="32"/>
        <v>2</v>
      </c>
      <c r="L56" s="502">
        <f t="shared" ca="1" si="32"/>
        <v>2</v>
      </c>
      <c r="M56" s="502">
        <f t="shared" ca="1" si="32"/>
        <v>2</v>
      </c>
      <c r="N56" s="502">
        <f t="shared" ca="1" si="32"/>
        <v>2</v>
      </c>
      <c r="O56" s="502">
        <f t="shared" ca="1" si="32"/>
        <v>2</v>
      </c>
      <c r="P56" s="502">
        <f t="shared" ca="1" si="32"/>
        <v>2.5</v>
      </c>
      <c r="Q56" s="505">
        <f t="shared" ca="1" si="32"/>
        <v>3</v>
      </c>
      <c r="R56" s="502">
        <f t="shared" ca="1" si="32"/>
        <v>3</v>
      </c>
      <c r="S56" s="502">
        <f t="shared" ca="1" si="32"/>
        <v>2.5</v>
      </c>
      <c r="T56" s="502">
        <f t="shared" ca="1" si="32"/>
        <v>2</v>
      </c>
      <c r="U56" s="502">
        <f t="shared" ca="1" si="32"/>
        <v>3</v>
      </c>
      <c r="V56" s="502">
        <f t="shared" ca="1" si="32"/>
        <v>4</v>
      </c>
      <c r="W56" s="502">
        <f t="shared" ca="1" si="32"/>
        <v>4</v>
      </c>
      <c r="X56" s="502">
        <f t="shared" ca="1" si="32"/>
        <v>4</v>
      </c>
      <c r="Y56" s="502">
        <f t="shared" ca="1" si="32"/>
        <v>4</v>
      </c>
      <c r="Z56" s="502">
        <f t="shared" ca="1" si="32"/>
        <v>4</v>
      </c>
      <c r="AA56" s="502">
        <f t="shared" ca="1" si="32"/>
        <v>4</v>
      </c>
      <c r="AB56" s="503">
        <f t="shared" si="32"/>
        <v>4</v>
      </c>
      <c r="AC56" s="417"/>
      <c r="AD56" s="417"/>
      <c r="AE56" s="417"/>
    </row>
    <row r="57" spans="1:31" ht="12" customHeight="1">
      <c r="A57" s="417"/>
      <c r="B57" s="493" t="s">
        <v>1816</v>
      </c>
      <c r="C57" s="506">
        <f ca="1">C49/C56</f>
        <v>108.33333333333333</v>
      </c>
      <c r="D57" s="507">
        <f ca="1">D49/D56</f>
        <v>59.833333333333336</v>
      </c>
      <c r="E57" s="470"/>
      <c r="F57" s="508">
        <f ca="1">F49/F56</f>
        <v>50.857142857142854</v>
      </c>
      <c r="G57" s="470"/>
      <c r="H57" s="509">
        <f t="shared" ref="H57:AB57" ca="1" si="33">H49/H56</f>
        <v>146</v>
      </c>
      <c r="I57" s="506">
        <f t="shared" ca="1" si="33"/>
        <v>147.5</v>
      </c>
      <c r="J57" s="506">
        <f t="shared" ca="1" si="33"/>
        <v>100.66666666666667</v>
      </c>
      <c r="K57" s="506">
        <f t="shared" ca="1" si="33"/>
        <v>78.25</v>
      </c>
      <c r="L57" s="506">
        <f t="shared" ca="1" si="33"/>
        <v>81</v>
      </c>
      <c r="M57" s="506">
        <f t="shared" ca="1" si="33"/>
        <v>82.5</v>
      </c>
      <c r="N57" s="506">
        <f t="shared" ca="1" si="33"/>
        <v>83.5</v>
      </c>
      <c r="O57" s="506">
        <f t="shared" ca="1" si="33"/>
        <v>86</v>
      </c>
      <c r="P57" s="506">
        <f t="shared" ca="1" si="33"/>
        <v>70.400000000000006</v>
      </c>
      <c r="Q57" s="509">
        <f t="shared" ca="1" si="33"/>
        <v>59.833333333333336</v>
      </c>
      <c r="R57" s="506">
        <f t="shared" ca="1" si="33"/>
        <v>60.5</v>
      </c>
      <c r="S57" s="506">
        <f t="shared" ca="1" si="33"/>
        <v>72.2</v>
      </c>
      <c r="T57" s="506">
        <f t="shared" ca="1" si="33"/>
        <v>91.5</v>
      </c>
      <c r="U57" s="506">
        <f t="shared" ca="1" si="33"/>
        <v>63.166666666666664</v>
      </c>
      <c r="V57" s="506">
        <f t="shared" ca="1" si="33"/>
        <v>48.125</v>
      </c>
      <c r="W57" s="506">
        <f t="shared" ca="1" si="33"/>
        <v>48.75</v>
      </c>
      <c r="X57" s="506">
        <f t="shared" ca="1" si="33"/>
        <v>48.375</v>
      </c>
      <c r="Y57" s="506">
        <f t="shared" ca="1" si="33"/>
        <v>47.25</v>
      </c>
      <c r="Z57" s="506">
        <f t="shared" ca="1" si="33"/>
        <v>45.375</v>
      </c>
      <c r="AA57" s="506">
        <f t="shared" ca="1" si="33"/>
        <v>43.625</v>
      </c>
      <c r="AB57" s="507">
        <f t="shared" si="33"/>
        <v>44.25</v>
      </c>
      <c r="AC57" s="417"/>
      <c r="AD57" s="417"/>
      <c r="AE57" s="417"/>
    </row>
    <row r="58" spans="1:31" ht="3.95" customHeight="1">
      <c r="A58" s="417"/>
      <c r="B58" s="480"/>
      <c r="C58" s="481"/>
      <c r="D58" s="481"/>
      <c r="E58" s="417"/>
      <c r="F58" s="481"/>
      <c r="G58" s="417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2"/>
      <c r="AA58" s="482"/>
      <c r="AB58" s="482"/>
      <c r="AC58" s="417"/>
      <c r="AD58" s="417"/>
      <c r="AE58" s="417"/>
    </row>
    <row r="59" spans="1:31" ht="12" customHeight="1">
      <c r="A59" s="417"/>
      <c r="B59" s="487" t="s">
        <v>1813</v>
      </c>
      <c r="C59" s="488">
        <f ca="1">(C52+C51)/C51-1</f>
        <v>2</v>
      </c>
      <c r="D59" s="489">
        <f ca="1">(D52+D51)/D51-1</f>
        <v>1.5</v>
      </c>
      <c r="E59" s="490"/>
      <c r="F59" s="491">
        <f ca="1">(F52+F51)/F51-1</f>
        <v>1</v>
      </c>
      <c r="G59" s="417"/>
      <c r="H59" s="492">
        <f t="shared" ref="H59:AB59" ca="1" si="34">(H52+H51)/H51-1</f>
        <v>0</v>
      </c>
      <c r="I59" s="488">
        <f t="shared" ca="1" si="34"/>
        <v>0</v>
      </c>
      <c r="J59" s="488">
        <f t="shared" ca="1" si="34"/>
        <v>1</v>
      </c>
      <c r="K59" s="488">
        <f t="shared" ca="1" si="34"/>
        <v>0</v>
      </c>
      <c r="L59" s="488">
        <f t="shared" ca="1" si="34"/>
        <v>0</v>
      </c>
      <c r="M59" s="488">
        <f t="shared" ca="1" si="34"/>
        <v>0</v>
      </c>
      <c r="N59" s="488">
        <f t="shared" ca="1" si="34"/>
        <v>0</v>
      </c>
      <c r="O59" s="488">
        <f t="shared" ca="1" si="34"/>
        <v>0</v>
      </c>
      <c r="P59" s="488">
        <f t="shared" ca="1" si="34"/>
        <v>0.5</v>
      </c>
      <c r="Q59" s="492">
        <f t="shared" ca="1" si="34"/>
        <v>0</v>
      </c>
      <c r="R59" s="488">
        <f t="shared" ca="1" si="34"/>
        <v>0</v>
      </c>
      <c r="S59" s="488">
        <f t="shared" ca="1" si="34"/>
        <v>0</v>
      </c>
      <c r="T59" s="488">
        <f t="shared" ca="1" si="34"/>
        <v>0</v>
      </c>
      <c r="U59" s="488">
        <f t="shared" ca="1" si="34"/>
        <v>1</v>
      </c>
      <c r="V59" s="488">
        <f t="shared" ca="1" si="34"/>
        <v>0</v>
      </c>
      <c r="W59" s="488">
        <f t="shared" ca="1" si="34"/>
        <v>0</v>
      </c>
      <c r="X59" s="488">
        <f t="shared" ca="1" si="34"/>
        <v>0</v>
      </c>
      <c r="Y59" s="488">
        <f t="shared" ca="1" si="34"/>
        <v>0</v>
      </c>
      <c r="Z59" s="488">
        <f t="shared" ca="1" si="34"/>
        <v>0</v>
      </c>
      <c r="AA59" s="488">
        <f t="shared" ca="1" si="34"/>
        <v>0.25</v>
      </c>
      <c r="AB59" s="489">
        <f t="shared" si="34"/>
        <v>0</v>
      </c>
      <c r="AC59" s="417"/>
      <c r="AD59" s="417"/>
      <c r="AE59" s="417"/>
    </row>
    <row r="60" spans="1:31">
      <c r="A60" s="417"/>
      <c r="B60" s="493" t="s">
        <v>1812</v>
      </c>
      <c r="C60" s="494">
        <f ca="1">(C53+C56)/C56-1</f>
        <v>-0.66666666666666674</v>
      </c>
      <c r="D60" s="495">
        <f ca="1">(D53+D56)/D56-1</f>
        <v>-0.33333333333333337</v>
      </c>
      <c r="E60" s="490"/>
      <c r="F60" s="496">
        <f ca="1">(F53+F56)/F56-1</f>
        <v>-0.5714285714285714</v>
      </c>
      <c r="G60" s="417"/>
      <c r="H60" s="497">
        <f t="shared" ref="H60:AB60" ca="1" si="35">(H53+H56)/H56-1</f>
        <v>0</v>
      </c>
      <c r="I60" s="494">
        <f t="shared" ca="1" si="35"/>
        <v>0</v>
      </c>
      <c r="J60" s="494">
        <f t="shared" ca="1" si="35"/>
        <v>0</v>
      </c>
      <c r="K60" s="494">
        <f t="shared" ca="1" si="35"/>
        <v>0</v>
      </c>
      <c r="L60" s="494">
        <f t="shared" ca="1" si="35"/>
        <v>0</v>
      </c>
      <c r="M60" s="494">
        <f t="shared" ca="1" si="35"/>
        <v>0</v>
      </c>
      <c r="N60" s="494">
        <f t="shared" ca="1" si="35"/>
        <v>0</v>
      </c>
      <c r="O60" s="494">
        <f t="shared" ca="1" si="35"/>
        <v>0</v>
      </c>
      <c r="P60" s="494">
        <f t="shared" ca="1" si="35"/>
        <v>0</v>
      </c>
      <c r="Q60" s="497">
        <f t="shared" ca="1" si="35"/>
        <v>0</v>
      </c>
      <c r="R60" s="494">
        <f t="shared" ca="1" si="35"/>
        <v>0</v>
      </c>
      <c r="S60" s="494">
        <f t="shared" ca="1" si="35"/>
        <v>-0.4</v>
      </c>
      <c r="T60" s="494">
        <f t="shared" ca="1" si="35"/>
        <v>0</v>
      </c>
      <c r="U60" s="494">
        <f t="shared" ca="1" si="35"/>
        <v>0</v>
      </c>
      <c r="V60" s="494">
        <f t="shared" ca="1" si="35"/>
        <v>0</v>
      </c>
      <c r="W60" s="494">
        <f t="shared" ca="1" si="35"/>
        <v>0</v>
      </c>
      <c r="X60" s="494">
        <f t="shared" ca="1" si="35"/>
        <v>0</v>
      </c>
      <c r="Y60" s="494">
        <f t="shared" ca="1" si="35"/>
        <v>0</v>
      </c>
      <c r="Z60" s="494">
        <f t="shared" ca="1" si="35"/>
        <v>0</v>
      </c>
      <c r="AA60" s="494">
        <f t="shared" ca="1" si="35"/>
        <v>-0.25</v>
      </c>
      <c r="AB60" s="495">
        <f t="shared" si="35"/>
        <v>0</v>
      </c>
      <c r="AC60" s="417"/>
      <c r="AD60" s="417"/>
      <c r="AE60" s="417"/>
    </row>
    <row r="61" spans="1:31" ht="3.95" customHeight="1">
      <c r="A61" s="417"/>
      <c r="B61" s="480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</row>
    <row r="62" spans="1:31" ht="24">
      <c r="A62" s="417"/>
      <c r="B62" s="462" t="s">
        <v>1997</v>
      </c>
      <c r="C62" s="463" t="s">
        <v>4</v>
      </c>
      <c r="D62" s="463" t="s">
        <v>1317</v>
      </c>
      <c r="E62" s="464"/>
      <c r="F62" s="463" t="s">
        <v>1527</v>
      </c>
      <c r="G62" s="417"/>
      <c r="H62" s="465">
        <v>45658</v>
      </c>
      <c r="I62" s="465">
        <f t="shared" ref="I62:N62" si="36">EOMONTH(H62,0)+1</f>
        <v>45689</v>
      </c>
      <c r="J62" s="465">
        <f t="shared" si="36"/>
        <v>45717</v>
      </c>
      <c r="K62" s="465">
        <f t="shared" si="36"/>
        <v>45748</v>
      </c>
      <c r="L62" s="465">
        <f t="shared" si="36"/>
        <v>45778</v>
      </c>
      <c r="M62" s="465">
        <f t="shared" si="36"/>
        <v>45809</v>
      </c>
      <c r="N62" s="465">
        <f t="shared" si="36"/>
        <v>45839</v>
      </c>
      <c r="O62" s="465">
        <v>45870</v>
      </c>
      <c r="P62" s="465">
        <f t="shared" ref="P62:AB62" si="37">EOMONTH(O62,0)+1</f>
        <v>45901</v>
      </c>
      <c r="Q62" s="465">
        <f t="shared" si="37"/>
        <v>45931</v>
      </c>
      <c r="R62" s="465">
        <f t="shared" si="37"/>
        <v>45962</v>
      </c>
      <c r="S62" s="465">
        <f t="shared" si="37"/>
        <v>45992</v>
      </c>
      <c r="T62" s="465">
        <f t="shared" si="37"/>
        <v>46023</v>
      </c>
      <c r="U62" s="465">
        <f t="shared" si="37"/>
        <v>46054</v>
      </c>
      <c r="V62" s="465">
        <f t="shared" si="37"/>
        <v>46082</v>
      </c>
      <c r="W62" s="465">
        <f t="shared" si="37"/>
        <v>46113</v>
      </c>
      <c r="X62" s="465">
        <f t="shared" si="37"/>
        <v>46143</v>
      </c>
      <c r="Y62" s="465">
        <f t="shared" si="37"/>
        <v>46174</v>
      </c>
      <c r="Z62" s="465">
        <f t="shared" si="37"/>
        <v>46204</v>
      </c>
      <c r="AA62" s="465">
        <f t="shared" si="37"/>
        <v>46235</v>
      </c>
      <c r="AB62" s="465">
        <f t="shared" si="37"/>
        <v>46266</v>
      </c>
      <c r="AC62" s="466"/>
      <c r="AD62" s="417"/>
      <c r="AE62" s="466"/>
    </row>
    <row r="63" spans="1:31">
      <c r="A63" s="417"/>
      <c r="B63" s="498" t="s">
        <v>1510</v>
      </c>
      <c r="C63" s="468"/>
      <c r="D63" s="468"/>
      <c r="E63" s="469"/>
      <c r="F63" s="468"/>
      <c r="G63" s="417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9"/>
      <c r="AD63" s="469"/>
      <c r="AE63" s="469"/>
    </row>
    <row r="64" spans="1:31">
      <c r="A64" s="417"/>
      <c r="B64" s="469" t="s">
        <v>1818</v>
      </c>
      <c r="C64" s="510">
        <f>+C$19</f>
        <v>162.5</v>
      </c>
      <c r="D64" s="510">
        <f>+D$19</f>
        <v>179.5</v>
      </c>
      <c r="E64" s="469"/>
      <c r="F64" s="510">
        <f>+F$19</f>
        <v>178</v>
      </c>
      <c r="G64" s="417"/>
      <c r="H64" s="510">
        <f>+H$19</f>
        <v>146</v>
      </c>
      <c r="I64" s="510">
        <f t="shared" ref="I64:AB64" si="38">+I$19</f>
        <v>147.5</v>
      </c>
      <c r="J64" s="510">
        <f t="shared" si="38"/>
        <v>151</v>
      </c>
      <c r="K64" s="510">
        <f t="shared" si="38"/>
        <v>156.5</v>
      </c>
      <c r="L64" s="510">
        <f t="shared" si="38"/>
        <v>162</v>
      </c>
      <c r="M64" s="510">
        <f t="shared" si="38"/>
        <v>165</v>
      </c>
      <c r="N64" s="510">
        <f t="shared" si="38"/>
        <v>167</v>
      </c>
      <c r="O64" s="510">
        <f t="shared" si="38"/>
        <v>172</v>
      </c>
      <c r="P64" s="510">
        <f t="shared" si="38"/>
        <v>176</v>
      </c>
      <c r="Q64" s="510">
        <f t="shared" si="38"/>
        <v>179.5</v>
      </c>
      <c r="R64" s="510">
        <f t="shared" si="38"/>
        <v>181.5</v>
      </c>
      <c r="S64" s="510">
        <f t="shared" si="38"/>
        <v>180.5</v>
      </c>
      <c r="T64" s="510">
        <f t="shared" si="38"/>
        <v>183</v>
      </c>
      <c r="U64" s="510">
        <f t="shared" si="38"/>
        <v>189.5</v>
      </c>
      <c r="V64" s="510">
        <f t="shared" si="38"/>
        <v>192.5</v>
      </c>
      <c r="W64" s="510">
        <f t="shared" si="38"/>
        <v>195</v>
      </c>
      <c r="X64" s="510">
        <f t="shared" si="38"/>
        <v>193.5</v>
      </c>
      <c r="Y64" s="510">
        <f t="shared" si="38"/>
        <v>189</v>
      </c>
      <c r="Z64" s="510">
        <f t="shared" si="38"/>
        <v>181.5</v>
      </c>
      <c r="AA64" s="510">
        <f t="shared" si="38"/>
        <v>174.5</v>
      </c>
      <c r="AB64" s="510">
        <f t="shared" si="38"/>
        <v>177</v>
      </c>
      <c r="AC64" s="469"/>
      <c r="AD64" s="469"/>
      <c r="AE64" s="469"/>
    </row>
    <row r="65" spans="1:31" ht="3.95" customHeight="1">
      <c r="A65" s="417"/>
      <c r="B65" s="500"/>
      <c r="C65" s="469"/>
      <c r="D65" s="469"/>
      <c r="E65" s="469"/>
      <c r="F65" s="469"/>
      <c r="G65" s="417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  <c r="AA65" s="469"/>
      <c r="AB65" s="469"/>
      <c r="AC65" s="469"/>
      <c r="AD65" s="469"/>
      <c r="AE65" s="469"/>
    </row>
    <row r="66" spans="1:31">
      <c r="A66" s="417"/>
      <c r="B66" s="417" t="s">
        <v>1313</v>
      </c>
      <c r="C66" s="470">
        <f ca="1">+C69-C67-C68</f>
        <v>1</v>
      </c>
      <c r="D66" s="470">
        <f ca="1">+D69-D67-D68</f>
        <v>5</v>
      </c>
      <c r="E66" s="417"/>
      <c r="F66" s="470">
        <f ca="1">+F69-F67-F68</f>
        <v>4</v>
      </c>
      <c r="G66" s="417"/>
      <c r="H66" s="470">
        <f t="shared" ref="H66:AB66" ca="1" si="39">+H69-H67-H68</f>
        <v>1</v>
      </c>
      <c r="I66" s="470">
        <f t="shared" ca="1" si="39"/>
        <v>2</v>
      </c>
      <c r="J66" s="470">
        <f t="shared" ca="1" si="39"/>
        <v>2</v>
      </c>
      <c r="K66" s="470">
        <f t="shared" ca="1" si="39"/>
        <v>2</v>
      </c>
      <c r="L66" s="470">
        <f t="shared" ca="1" si="39"/>
        <v>3</v>
      </c>
      <c r="M66" s="470">
        <f t="shared" ca="1" si="39"/>
        <v>3</v>
      </c>
      <c r="N66" s="470">
        <f t="shared" ca="1" si="39"/>
        <v>3</v>
      </c>
      <c r="O66" s="470">
        <f t="shared" ca="1" si="39"/>
        <v>3</v>
      </c>
      <c r="P66" s="470">
        <f t="shared" ca="1" si="39"/>
        <v>4</v>
      </c>
      <c r="Q66" s="470">
        <f t="shared" ca="1" si="39"/>
        <v>4</v>
      </c>
      <c r="R66" s="470">
        <f t="shared" ca="1" si="39"/>
        <v>5</v>
      </c>
      <c r="S66" s="470">
        <f t="shared" ca="1" si="39"/>
        <v>4</v>
      </c>
      <c r="T66" s="470">
        <f t="shared" ca="1" si="39"/>
        <v>5</v>
      </c>
      <c r="U66" s="470">
        <f t="shared" ca="1" si="39"/>
        <v>5</v>
      </c>
      <c r="V66" s="470">
        <f t="shared" ca="1" si="39"/>
        <v>6</v>
      </c>
      <c r="W66" s="470">
        <f t="shared" ca="1" si="39"/>
        <v>7</v>
      </c>
      <c r="X66" s="470">
        <f t="shared" ca="1" si="39"/>
        <v>6</v>
      </c>
      <c r="Y66" s="470">
        <f t="shared" ca="1" si="39"/>
        <v>5</v>
      </c>
      <c r="Z66" s="470">
        <f t="shared" ca="1" si="39"/>
        <v>5</v>
      </c>
      <c r="AA66" s="470">
        <f t="shared" si="39"/>
        <v>4</v>
      </c>
      <c r="AB66" s="470">
        <f t="shared" si="39"/>
        <v>4</v>
      </c>
      <c r="AC66" s="417"/>
      <c r="AD66" s="417"/>
      <c r="AE66" s="417"/>
    </row>
    <row r="67" spans="1:31">
      <c r="A67" s="417"/>
      <c r="B67" s="471" t="s">
        <v>1814</v>
      </c>
      <c r="C67" s="433">
        <f ca="1">SUM(H67:S67)</f>
        <v>5</v>
      </c>
      <c r="D67" s="433">
        <f ca="1">SUM(T67:AB67)</f>
        <v>2</v>
      </c>
      <c r="E67" s="417"/>
      <c r="F67" s="433">
        <f ca="1">SUM(Q67:AB67)</f>
        <v>4</v>
      </c>
      <c r="G67" s="417"/>
      <c r="H67" s="472">
        <f ca="1">COUNTIFS('Combined Employee Worksheet'!$I:$I,"&gt;="&amp;'Adj. Employee Retention'!H$5,'Combined Employee Worksheet'!$I:$I,"&lt;="&amp;'Adj. Employee Retention'!H$1,'Combined Employee Worksheet'!$D:$D,'Adj. Employee Retention'!$B63)-COUNTIFS('Combined Employee Worksheet'!$I:$I,"&gt;="&amp;'Adj. Employee Retention'!H$5,'Combined Employee Worksheet'!$I:$I,"&lt;="&amp;'Adj. Employee Retention'!H$1,'Combined Employee Worksheet'!$D:$D,'Adj. Employee Retention'!$B63,'Combined Employee Worksheet'!$K:$K,"&lt;="&amp;$C$138,'Combined Employee Worksheet'!$J:$J,"&lt;&gt;")</f>
        <v>1</v>
      </c>
      <c r="I67" s="472">
        <f>COUNTIFS('Combined Employee Worksheet'!$I:$I,"&gt;="&amp;'Adj. Employee Retention'!I$5,'Combined Employee Worksheet'!$I:$I,"&lt;="&amp;'Adj. Employee Retention'!I$1,'Combined Employee Worksheet'!$D:$D,'Adj. Employee Retention'!$B63)-COUNTIFS('Combined Employee Worksheet'!$I:$I,"&gt;="&amp;'Adj. Employee Retention'!I$5,'Combined Employee Worksheet'!$I:$I,"&lt;="&amp;'Adj. Employee Retention'!I$1,'Combined Employee Worksheet'!$D:$D,'Adj. Employee Retention'!$B63,'Combined Employee Worksheet'!$K:$K,"&lt;="&amp;$C$138,'Combined Employee Worksheet'!$J:$J,"&lt;&gt;")</f>
        <v>0</v>
      </c>
      <c r="J67" s="472">
        <f>COUNTIFS('Combined Employee Worksheet'!$I:$I,"&gt;="&amp;'Adj. Employee Retention'!J$5,'Combined Employee Worksheet'!$I:$I,"&lt;="&amp;'Adj. Employee Retention'!J$1,'Combined Employee Worksheet'!$D:$D,'Adj. Employee Retention'!$B63)-COUNTIFS('Combined Employee Worksheet'!$I:$I,"&gt;="&amp;'Adj. Employee Retention'!J$5,'Combined Employee Worksheet'!$I:$I,"&lt;="&amp;'Adj. Employee Retention'!J$1,'Combined Employee Worksheet'!$D:$D,'Adj. Employee Retention'!$B63,'Combined Employee Worksheet'!$K:$K,"&lt;="&amp;$C$138,'Combined Employee Worksheet'!$J:$J,"&lt;&gt;")</f>
        <v>0</v>
      </c>
      <c r="K67" s="472">
        <f ca="1">COUNTIFS('Combined Employee Worksheet'!$I:$I,"&gt;="&amp;'Adj. Employee Retention'!K$5,'Combined Employee Worksheet'!$I:$I,"&lt;="&amp;'Adj. Employee Retention'!K$1,'Combined Employee Worksheet'!$D:$D,'Adj. Employee Retention'!$B63)-COUNTIFS('Combined Employee Worksheet'!$I:$I,"&gt;="&amp;'Adj. Employee Retention'!K$5,'Combined Employee Worksheet'!$I:$I,"&lt;="&amp;'Adj. Employee Retention'!K$1,'Combined Employee Worksheet'!$D:$D,'Adj. Employee Retention'!$B63,'Combined Employee Worksheet'!$K:$K,"&lt;="&amp;$C$138,'Combined Employee Worksheet'!$J:$J,"&lt;&gt;")</f>
        <v>1</v>
      </c>
      <c r="L67" s="472">
        <f>COUNTIFS('Combined Employee Worksheet'!$I:$I,"&gt;="&amp;'Adj. Employee Retention'!L$5,'Combined Employee Worksheet'!$I:$I,"&lt;="&amp;'Adj. Employee Retention'!L$1,'Combined Employee Worksheet'!$D:$D,'Adj. Employee Retention'!$B63)-COUNTIFS('Combined Employee Worksheet'!$I:$I,"&gt;="&amp;'Adj. Employee Retention'!L$5,'Combined Employee Worksheet'!$I:$I,"&lt;="&amp;'Adj. Employee Retention'!L$1,'Combined Employee Worksheet'!$D:$D,'Adj. Employee Retention'!$B63,'Combined Employee Worksheet'!$K:$K,"&lt;="&amp;$C$138,'Combined Employee Worksheet'!$J:$J,"&lt;&gt;")</f>
        <v>0</v>
      </c>
      <c r="M67" s="472">
        <f>COUNTIFS('Combined Employee Worksheet'!$I:$I,"&gt;="&amp;'Adj. Employee Retention'!M$5,'Combined Employee Worksheet'!$I:$I,"&lt;="&amp;'Adj. Employee Retention'!M$1,'Combined Employee Worksheet'!$D:$D,'Adj. Employee Retention'!$B63)-COUNTIFS('Combined Employee Worksheet'!$I:$I,"&gt;="&amp;'Adj. Employee Retention'!M$5,'Combined Employee Worksheet'!$I:$I,"&lt;="&amp;'Adj. Employee Retention'!M$1,'Combined Employee Worksheet'!$D:$D,'Adj. Employee Retention'!$B63,'Combined Employee Worksheet'!$K:$K,"&lt;="&amp;$C$138,'Combined Employee Worksheet'!$J:$J,"&lt;&gt;")</f>
        <v>0</v>
      </c>
      <c r="N67" s="472">
        <f>COUNTIFS('Combined Employee Worksheet'!$I:$I,"&gt;="&amp;'Adj. Employee Retention'!N$5,'Combined Employee Worksheet'!$I:$I,"&lt;="&amp;'Adj. Employee Retention'!N$1,'Combined Employee Worksheet'!$D:$D,'Adj. Employee Retention'!$B63)-COUNTIFS('Combined Employee Worksheet'!$I:$I,"&gt;="&amp;'Adj. Employee Retention'!N$5,'Combined Employee Worksheet'!$I:$I,"&lt;="&amp;'Adj. Employee Retention'!N$1,'Combined Employee Worksheet'!$D:$D,'Adj. Employee Retention'!$B63,'Combined Employee Worksheet'!$K:$K,"&lt;="&amp;$C$138,'Combined Employee Worksheet'!$J:$J,"&lt;&gt;")</f>
        <v>0</v>
      </c>
      <c r="O67" s="472">
        <f ca="1">COUNTIFS('Combined Employee Worksheet'!$I:$I,"&gt;="&amp;'Adj. Employee Retention'!O$5,'Combined Employee Worksheet'!$I:$I,"&lt;="&amp;'Adj. Employee Retention'!O$1,'Combined Employee Worksheet'!$D:$D,'Adj. Employee Retention'!$B63)-COUNTIFS('Combined Employee Worksheet'!$I:$I,"&gt;="&amp;'Adj. Employee Retention'!O$5,'Combined Employee Worksheet'!$I:$I,"&lt;="&amp;'Adj. Employee Retention'!O$1,'Combined Employee Worksheet'!$D:$D,'Adj. Employee Retention'!$B63,'Combined Employee Worksheet'!$K:$K,"&lt;="&amp;$C$138,'Combined Employee Worksheet'!$J:$J,"&lt;&gt;")</f>
        <v>1</v>
      </c>
      <c r="P67" s="472">
        <f>COUNTIFS('Combined Employee Worksheet'!$I:$I,"&gt;="&amp;'Adj. Employee Retention'!P$5,'Combined Employee Worksheet'!$I:$I,"&lt;="&amp;'Adj. Employee Retention'!P$1,'Combined Employee Worksheet'!$D:$D,'Adj. Employee Retention'!$B63)-COUNTIFS('Combined Employee Worksheet'!$I:$I,"&gt;="&amp;'Adj. Employee Retention'!P$5,'Combined Employee Worksheet'!$I:$I,"&lt;="&amp;'Adj. Employee Retention'!P$1,'Combined Employee Worksheet'!$D:$D,'Adj. Employee Retention'!$B63,'Combined Employee Worksheet'!$K:$K,"&lt;="&amp;$C$138,'Combined Employee Worksheet'!$J:$J,"&lt;&gt;")</f>
        <v>0</v>
      </c>
      <c r="Q67" s="472">
        <f ca="1">COUNTIFS('Combined Employee Worksheet'!$I:$I,"&gt;="&amp;'Adj. Employee Retention'!Q$5,'Combined Employee Worksheet'!$I:$I,"&lt;="&amp;'Adj. Employee Retention'!Q$1,'Combined Employee Worksheet'!$D:$D,'Adj. Employee Retention'!$B63)-COUNTIFS('Combined Employee Worksheet'!$I:$I,"&gt;="&amp;'Adj. Employee Retention'!Q$5,'Combined Employee Worksheet'!$I:$I,"&lt;="&amp;'Adj. Employee Retention'!Q$1,'Combined Employee Worksheet'!$D:$D,'Adj. Employee Retention'!$B63,'Combined Employee Worksheet'!$K:$K,"&lt;="&amp;$C$138,'Combined Employee Worksheet'!$J:$J,"&lt;&gt;")</f>
        <v>1</v>
      </c>
      <c r="R67" s="472">
        <f>COUNTIFS('Combined Employee Worksheet'!$I:$I,"&gt;="&amp;'Adj. Employee Retention'!R$5,'Combined Employee Worksheet'!$I:$I,"&lt;="&amp;'Adj. Employee Retention'!R$1,'Combined Employee Worksheet'!$D:$D,'Adj. Employee Retention'!$B63)-COUNTIFS('Combined Employee Worksheet'!$I:$I,"&gt;="&amp;'Adj. Employee Retention'!R$5,'Combined Employee Worksheet'!$I:$I,"&lt;="&amp;'Adj. Employee Retention'!R$1,'Combined Employee Worksheet'!$D:$D,'Adj. Employee Retention'!$B63,'Combined Employee Worksheet'!$K:$K,"&lt;="&amp;$C$138,'Combined Employee Worksheet'!$J:$J,"&lt;&gt;")</f>
        <v>0</v>
      </c>
      <c r="S67" s="472">
        <f ca="1">COUNTIFS('Combined Employee Worksheet'!$I:$I,"&gt;="&amp;'Adj. Employee Retention'!S$5,'Combined Employee Worksheet'!$I:$I,"&lt;="&amp;'Adj. Employee Retention'!S$1,'Combined Employee Worksheet'!$D:$D,'Adj. Employee Retention'!$B63)-COUNTIFS('Combined Employee Worksheet'!$I:$I,"&gt;="&amp;'Adj. Employee Retention'!S$5,'Combined Employee Worksheet'!$I:$I,"&lt;="&amp;'Adj. Employee Retention'!S$1,'Combined Employee Worksheet'!$D:$D,'Adj. Employee Retention'!$B63,'Combined Employee Worksheet'!$K:$K,"&lt;="&amp;$C$138,'Combined Employee Worksheet'!$J:$J,"&lt;&gt;")</f>
        <v>1</v>
      </c>
      <c r="T67" s="472">
        <f>COUNTIFS('Combined Employee Worksheet'!$I:$I,"&gt;="&amp;'Adj. Employee Retention'!T$5,'Combined Employee Worksheet'!$I:$I,"&lt;="&amp;'Adj. Employee Retention'!T$1,'Combined Employee Worksheet'!$D:$D,'Adj. Employee Retention'!$B63)-COUNTIFS('Combined Employee Worksheet'!$I:$I,"&gt;="&amp;'Adj. Employee Retention'!T$5,'Combined Employee Worksheet'!$I:$I,"&lt;="&amp;'Adj. Employee Retention'!T$1,'Combined Employee Worksheet'!$D:$D,'Adj. Employee Retention'!$B63,'Combined Employee Worksheet'!$K:$K,"&lt;="&amp;$C$138,'Combined Employee Worksheet'!$J:$J,"&lt;&gt;")</f>
        <v>0</v>
      </c>
      <c r="U67" s="472">
        <f ca="1">COUNTIFS('Combined Employee Worksheet'!$I:$I,"&gt;="&amp;'Adj. Employee Retention'!U$5,'Combined Employee Worksheet'!$I:$I,"&lt;="&amp;'Adj. Employee Retention'!U$1,'Combined Employee Worksheet'!$D:$D,'Adj. Employee Retention'!$B63)-COUNTIFS('Combined Employee Worksheet'!$I:$I,"&gt;="&amp;'Adj. Employee Retention'!U$5,'Combined Employee Worksheet'!$I:$I,"&lt;="&amp;'Adj. Employee Retention'!U$1,'Combined Employee Worksheet'!$D:$D,'Adj. Employee Retention'!$B63,'Combined Employee Worksheet'!$K:$K,"&lt;="&amp;$C$138,'Combined Employee Worksheet'!$J:$J,"&lt;&gt;")</f>
        <v>1</v>
      </c>
      <c r="V67" s="472">
        <f ca="1">COUNTIFS('Combined Employee Worksheet'!$I:$I,"&gt;="&amp;'Adj. Employee Retention'!V$5,'Combined Employee Worksheet'!$I:$I,"&lt;="&amp;'Adj. Employee Retention'!V$1,'Combined Employee Worksheet'!$D:$D,'Adj. Employee Retention'!$B63)-COUNTIFS('Combined Employee Worksheet'!$I:$I,"&gt;="&amp;'Adj. Employee Retention'!V$5,'Combined Employee Worksheet'!$I:$I,"&lt;="&amp;'Adj. Employee Retention'!V$1,'Combined Employee Worksheet'!$D:$D,'Adj. Employee Retention'!$B63,'Combined Employee Worksheet'!$K:$K,"&lt;="&amp;$C$138,'Combined Employee Worksheet'!$J:$J,"&lt;&gt;")</f>
        <v>1</v>
      </c>
      <c r="W67" s="472">
        <f>COUNTIFS('Combined Employee Worksheet'!$I:$I,"&gt;="&amp;'Adj. Employee Retention'!W$5,'Combined Employee Worksheet'!$I:$I,"&lt;="&amp;'Adj. Employee Retention'!W$1,'Combined Employee Worksheet'!$D:$D,'Adj. Employee Retention'!$B63)-COUNTIFS('Combined Employee Worksheet'!$I:$I,"&gt;="&amp;'Adj. Employee Retention'!W$5,'Combined Employee Worksheet'!$I:$I,"&lt;="&amp;'Adj. Employee Retention'!W$1,'Combined Employee Worksheet'!$D:$D,'Adj. Employee Retention'!$B63,'Combined Employee Worksheet'!$K:$K,"&lt;="&amp;$C$138,'Combined Employee Worksheet'!$J:$J,"&lt;&gt;")</f>
        <v>0</v>
      </c>
      <c r="X67" s="472">
        <f ca="1">COUNTIFS('Combined Employee Worksheet'!$I:$I,"&gt;="&amp;'Adj. Employee Retention'!X$5,'Combined Employee Worksheet'!$I:$I,"&lt;="&amp;'Adj. Employee Retention'!X$1,'Combined Employee Worksheet'!$D:$D,'Adj. Employee Retention'!$B63)-COUNTIFS('Combined Employee Worksheet'!$I:$I,"&gt;="&amp;'Adj. Employee Retention'!X$5,'Combined Employee Worksheet'!$I:$I,"&lt;="&amp;'Adj. Employee Retention'!X$1,'Combined Employee Worksheet'!$D:$D,'Adj. Employee Retention'!$B63,'Combined Employee Worksheet'!$K:$K,"&lt;="&amp;$C$138,'Combined Employee Worksheet'!$J:$J,"&lt;&gt;")</f>
        <v>0</v>
      </c>
      <c r="Y67" s="472">
        <f>COUNTIFS('Combined Employee Worksheet'!$I:$I,"&gt;="&amp;'Adj. Employee Retention'!Y$5,'Combined Employee Worksheet'!$I:$I,"&lt;="&amp;'Adj. Employee Retention'!Y$1,'Combined Employee Worksheet'!$D:$D,'Adj. Employee Retention'!$B63)-COUNTIFS('Combined Employee Worksheet'!$I:$I,"&gt;="&amp;'Adj. Employee Retention'!Y$5,'Combined Employee Worksheet'!$I:$I,"&lt;="&amp;'Adj. Employee Retention'!Y$1,'Combined Employee Worksheet'!$D:$D,'Adj. Employee Retention'!$B63,'Combined Employee Worksheet'!$K:$K,"&lt;="&amp;$C$138,'Combined Employee Worksheet'!$J:$J,"&lt;&gt;")</f>
        <v>0</v>
      </c>
      <c r="Z67" s="472">
        <f>COUNTIFS('Combined Employee Worksheet'!$I:$I,"&gt;="&amp;'Adj. Employee Retention'!Z$5,'Combined Employee Worksheet'!$I:$I,"&lt;="&amp;'Adj. Employee Retention'!Z$1,'Combined Employee Worksheet'!$D:$D,'Adj. Employee Retention'!$B63)-COUNTIFS('Combined Employee Worksheet'!$I:$I,"&gt;="&amp;'Adj. Employee Retention'!Z$5,'Combined Employee Worksheet'!$I:$I,"&lt;="&amp;'Adj. Employee Retention'!Z$1,'Combined Employee Worksheet'!$D:$D,'Adj. Employee Retention'!$B63,'Combined Employee Worksheet'!$K:$K,"&lt;="&amp;$C$138,'Combined Employee Worksheet'!$J:$J,"&lt;&gt;")</f>
        <v>0</v>
      </c>
      <c r="AA67" s="472">
        <f>COUNTIFS('Combined Employee Worksheet'!$I:$I,"&gt;="&amp;'Adj. Employee Retention'!AA$5,'Combined Employee Worksheet'!$I:$I,"&lt;="&amp;'Adj. Employee Retention'!AA$1,'Combined Employee Worksheet'!$D:$D,'Adj. Employee Retention'!$B63)-COUNTIFS('Combined Employee Worksheet'!$I:$I,"&gt;="&amp;'Adj. Employee Retention'!AA$5,'Combined Employee Worksheet'!$I:$I,"&lt;="&amp;'Adj. Employee Retention'!AA$1,'Combined Employee Worksheet'!$D:$D,'Adj. Employee Retention'!$B63,'Combined Employee Worksheet'!$K:$K,"&lt;="&amp;$C$138,'Combined Employee Worksheet'!$J:$J,"&lt;&gt;")</f>
        <v>0</v>
      </c>
      <c r="AB67" s="472">
        <f>COUNTIFS('Combined Employee Worksheet'!$I:$I,"&gt;="&amp;'Adj. Employee Retention'!AB$5,'Combined Employee Worksheet'!$I:$I,"&lt;="&amp;'Adj. Employee Retention'!AB$1,'Combined Employee Worksheet'!$D:$D,'Adj. Employee Retention'!$B63)-COUNTIFS('Combined Employee Worksheet'!$I:$I,"&gt;="&amp;'Adj. Employee Retention'!AB$5,'Combined Employee Worksheet'!$I:$I,"&lt;="&amp;'Adj. Employee Retention'!AB$1,'Combined Employee Worksheet'!$D:$D,'Adj. Employee Retention'!$B63,'Combined Employee Worksheet'!$K:$K,"&lt;="&amp;$C$138,'Combined Employee Worksheet'!$J:$J,"&lt;&gt;")</f>
        <v>0</v>
      </c>
      <c r="AC67" s="417"/>
      <c r="AD67" s="417"/>
      <c r="AE67" s="417"/>
    </row>
    <row r="68" spans="1:31" ht="12" customHeight="1">
      <c r="A68" s="417"/>
      <c r="B68" s="471" t="s">
        <v>1815</v>
      </c>
      <c r="C68" s="433">
        <f ca="1">SUM(H68:S68)</f>
        <v>-1</v>
      </c>
      <c r="D68" s="433">
        <f ca="1">SUM(T68:AB68)</f>
        <v>-3</v>
      </c>
      <c r="E68" s="417"/>
      <c r="F68" s="433">
        <f ca="1">SUM(Q68:AB68)</f>
        <v>-4</v>
      </c>
      <c r="G68" s="417"/>
      <c r="H68" s="472">
        <f>-COUNTIFS('Combined Employee Worksheet'!$J:$J,"&gt;="&amp;'Adj. Employee Retention'!H$5,'Combined Employee Worksheet'!$J:$J,"&lt;="&amp;'Adj. Employee Retention'!H$1,'Combined Employee Worksheet'!$D:$D,'Adj. Employee Retention'!$B63,'Combined Employee Worksheet'!$K:$K,"&gt;"&amp;$C$138)</f>
        <v>0</v>
      </c>
      <c r="I68" s="472">
        <f>-COUNTIFS('Combined Employee Worksheet'!$J:$J,"&gt;="&amp;'Adj. Employee Retention'!I$5,'Combined Employee Worksheet'!$J:$J,"&lt;="&amp;'Adj. Employee Retention'!I$1,'Combined Employee Worksheet'!$D:$D,'Adj. Employee Retention'!$B63,'Combined Employee Worksheet'!$K:$K,"&gt;"&amp;$C$138)</f>
        <v>0</v>
      </c>
      <c r="J68" s="472">
        <f>-COUNTIFS('Combined Employee Worksheet'!$J:$J,"&gt;="&amp;'Adj. Employee Retention'!J$5,'Combined Employee Worksheet'!$J:$J,"&lt;="&amp;'Adj. Employee Retention'!J$1,'Combined Employee Worksheet'!$D:$D,'Adj. Employee Retention'!$B63,'Combined Employee Worksheet'!$K:$K,"&gt;"&amp;$C$138)</f>
        <v>0</v>
      </c>
      <c r="K68" s="472">
        <f>-COUNTIFS('Combined Employee Worksheet'!$J:$J,"&gt;="&amp;'Adj. Employee Retention'!K$5,'Combined Employee Worksheet'!$J:$J,"&lt;="&amp;'Adj. Employee Retention'!K$1,'Combined Employee Worksheet'!$D:$D,'Adj. Employee Retention'!$B63,'Combined Employee Worksheet'!$K:$K,"&gt;"&amp;$C$138)</f>
        <v>0</v>
      </c>
      <c r="L68" s="472">
        <f>-COUNTIFS('Combined Employee Worksheet'!$J:$J,"&gt;="&amp;'Adj. Employee Retention'!L$5,'Combined Employee Worksheet'!$J:$J,"&lt;="&amp;'Adj. Employee Retention'!L$1,'Combined Employee Worksheet'!$D:$D,'Adj. Employee Retention'!$B63,'Combined Employee Worksheet'!$K:$K,"&gt;"&amp;$C$138)</f>
        <v>0</v>
      </c>
      <c r="M68" s="472">
        <f>-COUNTIFS('Combined Employee Worksheet'!$J:$J,"&gt;="&amp;'Adj. Employee Retention'!M$5,'Combined Employee Worksheet'!$J:$J,"&lt;="&amp;'Adj. Employee Retention'!M$1,'Combined Employee Worksheet'!$D:$D,'Adj. Employee Retention'!$B63,'Combined Employee Worksheet'!$K:$K,"&gt;"&amp;$C$138)</f>
        <v>0</v>
      </c>
      <c r="N68" s="472">
        <f>-COUNTIFS('Combined Employee Worksheet'!$J:$J,"&gt;="&amp;'Adj. Employee Retention'!N$5,'Combined Employee Worksheet'!$J:$J,"&lt;="&amp;'Adj. Employee Retention'!N$1,'Combined Employee Worksheet'!$D:$D,'Adj. Employee Retention'!$B63,'Combined Employee Worksheet'!$K:$K,"&gt;"&amp;$C$138)</f>
        <v>0</v>
      </c>
      <c r="O68" s="472">
        <f>-COUNTIFS('Combined Employee Worksheet'!$J:$J,"&gt;="&amp;'Adj. Employee Retention'!O$5,'Combined Employee Worksheet'!$J:$J,"&lt;="&amp;'Adj. Employee Retention'!O$1,'Combined Employee Worksheet'!$D:$D,'Adj. Employee Retention'!$B63,'Combined Employee Worksheet'!$K:$K,"&gt;"&amp;$C$138)</f>
        <v>0</v>
      </c>
      <c r="P68" s="472">
        <f>-COUNTIFS('Combined Employee Worksheet'!$J:$J,"&gt;="&amp;'Adj. Employee Retention'!P$5,'Combined Employee Worksheet'!$J:$J,"&lt;="&amp;'Adj. Employee Retention'!P$1,'Combined Employee Worksheet'!$D:$D,'Adj. Employee Retention'!$B63,'Combined Employee Worksheet'!$K:$K,"&gt;"&amp;$C$138)</f>
        <v>0</v>
      </c>
      <c r="Q68" s="472">
        <f>-COUNTIFS('Combined Employee Worksheet'!$J:$J,"&gt;="&amp;'Adj. Employee Retention'!Q$5,'Combined Employee Worksheet'!$J:$J,"&lt;="&amp;'Adj. Employee Retention'!Q$1,'Combined Employee Worksheet'!$D:$D,'Adj. Employee Retention'!$B63,'Combined Employee Worksheet'!$K:$K,"&gt;"&amp;$C$138)</f>
        <v>0</v>
      </c>
      <c r="R68" s="472">
        <f ca="1">-COUNTIFS('Combined Employee Worksheet'!$J:$J,"&gt;="&amp;'Adj. Employee Retention'!R$5,'Combined Employee Worksheet'!$J:$J,"&lt;="&amp;'Adj. Employee Retention'!R$1,'Combined Employee Worksheet'!$D:$D,'Adj. Employee Retention'!$B63,'Combined Employee Worksheet'!$K:$K,"&gt;"&amp;$C$138)</f>
        <v>-1</v>
      </c>
      <c r="S68" s="472">
        <f>-COUNTIFS('Combined Employee Worksheet'!$J:$J,"&gt;="&amp;'Adj. Employee Retention'!S$5,'Combined Employee Worksheet'!$J:$J,"&lt;="&amp;'Adj. Employee Retention'!S$1,'Combined Employee Worksheet'!$D:$D,'Adj. Employee Retention'!$B63,'Combined Employee Worksheet'!$K:$K,"&gt;"&amp;$C$138)</f>
        <v>0</v>
      </c>
      <c r="T68" s="472">
        <f>-COUNTIFS('Combined Employee Worksheet'!$J:$J,"&gt;="&amp;'Adj. Employee Retention'!T$5,'Combined Employee Worksheet'!$J:$J,"&lt;="&amp;'Adj. Employee Retention'!T$1,'Combined Employee Worksheet'!$D:$D,'Adj. Employee Retention'!$B63,'Combined Employee Worksheet'!$K:$K,"&gt;"&amp;$C$138)</f>
        <v>0</v>
      </c>
      <c r="U68" s="472">
        <f>-COUNTIFS('Combined Employee Worksheet'!$J:$J,"&gt;="&amp;'Adj. Employee Retention'!U$5,'Combined Employee Worksheet'!$J:$J,"&lt;="&amp;'Adj. Employee Retention'!U$1,'Combined Employee Worksheet'!$D:$D,'Adj. Employee Retention'!$B63,'Combined Employee Worksheet'!$K:$K,"&gt;"&amp;$C$138)</f>
        <v>0</v>
      </c>
      <c r="V68" s="472">
        <f>-COUNTIFS('Combined Employee Worksheet'!$J:$J,"&gt;="&amp;'Adj. Employee Retention'!V$5,'Combined Employee Worksheet'!$J:$J,"&lt;="&amp;'Adj. Employee Retention'!V$1,'Combined Employee Worksheet'!$D:$D,'Adj. Employee Retention'!$B63,'Combined Employee Worksheet'!$K:$K,"&gt;"&amp;$C$138)</f>
        <v>0</v>
      </c>
      <c r="W68" s="472">
        <f ca="1">-COUNTIFS('Combined Employee Worksheet'!$J:$J,"&gt;="&amp;'Adj. Employee Retention'!W$5,'Combined Employee Worksheet'!$J:$J,"&lt;="&amp;'Adj. Employee Retention'!W$1,'Combined Employee Worksheet'!$D:$D,'Adj. Employee Retention'!$B63,'Combined Employee Worksheet'!$K:$K,"&gt;"&amp;$C$138)</f>
        <v>-1</v>
      </c>
      <c r="X68" s="472">
        <f ca="1">-COUNTIFS('Combined Employee Worksheet'!$J:$J,"&gt;="&amp;'Adj. Employee Retention'!X$5,'Combined Employee Worksheet'!$J:$J,"&lt;="&amp;'Adj. Employee Retention'!X$1,'Combined Employee Worksheet'!$D:$D,'Adj. Employee Retention'!$B63,'Combined Employee Worksheet'!$K:$K,"&gt;"&amp;$C$138)</f>
        <v>-1</v>
      </c>
      <c r="Y68" s="472">
        <f>-COUNTIFS('Combined Employee Worksheet'!$J:$J,"&gt;="&amp;'Adj. Employee Retention'!Y$5,'Combined Employee Worksheet'!$J:$J,"&lt;="&amp;'Adj. Employee Retention'!Y$1,'Combined Employee Worksheet'!$D:$D,'Adj. Employee Retention'!$B63,'Combined Employee Worksheet'!$K:$K,"&gt;"&amp;$C$138)</f>
        <v>0</v>
      </c>
      <c r="Z68" s="472">
        <f ca="1">-COUNTIFS('Combined Employee Worksheet'!$J:$J,"&gt;="&amp;'Adj. Employee Retention'!Z$5,'Combined Employee Worksheet'!$J:$J,"&lt;="&amp;'Adj. Employee Retention'!Z$1,'Combined Employee Worksheet'!$D:$D,'Adj. Employee Retention'!$B63,'Combined Employee Worksheet'!$K:$K,"&gt;"&amp;$C$138)</f>
        <v>-1</v>
      </c>
      <c r="AA68" s="472">
        <f>-COUNTIFS('Combined Employee Worksheet'!$J:$J,"&gt;="&amp;'Adj. Employee Retention'!AA$5,'Combined Employee Worksheet'!$J:$J,"&lt;="&amp;'Adj. Employee Retention'!AA$1,'Combined Employee Worksheet'!$D:$D,'Adj. Employee Retention'!$B63,'Combined Employee Worksheet'!$K:$K,"&gt;"&amp;$C$138)</f>
        <v>0</v>
      </c>
      <c r="AB68" s="472">
        <f>-COUNTIFS('Combined Employee Worksheet'!$J:$J,"&gt;="&amp;'Adj. Employee Retention'!AB$5,'Combined Employee Worksheet'!$J:$J,"&lt;="&amp;'Adj. Employee Retention'!AB$1,'Combined Employee Worksheet'!$D:$D,'Adj. Employee Retention'!$B63,'Combined Employee Worksheet'!$K:$K,"&gt;"&amp;$C$138)</f>
        <v>0</v>
      </c>
      <c r="AC68" s="417"/>
      <c r="AD68" s="417"/>
      <c r="AE68" s="417"/>
    </row>
    <row r="69" spans="1:31" ht="12" customHeight="1">
      <c r="A69" s="417"/>
      <c r="B69" s="474" t="s">
        <v>1315</v>
      </c>
      <c r="C69" s="475">
        <f ca="1">+D66</f>
        <v>5</v>
      </c>
      <c r="D69" s="476">
        <f>+$AB69</f>
        <v>4</v>
      </c>
      <c r="E69" s="417"/>
      <c r="F69" s="477">
        <f>+$AB69</f>
        <v>4</v>
      </c>
      <c r="G69" s="417"/>
      <c r="H69" s="478">
        <f t="shared" ref="H69:AA69" ca="1" si="40">+I66</f>
        <v>2</v>
      </c>
      <c r="I69" s="475">
        <f t="shared" ca="1" si="40"/>
        <v>2</v>
      </c>
      <c r="J69" s="475">
        <f t="shared" ca="1" si="40"/>
        <v>2</v>
      </c>
      <c r="K69" s="475">
        <f t="shared" ca="1" si="40"/>
        <v>3</v>
      </c>
      <c r="L69" s="475">
        <f t="shared" ca="1" si="40"/>
        <v>3</v>
      </c>
      <c r="M69" s="475">
        <f t="shared" ca="1" si="40"/>
        <v>3</v>
      </c>
      <c r="N69" s="475">
        <f t="shared" ca="1" si="40"/>
        <v>3</v>
      </c>
      <c r="O69" s="475">
        <f t="shared" ca="1" si="40"/>
        <v>4</v>
      </c>
      <c r="P69" s="475">
        <f t="shared" ca="1" si="40"/>
        <v>4</v>
      </c>
      <c r="Q69" s="478">
        <f t="shared" ca="1" si="40"/>
        <v>5</v>
      </c>
      <c r="R69" s="475">
        <f t="shared" ca="1" si="40"/>
        <v>4</v>
      </c>
      <c r="S69" s="475">
        <f t="shared" ca="1" si="40"/>
        <v>5</v>
      </c>
      <c r="T69" s="475">
        <f t="shared" ca="1" si="40"/>
        <v>5</v>
      </c>
      <c r="U69" s="475">
        <f t="shared" ca="1" si="40"/>
        <v>6</v>
      </c>
      <c r="V69" s="475">
        <f t="shared" ca="1" si="40"/>
        <v>7</v>
      </c>
      <c r="W69" s="475">
        <f t="shared" ca="1" si="40"/>
        <v>6</v>
      </c>
      <c r="X69" s="475">
        <f t="shared" ca="1" si="40"/>
        <v>5</v>
      </c>
      <c r="Y69" s="475">
        <f t="shared" ca="1" si="40"/>
        <v>5</v>
      </c>
      <c r="Z69" s="475">
        <f t="shared" si="40"/>
        <v>4</v>
      </c>
      <c r="AA69" s="475">
        <f t="shared" si="40"/>
        <v>4</v>
      </c>
      <c r="AB69" s="479">
        <f>COUNTIFS('Combined Employee Worksheet'!$H:$H,"Active",'Combined Employee Worksheet'!$D:$D,'Adj. Employee Retention'!B63)</f>
        <v>4</v>
      </c>
      <c r="AC69" s="417"/>
      <c r="AD69" s="417"/>
      <c r="AE69" s="417"/>
    </row>
    <row r="70" spans="1:31" ht="3.95" customHeight="1">
      <c r="A70" s="417"/>
      <c r="B70" s="480"/>
      <c r="C70" s="481"/>
      <c r="D70" s="481"/>
      <c r="E70" s="417"/>
      <c r="F70" s="481"/>
      <c r="G70" s="417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501"/>
      <c r="AC70" s="417"/>
      <c r="AD70" s="417"/>
      <c r="AE70" s="417"/>
    </row>
    <row r="71" spans="1:31" ht="12" customHeight="1">
      <c r="A71" s="417"/>
      <c r="B71" s="487" t="s">
        <v>1817</v>
      </c>
      <c r="C71" s="502">
        <f ca="1">AVERAGE(C66,C69)</f>
        <v>3</v>
      </c>
      <c r="D71" s="503">
        <f ca="1">AVERAGE(D66,D69)</f>
        <v>4.5</v>
      </c>
      <c r="E71" s="417"/>
      <c r="F71" s="504">
        <f ca="1">AVERAGE(F66,F69)</f>
        <v>4</v>
      </c>
      <c r="G71" s="417"/>
      <c r="H71" s="505">
        <f t="shared" ref="H71:AB71" ca="1" si="41">AVERAGE(H66,H69)</f>
        <v>1.5</v>
      </c>
      <c r="I71" s="502">
        <f t="shared" ca="1" si="41"/>
        <v>2</v>
      </c>
      <c r="J71" s="502">
        <f t="shared" ca="1" si="41"/>
        <v>2</v>
      </c>
      <c r="K71" s="502">
        <f t="shared" ca="1" si="41"/>
        <v>2.5</v>
      </c>
      <c r="L71" s="502">
        <f t="shared" ca="1" si="41"/>
        <v>3</v>
      </c>
      <c r="M71" s="502">
        <f t="shared" ca="1" si="41"/>
        <v>3</v>
      </c>
      <c r="N71" s="502">
        <f t="shared" ca="1" si="41"/>
        <v>3</v>
      </c>
      <c r="O71" s="502">
        <f t="shared" ca="1" si="41"/>
        <v>3.5</v>
      </c>
      <c r="P71" s="502">
        <f t="shared" ca="1" si="41"/>
        <v>4</v>
      </c>
      <c r="Q71" s="505">
        <f t="shared" ca="1" si="41"/>
        <v>4.5</v>
      </c>
      <c r="R71" s="502">
        <f t="shared" ca="1" si="41"/>
        <v>4.5</v>
      </c>
      <c r="S71" s="502">
        <f t="shared" ca="1" si="41"/>
        <v>4.5</v>
      </c>
      <c r="T71" s="502">
        <f t="shared" ca="1" si="41"/>
        <v>5</v>
      </c>
      <c r="U71" s="502">
        <f t="shared" ca="1" si="41"/>
        <v>5.5</v>
      </c>
      <c r="V71" s="502">
        <f t="shared" ca="1" si="41"/>
        <v>6.5</v>
      </c>
      <c r="W71" s="502">
        <f t="shared" ca="1" si="41"/>
        <v>6.5</v>
      </c>
      <c r="X71" s="502">
        <f t="shared" ca="1" si="41"/>
        <v>5.5</v>
      </c>
      <c r="Y71" s="502">
        <f t="shared" ca="1" si="41"/>
        <v>5</v>
      </c>
      <c r="Z71" s="502">
        <f t="shared" ca="1" si="41"/>
        <v>4.5</v>
      </c>
      <c r="AA71" s="502">
        <f t="shared" si="41"/>
        <v>4</v>
      </c>
      <c r="AB71" s="503">
        <f t="shared" si="41"/>
        <v>4</v>
      </c>
      <c r="AC71" s="417"/>
      <c r="AD71" s="417"/>
      <c r="AE71" s="417"/>
    </row>
    <row r="72" spans="1:31" ht="12" customHeight="1">
      <c r="A72" s="417"/>
      <c r="B72" s="493" t="s">
        <v>1816</v>
      </c>
      <c r="C72" s="506">
        <f ca="1">C64/C71</f>
        <v>54.166666666666664</v>
      </c>
      <c r="D72" s="507">
        <f ca="1">D64/D71</f>
        <v>39.888888888888886</v>
      </c>
      <c r="E72" s="470"/>
      <c r="F72" s="508">
        <f ca="1">F64/F71</f>
        <v>44.5</v>
      </c>
      <c r="G72" s="470"/>
      <c r="H72" s="509">
        <f t="shared" ref="H72:AB72" ca="1" si="42">H64/H71</f>
        <v>97.333333333333329</v>
      </c>
      <c r="I72" s="506">
        <f t="shared" ca="1" si="42"/>
        <v>73.75</v>
      </c>
      <c r="J72" s="506">
        <f t="shared" ca="1" si="42"/>
        <v>75.5</v>
      </c>
      <c r="K72" s="506">
        <f t="shared" ca="1" si="42"/>
        <v>62.6</v>
      </c>
      <c r="L72" s="506">
        <f t="shared" ca="1" si="42"/>
        <v>54</v>
      </c>
      <c r="M72" s="506">
        <f t="shared" ca="1" si="42"/>
        <v>55</v>
      </c>
      <c r="N72" s="506">
        <f t="shared" ca="1" si="42"/>
        <v>55.666666666666664</v>
      </c>
      <c r="O72" s="506">
        <f t="shared" ca="1" si="42"/>
        <v>49.142857142857146</v>
      </c>
      <c r="P72" s="506">
        <f t="shared" ca="1" si="42"/>
        <v>44</v>
      </c>
      <c r="Q72" s="509">
        <f t="shared" ca="1" si="42"/>
        <v>39.888888888888886</v>
      </c>
      <c r="R72" s="506">
        <f t="shared" ca="1" si="42"/>
        <v>40.333333333333336</v>
      </c>
      <c r="S72" s="506">
        <f t="shared" ca="1" si="42"/>
        <v>40.111111111111114</v>
      </c>
      <c r="T72" s="506">
        <f t="shared" ca="1" si="42"/>
        <v>36.6</v>
      </c>
      <c r="U72" s="506">
        <f t="shared" ca="1" si="42"/>
        <v>34.454545454545453</v>
      </c>
      <c r="V72" s="506">
        <f t="shared" ca="1" si="42"/>
        <v>29.615384615384617</v>
      </c>
      <c r="W72" s="506">
        <f t="shared" ca="1" si="42"/>
        <v>30</v>
      </c>
      <c r="X72" s="506">
        <f t="shared" ca="1" si="42"/>
        <v>35.18181818181818</v>
      </c>
      <c r="Y72" s="506">
        <f t="shared" ca="1" si="42"/>
        <v>37.799999999999997</v>
      </c>
      <c r="Z72" s="506">
        <f t="shared" ca="1" si="42"/>
        <v>40.333333333333336</v>
      </c>
      <c r="AA72" s="506">
        <f t="shared" si="42"/>
        <v>43.625</v>
      </c>
      <c r="AB72" s="507">
        <f t="shared" si="42"/>
        <v>44.25</v>
      </c>
      <c r="AC72" s="417"/>
      <c r="AD72" s="417"/>
      <c r="AE72" s="417"/>
    </row>
    <row r="73" spans="1:31" ht="3.95" customHeight="1">
      <c r="A73" s="417"/>
      <c r="B73" s="480"/>
      <c r="C73" s="481"/>
      <c r="D73" s="481"/>
      <c r="E73" s="417"/>
      <c r="F73" s="481"/>
      <c r="G73" s="417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2"/>
      <c r="AA73" s="482"/>
      <c r="AB73" s="482"/>
      <c r="AC73" s="417"/>
      <c r="AD73" s="417"/>
      <c r="AE73" s="417"/>
    </row>
    <row r="74" spans="1:31" ht="12" customHeight="1">
      <c r="A74" s="417"/>
      <c r="B74" s="487" t="s">
        <v>1813</v>
      </c>
      <c r="C74" s="488">
        <f ca="1">(C67+C66)/C66-1</f>
        <v>5</v>
      </c>
      <c r="D74" s="489">
        <f ca="1">(D67+D66)/D66-1</f>
        <v>0.39999999999999991</v>
      </c>
      <c r="E74" s="490"/>
      <c r="F74" s="491">
        <f ca="1">(F67+F66)/F66-1</f>
        <v>1</v>
      </c>
      <c r="G74" s="417"/>
      <c r="H74" s="492">
        <f t="shared" ref="H74:AB74" ca="1" si="43">(H67+H66)/H66-1</f>
        <v>1</v>
      </c>
      <c r="I74" s="488">
        <f t="shared" ca="1" si="43"/>
        <v>0</v>
      </c>
      <c r="J74" s="488">
        <f t="shared" ca="1" si="43"/>
        <v>0</v>
      </c>
      <c r="K74" s="488">
        <f t="shared" ca="1" si="43"/>
        <v>0.5</v>
      </c>
      <c r="L74" s="488">
        <f t="shared" ca="1" si="43"/>
        <v>0</v>
      </c>
      <c r="M74" s="488">
        <f t="shared" ca="1" si="43"/>
        <v>0</v>
      </c>
      <c r="N74" s="488">
        <f t="shared" ca="1" si="43"/>
        <v>0</v>
      </c>
      <c r="O74" s="488">
        <f t="shared" ca="1" si="43"/>
        <v>0.33333333333333326</v>
      </c>
      <c r="P74" s="488">
        <f t="shared" ca="1" si="43"/>
        <v>0</v>
      </c>
      <c r="Q74" s="492">
        <f t="shared" ca="1" si="43"/>
        <v>0.25</v>
      </c>
      <c r="R74" s="488">
        <f t="shared" ca="1" si="43"/>
        <v>0</v>
      </c>
      <c r="S74" s="488">
        <f t="shared" ca="1" si="43"/>
        <v>0.25</v>
      </c>
      <c r="T74" s="488">
        <f t="shared" ca="1" si="43"/>
        <v>0</v>
      </c>
      <c r="U74" s="488">
        <f t="shared" ca="1" si="43"/>
        <v>0.19999999999999996</v>
      </c>
      <c r="V74" s="488">
        <f t="shared" ca="1" si="43"/>
        <v>0.16666666666666674</v>
      </c>
      <c r="W74" s="488">
        <f t="shared" ca="1" si="43"/>
        <v>0</v>
      </c>
      <c r="X74" s="488">
        <f t="shared" ca="1" si="43"/>
        <v>0</v>
      </c>
      <c r="Y74" s="488">
        <f t="shared" ca="1" si="43"/>
        <v>0</v>
      </c>
      <c r="Z74" s="488">
        <f t="shared" ca="1" si="43"/>
        <v>0</v>
      </c>
      <c r="AA74" s="488">
        <f t="shared" si="43"/>
        <v>0</v>
      </c>
      <c r="AB74" s="489">
        <f t="shared" si="43"/>
        <v>0</v>
      </c>
      <c r="AC74" s="417"/>
      <c r="AD74" s="417"/>
      <c r="AE74" s="417"/>
    </row>
    <row r="75" spans="1:31">
      <c r="A75" s="417"/>
      <c r="B75" s="493" t="s">
        <v>1812</v>
      </c>
      <c r="C75" s="494">
        <f ca="1">(C68+C71)/C71-1</f>
        <v>-0.33333333333333337</v>
      </c>
      <c r="D75" s="495">
        <f ca="1">(D68+D71)/D71-1</f>
        <v>-0.66666666666666674</v>
      </c>
      <c r="E75" s="490"/>
      <c r="F75" s="496">
        <f ca="1">(F68+F71)/F71-1</f>
        <v>-1</v>
      </c>
      <c r="G75" s="417"/>
      <c r="H75" s="497">
        <f t="shared" ref="H75:AB75" ca="1" si="44">(H68+H71)/H71-1</f>
        <v>0</v>
      </c>
      <c r="I75" s="494">
        <f t="shared" ca="1" si="44"/>
        <v>0</v>
      </c>
      <c r="J75" s="494">
        <f t="shared" ca="1" si="44"/>
        <v>0</v>
      </c>
      <c r="K75" s="494">
        <f t="shared" ca="1" si="44"/>
        <v>0</v>
      </c>
      <c r="L75" s="494">
        <f t="shared" ca="1" si="44"/>
        <v>0</v>
      </c>
      <c r="M75" s="494">
        <f t="shared" ca="1" si="44"/>
        <v>0</v>
      </c>
      <c r="N75" s="494">
        <f t="shared" ca="1" si="44"/>
        <v>0</v>
      </c>
      <c r="O75" s="494">
        <f t="shared" ca="1" si="44"/>
        <v>0</v>
      </c>
      <c r="P75" s="494">
        <f t="shared" ca="1" si="44"/>
        <v>0</v>
      </c>
      <c r="Q75" s="497">
        <f t="shared" ca="1" si="44"/>
        <v>0</v>
      </c>
      <c r="R75" s="494">
        <f t="shared" ca="1" si="44"/>
        <v>-0.22222222222222221</v>
      </c>
      <c r="S75" s="494">
        <f t="shared" ca="1" si="44"/>
        <v>0</v>
      </c>
      <c r="T75" s="494">
        <f t="shared" ca="1" si="44"/>
        <v>0</v>
      </c>
      <c r="U75" s="494">
        <f t="shared" ca="1" si="44"/>
        <v>0</v>
      </c>
      <c r="V75" s="494">
        <f t="shared" ca="1" si="44"/>
        <v>0</v>
      </c>
      <c r="W75" s="494">
        <f t="shared" ca="1" si="44"/>
        <v>-0.15384615384615385</v>
      </c>
      <c r="X75" s="494">
        <f t="shared" ca="1" si="44"/>
        <v>-0.18181818181818177</v>
      </c>
      <c r="Y75" s="494">
        <f t="shared" ca="1" si="44"/>
        <v>0</v>
      </c>
      <c r="Z75" s="494">
        <f t="shared" ca="1" si="44"/>
        <v>-0.22222222222222221</v>
      </c>
      <c r="AA75" s="494">
        <f t="shared" si="44"/>
        <v>0</v>
      </c>
      <c r="AB75" s="495">
        <f t="shared" si="44"/>
        <v>0</v>
      </c>
      <c r="AC75" s="417"/>
      <c r="AD75" s="417"/>
      <c r="AE75" s="417"/>
    </row>
    <row r="76" spans="1:31" ht="3.95" customHeight="1">
      <c r="A76" s="417"/>
      <c r="B76" s="480"/>
      <c r="C76" s="417"/>
      <c r="D76" s="417"/>
      <c r="E76" s="417"/>
      <c r="F76" s="417"/>
      <c r="G76" s="417"/>
      <c r="H76" s="417"/>
      <c r="I76" s="417"/>
      <c r="J76" s="417"/>
      <c r="K76" s="417"/>
      <c r="L76" s="417"/>
      <c r="M76" s="417"/>
      <c r="N76" s="417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</row>
    <row r="77" spans="1:31" ht="24">
      <c r="A77" s="417"/>
      <c r="B77" s="462" t="s">
        <v>1997</v>
      </c>
      <c r="C77" s="463" t="s">
        <v>4</v>
      </c>
      <c r="D77" s="463" t="s">
        <v>1317</v>
      </c>
      <c r="E77" s="464"/>
      <c r="F77" s="463" t="s">
        <v>1527</v>
      </c>
      <c r="G77" s="417"/>
      <c r="H77" s="465">
        <v>45658</v>
      </c>
      <c r="I77" s="465">
        <f t="shared" ref="I77:N77" si="45">EOMONTH(H77,0)+1</f>
        <v>45689</v>
      </c>
      <c r="J77" s="465">
        <f t="shared" si="45"/>
        <v>45717</v>
      </c>
      <c r="K77" s="465">
        <f t="shared" si="45"/>
        <v>45748</v>
      </c>
      <c r="L77" s="465">
        <f t="shared" si="45"/>
        <v>45778</v>
      </c>
      <c r="M77" s="465">
        <f t="shared" si="45"/>
        <v>45809</v>
      </c>
      <c r="N77" s="465">
        <f t="shared" si="45"/>
        <v>45839</v>
      </c>
      <c r="O77" s="465">
        <v>45870</v>
      </c>
      <c r="P77" s="465">
        <f t="shared" ref="P77:AB77" si="46">EOMONTH(O77,0)+1</f>
        <v>45901</v>
      </c>
      <c r="Q77" s="465">
        <f t="shared" si="46"/>
        <v>45931</v>
      </c>
      <c r="R77" s="465">
        <f t="shared" si="46"/>
        <v>45962</v>
      </c>
      <c r="S77" s="465">
        <f t="shared" si="46"/>
        <v>45992</v>
      </c>
      <c r="T77" s="465">
        <f t="shared" si="46"/>
        <v>46023</v>
      </c>
      <c r="U77" s="465">
        <f t="shared" si="46"/>
        <v>46054</v>
      </c>
      <c r="V77" s="465">
        <f t="shared" si="46"/>
        <v>46082</v>
      </c>
      <c r="W77" s="465">
        <f t="shared" si="46"/>
        <v>46113</v>
      </c>
      <c r="X77" s="465">
        <f t="shared" si="46"/>
        <v>46143</v>
      </c>
      <c r="Y77" s="465">
        <f t="shared" si="46"/>
        <v>46174</v>
      </c>
      <c r="Z77" s="465">
        <f t="shared" si="46"/>
        <v>46204</v>
      </c>
      <c r="AA77" s="465">
        <f t="shared" si="46"/>
        <v>46235</v>
      </c>
      <c r="AB77" s="465">
        <f t="shared" si="46"/>
        <v>46266</v>
      </c>
      <c r="AC77" s="466"/>
      <c r="AD77" s="417"/>
      <c r="AE77" s="466"/>
    </row>
    <row r="78" spans="1:31">
      <c r="A78" s="417"/>
      <c r="B78" s="498" t="s">
        <v>1509</v>
      </c>
      <c r="C78" s="468"/>
      <c r="D78" s="468"/>
      <c r="E78" s="469"/>
      <c r="F78" s="468"/>
      <c r="G78" s="417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9"/>
      <c r="AD78" s="469"/>
      <c r="AE78" s="469"/>
    </row>
    <row r="79" spans="1:31">
      <c r="A79" s="417"/>
      <c r="B79" s="469" t="s">
        <v>1818</v>
      </c>
      <c r="C79" s="510">
        <f>+C$19</f>
        <v>162.5</v>
      </c>
      <c r="D79" s="510">
        <f>+D$19</f>
        <v>179.5</v>
      </c>
      <c r="E79" s="469"/>
      <c r="F79" s="510">
        <f>+F$19</f>
        <v>178</v>
      </c>
      <c r="G79" s="417"/>
      <c r="H79" s="510">
        <f>+H$19</f>
        <v>146</v>
      </c>
      <c r="I79" s="510">
        <f t="shared" ref="I79:AB79" si="47">+I$19</f>
        <v>147.5</v>
      </c>
      <c r="J79" s="510">
        <f t="shared" si="47"/>
        <v>151</v>
      </c>
      <c r="K79" s="510">
        <f t="shared" si="47"/>
        <v>156.5</v>
      </c>
      <c r="L79" s="510">
        <f t="shared" si="47"/>
        <v>162</v>
      </c>
      <c r="M79" s="510">
        <f t="shared" si="47"/>
        <v>165</v>
      </c>
      <c r="N79" s="510">
        <f t="shared" si="47"/>
        <v>167</v>
      </c>
      <c r="O79" s="510">
        <f t="shared" si="47"/>
        <v>172</v>
      </c>
      <c r="P79" s="510">
        <f t="shared" si="47"/>
        <v>176</v>
      </c>
      <c r="Q79" s="510">
        <f t="shared" si="47"/>
        <v>179.5</v>
      </c>
      <c r="R79" s="510">
        <f t="shared" si="47"/>
        <v>181.5</v>
      </c>
      <c r="S79" s="510">
        <f t="shared" si="47"/>
        <v>180.5</v>
      </c>
      <c r="T79" s="510">
        <f t="shared" si="47"/>
        <v>183</v>
      </c>
      <c r="U79" s="510">
        <f t="shared" si="47"/>
        <v>189.5</v>
      </c>
      <c r="V79" s="510">
        <f t="shared" si="47"/>
        <v>192.5</v>
      </c>
      <c r="W79" s="510">
        <f t="shared" si="47"/>
        <v>195</v>
      </c>
      <c r="X79" s="510">
        <f t="shared" si="47"/>
        <v>193.5</v>
      </c>
      <c r="Y79" s="510">
        <f t="shared" si="47"/>
        <v>189</v>
      </c>
      <c r="Z79" s="510">
        <f t="shared" si="47"/>
        <v>181.5</v>
      </c>
      <c r="AA79" s="510">
        <f t="shared" si="47"/>
        <v>174.5</v>
      </c>
      <c r="AB79" s="510">
        <f t="shared" si="47"/>
        <v>177</v>
      </c>
      <c r="AC79" s="469"/>
      <c r="AD79" s="469"/>
      <c r="AE79" s="469"/>
    </row>
    <row r="80" spans="1:31" ht="3.95" customHeight="1">
      <c r="A80" s="417"/>
      <c r="B80" s="500"/>
      <c r="C80" s="469"/>
      <c r="D80" s="469"/>
      <c r="E80" s="469"/>
      <c r="F80" s="469"/>
      <c r="G80" s="417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  <c r="AC80" s="469"/>
      <c r="AD80" s="469"/>
      <c r="AE80" s="469"/>
    </row>
    <row r="81" spans="1:31">
      <c r="A81" s="417"/>
      <c r="B81" s="417" t="s">
        <v>1313</v>
      </c>
      <c r="C81" s="470">
        <f ca="1">+C84-C82-C83</f>
        <v>4</v>
      </c>
      <c r="D81" s="470">
        <f ca="1">+D84-D82-D83</f>
        <v>4</v>
      </c>
      <c r="E81" s="417"/>
      <c r="F81" s="470">
        <f ca="1">+F84-F82-F83</f>
        <v>3</v>
      </c>
      <c r="G81" s="417"/>
      <c r="H81" s="470">
        <f t="shared" ref="H81:AB81" ca="1" si="48">+H84-H82-H83</f>
        <v>4</v>
      </c>
      <c r="I81" s="470">
        <f t="shared" ca="1" si="48"/>
        <v>3</v>
      </c>
      <c r="J81" s="470">
        <f t="shared" ca="1" si="48"/>
        <v>3</v>
      </c>
      <c r="K81" s="470">
        <f t="shared" ca="1" si="48"/>
        <v>3</v>
      </c>
      <c r="L81" s="470">
        <f t="shared" ca="1" si="48"/>
        <v>3</v>
      </c>
      <c r="M81" s="470">
        <f t="shared" ca="1" si="48"/>
        <v>3</v>
      </c>
      <c r="N81" s="470">
        <f t="shared" ca="1" si="48"/>
        <v>3</v>
      </c>
      <c r="O81" s="470">
        <f t="shared" ca="1" si="48"/>
        <v>3</v>
      </c>
      <c r="P81" s="470">
        <f t="shared" ca="1" si="48"/>
        <v>3</v>
      </c>
      <c r="Q81" s="470">
        <f t="shared" ca="1" si="48"/>
        <v>3</v>
      </c>
      <c r="R81" s="470">
        <f t="shared" ca="1" si="48"/>
        <v>3</v>
      </c>
      <c r="S81" s="470">
        <f t="shared" ca="1" si="48"/>
        <v>3</v>
      </c>
      <c r="T81" s="470">
        <f t="shared" ca="1" si="48"/>
        <v>4</v>
      </c>
      <c r="U81" s="470">
        <f t="shared" ca="1" si="48"/>
        <v>4</v>
      </c>
      <c r="V81" s="470">
        <f t="shared" ca="1" si="48"/>
        <v>4</v>
      </c>
      <c r="W81" s="470">
        <f t="shared" ca="1" si="48"/>
        <v>4</v>
      </c>
      <c r="X81" s="470">
        <f t="shared" ca="1" si="48"/>
        <v>4</v>
      </c>
      <c r="Y81" s="470">
        <f t="shared" ca="1" si="48"/>
        <v>3</v>
      </c>
      <c r="Z81" s="470">
        <f t="shared" ca="1" si="48"/>
        <v>3</v>
      </c>
      <c r="AA81" s="470">
        <f t="shared" si="48"/>
        <v>4</v>
      </c>
      <c r="AB81" s="470">
        <f t="shared" si="48"/>
        <v>4</v>
      </c>
      <c r="AC81" s="417"/>
      <c r="AD81" s="417"/>
      <c r="AE81" s="417"/>
    </row>
    <row r="82" spans="1:31">
      <c r="A82" s="417"/>
      <c r="B82" s="471" t="s">
        <v>1814</v>
      </c>
      <c r="C82" s="433">
        <f ca="1">SUM(H82:S82)</f>
        <v>1</v>
      </c>
      <c r="D82" s="433">
        <f ca="1">SUM(T82:AB82)</f>
        <v>1</v>
      </c>
      <c r="E82" s="417"/>
      <c r="F82" s="433">
        <f ca="1">SUM(Q82:AB82)</f>
        <v>2</v>
      </c>
      <c r="G82" s="417"/>
      <c r="H82" s="472">
        <f>COUNTIFS('Combined Employee Worksheet'!$I:$I,"&gt;="&amp;'Adj. Employee Retention'!H$5,'Combined Employee Worksheet'!$I:$I,"&lt;="&amp;'Adj. Employee Retention'!H$1,'Combined Employee Worksheet'!$D:$D,'Adj. Employee Retention'!$B78)-COUNTIFS('Combined Employee Worksheet'!$I:$I,"&gt;="&amp;'Adj. Employee Retention'!H$5,'Combined Employee Worksheet'!$I:$I,"&lt;="&amp;'Adj. Employee Retention'!H$1,'Combined Employee Worksheet'!$D:$D,'Adj. Employee Retention'!$B78,'Combined Employee Worksheet'!$K:$K,"&lt;="&amp;$C$138,'Combined Employee Worksheet'!$J:$J,"&lt;&gt;")</f>
        <v>0</v>
      </c>
      <c r="I82" s="472">
        <f>COUNTIFS('Combined Employee Worksheet'!$I:$I,"&gt;="&amp;'Adj. Employee Retention'!I$5,'Combined Employee Worksheet'!$I:$I,"&lt;="&amp;'Adj. Employee Retention'!I$1,'Combined Employee Worksheet'!$D:$D,'Adj. Employee Retention'!$B78)-COUNTIFS('Combined Employee Worksheet'!$I:$I,"&gt;="&amp;'Adj. Employee Retention'!I$5,'Combined Employee Worksheet'!$I:$I,"&lt;="&amp;'Adj. Employee Retention'!I$1,'Combined Employee Worksheet'!$D:$D,'Adj. Employee Retention'!$B78,'Combined Employee Worksheet'!$K:$K,"&lt;="&amp;$C$138,'Combined Employee Worksheet'!$J:$J,"&lt;&gt;")</f>
        <v>0</v>
      </c>
      <c r="J82" s="472">
        <f>COUNTIFS('Combined Employee Worksheet'!$I:$I,"&gt;="&amp;'Adj. Employee Retention'!J$5,'Combined Employee Worksheet'!$I:$I,"&lt;="&amp;'Adj. Employee Retention'!J$1,'Combined Employee Worksheet'!$D:$D,'Adj. Employee Retention'!$B78)-COUNTIFS('Combined Employee Worksheet'!$I:$I,"&gt;="&amp;'Adj. Employee Retention'!J$5,'Combined Employee Worksheet'!$I:$I,"&lt;="&amp;'Adj. Employee Retention'!J$1,'Combined Employee Worksheet'!$D:$D,'Adj. Employee Retention'!$B78,'Combined Employee Worksheet'!$K:$K,"&lt;="&amp;$C$138,'Combined Employee Worksheet'!$J:$J,"&lt;&gt;")</f>
        <v>0</v>
      </c>
      <c r="K82" s="472">
        <f>COUNTIFS('Combined Employee Worksheet'!$I:$I,"&gt;="&amp;'Adj. Employee Retention'!K$5,'Combined Employee Worksheet'!$I:$I,"&lt;="&amp;'Adj. Employee Retention'!K$1,'Combined Employee Worksheet'!$D:$D,'Adj. Employee Retention'!$B78)-COUNTIFS('Combined Employee Worksheet'!$I:$I,"&gt;="&amp;'Adj. Employee Retention'!K$5,'Combined Employee Worksheet'!$I:$I,"&lt;="&amp;'Adj. Employee Retention'!K$1,'Combined Employee Worksheet'!$D:$D,'Adj. Employee Retention'!$B78,'Combined Employee Worksheet'!$K:$K,"&lt;="&amp;$C$138,'Combined Employee Worksheet'!$J:$J,"&lt;&gt;")</f>
        <v>0</v>
      </c>
      <c r="L82" s="472">
        <f>COUNTIFS('Combined Employee Worksheet'!$I:$I,"&gt;="&amp;'Adj. Employee Retention'!L$5,'Combined Employee Worksheet'!$I:$I,"&lt;="&amp;'Adj. Employee Retention'!L$1,'Combined Employee Worksheet'!$D:$D,'Adj. Employee Retention'!$B78)-COUNTIFS('Combined Employee Worksheet'!$I:$I,"&gt;="&amp;'Adj. Employee Retention'!L$5,'Combined Employee Worksheet'!$I:$I,"&lt;="&amp;'Adj. Employee Retention'!L$1,'Combined Employee Worksheet'!$D:$D,'Adj. Employee Retention'!$B78,'Combined Employee Worksheet'!$K:$K,"&lt;="&amp;$C$138,'Combined Employee Worksheet'!$J:$J,"&lt;&gt;")</f>
        <v>0</v>
      </c>
      <c r="M82" s="472">
        <f>COUNTIFS('Combined Employee Worksheet'!$I:$I,"&gt;="&amp;'Adj. Employee Retention'!M$5,'Combined Employee Worksheet'!$I:$I,"&lt;="&amp;'Adj. Employee Retention'!M$1,'Combined Employee Worksheet'!$D:$D,'Adj. Employee Retention'!$B78)-COUNTIFS('Combined Employee Worksheet'!$I:$I,"&gt;="&amp;'Adj. Employee Retention'!M$5,'Combined Employee Worksheet'!$I:$I,"&lt;="&amp;'Adj. Employee Retention'!M$1,'Combined Employee Worksheet'!$D:$D,'Adj. Employee Retention'!$B78,'Combined Employee Worksheet'!$K:$K,"&lt;="&amp;$C$138,'Combined Employee Worksheet'!$J:$J,"&lt;&gt;")</f>
        <v>0</v>
      </c>
      <c r="N82" s="472">
        <f>COUNTIFS('Combined Employee Worksheet'!$I:$I,"&gt;="&amp;'Adj. Employee Retention'!N$5,'Combined Employee Worksheet'!$I:$I,"&lt;="&amp;'Adj. Employee Retention'!N$1,'Combined Employee Worksheet'!$D:$D,'Adj. Employee Retention'!$B78)-COUNTIFS('Combined Employee Worksheet'!$I:$I,"&gt;="&amp;'Adj. Employee Retention'!N$5,'Combined Employee Worksheet'!$I:$I,"&lt;="&amp;'Adj. Employee Retention'!N$1,'Combined Employee Worksheet'!$D:$D,'Adj. Employee Retention'!$B78,'Combined Employee Worksheet'!$K:$K,"&lt;="&amp;$C$138,'Combined Employee Worksheet'!$J:$J,"&lt;&gt;")</f>
        <v>0</v>
      </c>
      <c r="O82" s="472">
        <f>COUNTIFS('Combined Employee Worksheet'!$I:$I,"&gt;="&amp;'Adj. Employee Retention'!O$5,'Combined Employee Worksheet'!$I:$I,"&lt;="&amp;'Adj. Employee Retention'!O$1,'Combined Employee Worksheet'!$D:$D,'Adj. Employee Retention'!$B78)-COUNTIFS('Combined Employee Worksheet'!$I:$I,"&gt;="&amp;'Adj. Employee Retention'!O$5,'Combined Employee Worksheet'!$I:$I,"&lt;="&amp;'Adj. Employee Retention'!O$1,'Combined Employee Worksheet'!$D:$D,'Adj. Employee Retention'!$B78,'Combined Employee Worksheet'!$K:$K,"&lt;="&amp;$C$138,'Combined Employee Worksheet'!$J:$J,"&lt;&gt;")</f>
        <v>0</v>
      </c>
      <c r="P82" s="472">
        <f>COUNTIFS('Combined Employee Worksheet'!$I:$I,"&gt;="&amp;'Adj. Employee Retention'!P$5,'Combined Employee Worksheet'!$I:$I,"&lt;="&amp;'Adj. Employee Retention'!P$1,'Combined Employee Worksheet'!$D:$D,'Adj. Employee Retention'!$B78)-COUNTIFS('Combined Employee Worksheet'!$I:$I,"&gt;="&amp;'Adj. Employee Retention'!P$5,'Combined Employee Worksheet'!$I:$I,"&lt;="&amp;'Adj. Employee Retention'!P$1,'Combined Employee Worksheet'!$D:$D,'Adj. Employee Retention'!$B78,'Combined Employee Worksheet'!$K:$K,"&lt;="&amp;$C$138,'Combined Employee Worksheet'!$J:$J,"&lt;&gt;")</f>
        <v>0</v>
      </c>
      <c r="Q82" s="472">
        <f>COUNTIFS('Combined Employee Worksheet'!$I:$I,"&gt;="&amp;'Adj. Employee Retention'!Q$5,'Combined Employee Worksheet'!$I:$I,"&lt;="&amp;'Adj. Employee Retention'!Q$1,'Combined Employee Worksheet'!$D:$D,'Adj. Employee Retention'!$B78)-COUNTIFS('Combined Employee Worksheet'!$I:$I,"&gt;="&amp;'Adj. Employee Retention'!Q$5,'Combined Employee Worksheet'!$I:$I,"&lt;="&amp;'Adj. Employee Retention'!Q$1,'Combined Employee Worksheet'!$D:$D,'Adj. Employee Retention'!$B78,'Combined Employee Worksheet'!$K:$K,"&lt;="&amp;$C$138,'Combined Employee Worksheet'!$J:$J,"&lt;&gt;")</f>
        <v>0</v>
      </c>
      <c r="R82" s="472">
        <f>COUNTIFS('Combined Employee Worksheet'!$I:$I,"&gt;="&amp;'Adj. Employee Retention'!R$5,'Combined Employee Worksheet'!$I:$I,"&lt;="&amp;'Adj. Employee Retention'!R$1,'Combined Employee Worksheet'!$D:$D,'Adj. Employee Retention'!$B78)-COUNTIFS('Combined Employee Worksheet'!$I:$I,"&gt;="&amp;'Adj. Employee Retention'!R$5,'Combined Employee Worksheet'!$I:$I,"&lt;="&amp;'Adj. Employee Retention'!R$1,'Combined Employee Worksheet'!$D:$D,'Adj. Employee Retention'!$B78,'Combined Employee Worksheet'!$K:$K,"&lt;="&amp;$C$138,'Combined Employee Worksheet'!$J:$J,"&lt;&gt;")</f>
        <v>0</v>
      </c>
      <c r="S82" s="472">
        <f ca="1">COUNTIFS('Combined Employee Worksheet'!$I:$I,"&gt;="&amp;'Adj. Employee Retention'!S$5,'Combined Employee Worksheet'!$I:$I,"&lt;="&amp;'Adj. Employee Retention'!S$1,'Combined Employee Worksheet'!$D:$D,'Adj. Employee Retention'!$B78)-COUNTIFS('Combined Employee Worksheet'!$I:$I,"&gt;="&amp;'Adj. Employee Retention'!S$5,'Combined Employee Worksheet'!$I:$I,"&lt;="&amp;'Adj. Employee Retention'!S$1,'Combined Employee Worksheet'!$D:$D,'Adj. Employee Retention'!$B78,'Combined Employee Worksheet'!$K:$K,"&lt;="&amp;$C$138,'Combined Employee Worksheet'!$J:$J,"&lt;&gt;")</f>
        <v>1</v>
      </c>
      <c r="T82" s="472">
        <f>COUNTIFS('Combined Employee Worksheet'!$I:$I,"&gt;="&amp;'Adj. Employee Retention'!T$5,'Combined Employee Worksheet'!$I:$I,"&lt;="&amp;'Adj. Employee Retention'!T$1,'Combined Employee Worksheet'!$D:$D,'Adj. Employee Retention'!$B78)-COUNTIFS('Combined Employee Worksheet'!$I:$I,"&gt;="&amp;'Adj. Employee Retention'!T$5,'Combined Employee Worksheet'!$I:$I,"&lt;="&amp;'Adj. Employee Retention'!T$1,'Combined Employee Worksheet'!$D:$D,'Adj. Employee Retention'!$B78,'Combined Employee Worksheet'!$K:$K,"&lt;="&amp;$C$138,'Combined Employee Worksheet'!$J:$J,"&lt;&gt;")</f>
        <v>0</v>
      </c>
      <c r="U82" s="472">
        <f>COUNTIFS('Combined Employee Worksheet'!$I:$I,"&gt;="&amp;'Adj. Employee Retention'!U$5,'Combined Employee Worksheet'!$I:$I,"&lt;="&amp;'Adj. Employee Retention'!U$1,'Combined Employee Worksheet'!$D:$D,'Adj. Employee Retention'!$B78)-COUNTIFS('Combined Employee Worksheet'!$I:$I,"&gt;="&amp;'Adj. Employee Retention'!U$5,'Combined Employee Worksheet'!$I:$I,"&lt;="&amp;'Adj. Employee Retention'!U$1,'Combined Employee Worksheet'!$D:$D,'Adj. Employee Retention'!$B78,'Combined Employee Worksheet'!$K:$K,"&lt;="&amp;$C$138,'Combined Employee Worksheet'!$J:$J,"&lt;&gt;")</f>
        <v>0</v>
      </c>
      <c r="V82" s="472">
        <f>COUNTIFS('Combined Employee Worksheet'!$I:$I,"&gt;="&amp;'Adj. Employee Retention'!V$5,'Combined Employee Worksheet'!$I:$I,"&lt;="&amp;'Adj. Employee Retention'!V$1,'Combined Employee Worksheet'!$D:$D,'Adj. Employee Retention'!$B78)-COUNTIFS('Combined Employee Worksheet'!$I:$I,"&gt;="&amp;'Adj. Employee Retention'!V$5,'Combined Employee Worksheet'!$I:$I,"&lt;="&amp;'Adj. Employee Retention'!V$1,'Combined Employee Worksheet'!$D:$D,'Adj. Employee Retention'!$B78,'Combined Employee Worksheet'!$K:$K,"&lt;="&amp;$C$138,'Combined Employee Worksheet'!$J:$J,"&lt;&gt;")</f>
        <v>0</v>
      </c>
      <c r="W82" s="472">
        <f>COUNTIFS('Combined Employee Worksheet'!$I:$I,"&gt;="&amp;'Adj. Employee Retention'!W$5,'Combined Employee Worksheet'!$I:$I,"&lt;="&amp;'Adj. Employee Retention'!W$1,'Combined Employee Worksheet'!$D:$D,'Adj. Employee Retention'!$B78)-COUNTIFS('Combined Employee Worksheet'!$I:$I,"&gt;="&amp;'Adj. Employee Retention'!W$5,'Combined Employee Worksheet'!$I:$I,"&lt;="&amp;'Adj. Employee Retention'!W$1,'Combined Employee Worksheet'!$D:$D,'Adj. Employee Retention'!$B78,'Combined Employee Worksheet'!$K:$K,"&lt;="&amp;$C$138,'Combined Employee Worksheet'!$J:$J,"&lt;&gt;")</f>
        <v>0</v>
      </c>
      <c r="X82" s="472">
        <f>COUNTIFS('Combined Employee Worksheet'!$I:$I,"&gt;="&amp;'Adj. Employee Retention'!X$5,'Combined Employee Worksheet'!$I:$I,"&lt;="&amp;'Adj. Employee Retention'!X$1,'Combined Employee Worksheet'!$D:$D,'Adj. Employee Retention'!$B78)-COUNTIFS('Combined Employee Worksheet'!$I:$I,"&gt;="&amp;'Adj. Employee Retention'!X$5,'Combined Employee Worksheet'!$I:$I,"&lt;="&amp;'Adj. Employee Retention'!X$1,'Combined Employee Worksheet'!$D:$D,'Adj. Employee Retention'!$B78,'Combined Employee Worksheet'!$K:$K,"&lt;="&amp;$C$138,'Combined Employee Worksheet'!$J:$J,"&lt;&gt;")</f>
        <v>0</v>
      </c>
      <c r="Y82" s="472">
        <f>COUNTIFS('Combined Employee Worksheet'!$I:$I,"&gt;="&amp;'Adj. Employee Retention'!Y$5,'Combined Employee Worksheet'!$I:$I,"&lt;="&amp;'Adj. Employee Retention'!Y$1,'Combined Employee Worksheet'!$D:$D,'Adj. Employee Retention'!$B78)-COUNTIFS('Combined Employee Worksheet'!$I:$I,"&gt;="&amp;'Adj. Employee Retention'!Y$5,'Combined Employee Worksheet'!$I:$I,"&lt;="&amp;'Adj. Employee Retention'!Y$1,'Combined Employee Worksheet'!$D:$D,'Adj. Employee Retention'!$B78,'Combined Employee Worksheet'!$K:$K,"&lt;="&amp;$C$138,'Combined Employee Worksheet'!$J:$J,"&lt;&gt;")</f>
        <v>0</v>
      </c>
      <c r="Z82" s="472">
        <f ca="1">COUNTIFS('Combined Employee Worksheet'!$I:$I,"&gt;="&amp;'Adj. Employee Retention'!Z$5,'Combined Employee Worksheet'!$I:$I,"&lt;="&amp;'Adj. Employee Retention'!Z$1,'Combined Employee Worksheet'!$D:$D,'Adj. Employee Retention'!$B78)-COUNTIFS('Combined Employee Worksheet'!$I:$I,"&gt;="&amp;'Adj. Employee Retention'!Z$5,'Combined Employee Worksheet'!$I:$I,"&lt;="&amp;'Adj. Employee Retention'!Z$1,'Combined Employee Worksheet'!$D:$D,'Adj. Employee Retention'!$B78,'Combined Employee Worksheet'!$K:$K,"&lt;="&amp;$C$138,'Combined Employee Worksheet'!$J:$J,"&lt;&gt;")</f>
        <v>1</v>
      </c>
      <c r="AA82" s="472">
        <f>COUNTIFS('Combined Employee Worksheet'!$I:$I,"&gt;="&amp;'Adj. Employee Retention'!AA$5,'Combined Employee Worksheet'!$I:$I,"&lt;="&amp;'Adj. Employee Retention'!AA$1,'Combined Employee Worksheet'!$D:$D,'Adj. Employee Retention'!$B78)-COUNTIFS('Combined Employee Worksheet'!$I:$I,"&gt;="&amp;'Adj. Employee Retention'!AA$5,'Combined Employee Worksheet'!$I:$I,"&lt;="&amp;'Adj. Employee Retention'!AA$1,'Combined Employee Worksheet'!$D:$D,'Adj. Employee Retention'!$B78,'Combined Employee Worksheet'!$K:$K,"&lt;="&amp;$C$138,'Combined Employee Worksheet'!$J:$J,"&lt;&gt;")</f>
        <v>0</v>
      </c>
      <c r="AB82" s="472">
        <f>COUNTIFS('Combined Employee Worksheet'!$I:$I,"&gt;="&amp;'Adj. Employee Retention'!AB$5,'Combined Employee Worksheet'!$I:$I,"&lt;="&amp;'Adj. Employee Retention'!AB$1,'Combined Employee Worksheet'!$D:$D,'Adj. Employee Retention'!$B78)-COUNTIFS('Combined Employee Worksheet'!$I:$I,"&gt;="&amp;'Adj. Employee Retention'!AB$5,'Combined Employee Worksheet'!$I:$I,"&lt;="&amp;'Adj. Employee Retention'!AB$1,'Combined Employee Worksheet'!$D:$D,'Adj. Employee Retention'!$B78,'Combined Employee Worksheet'!$K:$K,"&lt;="&amp;$C$138,'Combined Employee Worksheet'!$J:$J,"&lt;&gt;")</f>
        <v>0</v>
      </c>
      <c r="AC82" s="417"/>
      <c r="AD82" s="417"/>
      <c r="AE82" s="417"/>
    </row>
    <row r="83" spans="1:31" ht="12" customHeight="1">
      <c r="A83" s="417"/>
      <c r="B83" s="471" t="s">
        <v>1815</v>
      </c>
      <c r="C83" s="433">
        <f ca="1">SUM(H83:S83)</f>
        <v>-1</v>
      </c>
      <c r="D83" s="433">
        <f ca="1">SUM(T83:AB83)</f>
        <v>-1</v>
      </c>
      <c r="E83" s="417"/>
      <c r="F83" s="433">
        <f ca="1">SUM(Q83:AB83)</f>
        <v>-1</v>
      </c>
      <c r="G83" s="417"/>
      <c r="H83" s="472">
        <f ca="1">-COUNTIFS('Combined Employee Worksheet'!$J:$J,"&gt;="&amp;'Adj. Employee Retention'!H$5,'Combined Employee Worksheet'!$J:$J,"&lt;="&amp;'Adj. Employee Retention'!H$1,'Combined Employee Worksheet'!$D:$D,'Adj. Employee Retention'!$B78,'Combined Employee Worksheet'!$K:$K,"&gt;"&amp;$C$138)</f>
        <v>-1</v>
      </c>
      <c r="I83" s="472">
        <f>-COUNTIFS('Combined Employee Worksheet'!$J:$J,"&gt;="&amp;'Adj. Employee Retention'!I$5,'Combined Employee Worksheet'!$J:$J,"&lt;="&amp;'Adj. Employee Retention'!I$1,'Combined Employee Worksheet'!$D:$D,'Adj. Employee Retention'!$B78,'Combined Employee Worksheet'!$K:$K,"&gt;"&amp;$C$138)</f>
        <v>0</v>
      </c>
      <c r="J83" s="472">
        <f>-COUNTIFS('Combined Employee Worksheet'!$J:$J,"&gt;="&amp;'Adj. Employee Retention'!J$5,'Combined Employee Worksheet'!$J:$J,"&lt;="&amp;'Adj. Employee Retention'!J$1,'Combined Employee Worksheet'!$D:$D,'Adj. Employee Retention'!$B78,'Combined Employee Worksheet'!$K:$K,"&gt;"&amp;$C$138)</f>
        <v>0</v>
      </c>
      <c r="K83" s="472">
        <f>-COUNTIFS('Combined Employee Worksheet'!$J:$J,"&gt;="&amp;'Adj. Employee Retention'!K$5,'Combined Employee Worksheet'!$J:$J,"&lt;="&amp;'Adj. Employee Retention'!K$1,'Combined Employee Worksheet'!$D:$D,'Adj. Employee Retention'!$B78,'Combined Employee Worksheet'!$K:$K,"&gt;"&amp;$C$138)</f>
        <v>0</v>
      </c>
      <c r="L83" s="472">
        <f>-COUNTIFS('Combined Employee Worksheet'!$J:$J,"&gt;="&amp;'Adj. Employee Retention'!L$5,'Combined Employee Worksheet'!$J:$J,"&lt;="&amp;'Adj. Employee Retention'!L$1,'Combined Employee Worksheet'!$D:$D,'Adj. Employee Retention'!$B78,'Combined Employee Worksheet'!$K:$K,"&gt;"&amp;$C$138)</f>
        <v>0</v>
      </c>
      <c r="M83" s="472">
        <f>-COUNTIFS('Combined Employee Worksheet'!$J:$J,"&gt;="&amp;'Adj. Employee Retention'!M$5,'Combined Employee Worksheet'!$J:$J,"&lt;="&amp;'Adj. Employee Retention'!M$1,'Combined Employee Worksheet'!$D:$D,'Adj. Employee Retention'!$B78,'Combined Employee Worksheet'!$K:$K,"&gt;"&amp;$C$138)</f>
        <v>0</v>
      </c>
      <c r="N83" s="472">
        <f>-COUNTIFS('Combined Employee Worksheet'!$J:$J,"&gt;="&amp;'Adj. Employee Retention'!N$5,'Combined Employee Worksheet'!$J:$J,"&lt;="&amp;'Adj. Employee Retention'!N$1,'Combined Employee Worksheet'!$D:$D,'Adj. Employee Retention'!$B78,'Combined Employee Worksheet'!$K:$K,"&gt;"&amp;$C$138)</f>
        <v>0</v>
      </c>
      <c r="O83" s="472">
        <f>-COUNTIFS('Combined Employee Worksheet'!$J:$J,"&gt;="&amp;'Adj. Employee Retention'!O$5,'Combined Employee Worksheet'!$J:$J,"&lt;="&amp;'Adj. Employee Retention'!O$1,'Combined Employee Worksheet'!$D:$D,'Adj. Employee Retention'!$B78,'Combined Employee Worksheet'!$K:$K,"&gt;"&amp;$C$138)</f>
        <v>0</v>
      </c>
      <c r="P83" s="472">
        <f>-COUNTIFS('Combined Employee Worksheet'!$J:$J,"&gt;="&amp;'Adj. Employee Retention'!P$5,'Combined Employee Worksheet'!$J:$J,"&lt;="&amp;'Adj. Employee Retention'!P$1,'Combined Employee Worksheet'!$D:$D,'Adj. Employee Retention'!$B78,'Combined Employee Worksheet'!$K:$K,"&gt;"&amp;$C$138)</f>
        <v>0</v>
      </c>
      <c r="Q83" s="472">
        <f>-COUNTIFS('Combined Employee Worksheet'!$J:$J,"&gt;="&amp;'Adj. Employee Retention'!Q$5,'Combined Employee Worksheet'!$J:$J,"&lt;="&amp;'Adj. Employee Retention'!Q$1,'Combined Employee Worksheet'!$D:$D,'Adj. Employee Retention'!$B78,'Combined Employee Worksheet'!$K:$K,"&gt;"&amp;$C$138)</f>
        <v>0</v>
      </c>
      <c r="R83" s="472">
        <f>-COUNTIFS('Combined Employee Worksheet'!$J:$J,"&gt;="&amp;'Adj. Employee Retention'!R$5,'Combined Employee Worksheet'!$J:$J,"&lt;="&amp;'Adj. Employee Retention'!R$1,'Combined Employee Worksheet'!$D:$D,'Adj. Employee Retention'!$B78,'Combined Employee Worksheet'!$K:$K,"&gt;"&amp;$C$138)</f>
        <v>0</v>
      </c>
      <c r="S83" s="472">
        <f ca="1">-COUNTIFS('Combined Employee Worksheet'!$J:$J,"&gt;="&amp;'Adj. Employee Retention'!S$5,'Combined Employee Worksheet'!$J:$J,"&lt;="&amp;'Adj. Employee Retention'!S$1,'Combined Employee Worksheet'!$D:$D,'Adj. Employee Retention'!$B78,'Combined Employee Worksheet'!$K:$K,"&gt;"&amp;$C$138)</f>
        <v>0</v>
      </c>
      <c r="T83" s="472">
        <f>-COUNTIFS('Combined Employee Worksheet'!$J:$J,"&gt;="&amp;'Adj. Employee Retention'!T$5,'Combined Employee Worksheet'!$J:$J,"&lt;="&amp;'Adj. Employee Retention'!T$1,'Combined Employee Worksheet'!$D:$D,'Adj. Employee Retention'!$B78,'Combined Employee Worksheet'!$K:$K,"&gt;"&amp;$C$138)</f>
        <v>0</v>
      </c>
      <c r="U83" s="472">
        <f>-COUNTIFS('Combined Employee Worksheet'!$J:$J,"&gt;="&amp;'Adj. Employee Retention'!U$5,'Combined Employee Worksheet'!$J:$J,"&lt;="&amp;'Adj. Employee Retention'!U$1,'Combined Employee Worksheet'!$D:$D,'Adj. Employee Retention'!$B78,'Combined Employee Worksheet'!$K:$K,"&gt;"&amp;$C$138)</f>
        <v>0</v>
      </c>
      <c r="V83" s="472">
        <f>-COUNTIFS('Combined Employee Worksheet'!$J:$J,"&gt;="&amp;'Adj. Employee Retention'!V$5,'Combined Employee Worksheet'!$J:$J,"&lt;="&amp;'Adj. Employee Retention'!V$1,'Combined Employee Worksheet'!$D:$D,'Adj. Employee Retention'!$B78,'Combined Employee Worksheet'!$K:$K,"&gt;"&amp;$C$138)</f>
        <v>0</v>
      </c>
      <c r="W83" s="472">
        <f>-COUNTIFS('Combined Employee Worksheet'!$J:$J,"&gt;="&amp;'Adj. Employee Retention'!W$5,'Combined Employee Worksheet'!$J:$J,"&lt;="&amp;'Adj. Employee Retention'!W$1,'Combined Employee Worksheet'!$D:$D,'Adj. Employee Retention'!$B78,'Combined Employee Worksheet'!$K:$K,"&gt;"&amp;$C$138)</f>
        <v>0</v>
      </c>
      <c r="X83" s="472">
        <f ca="1">-COUNTIFS('Combined Employee Worksheet'!$J:$J,"&gt;="&amp;'Adj. Employee Retention'!X$5,'Combined Employee Worksheet'!$J:$J,"&lt;="&amp;'Adj. Employee Retention'!X$1,'Combined Employee Worksheet'!$D:$D,'Adj. Employee Retention'!$B78,'Combined Employee Worksheet'!$K:$K,"&gt;"&amp;$C$138)</f>
        <v>-1</v>
      </c>
      <c r="Y83" s="472">
        <f>-COUNTIFS('Combined Employee Worksheet'!$J:$J,"&gt;="&amp;'Adj. Employee Retention'!Y$5,'Combined Employee Worksheet'!$J:$J,"&lt;="&amp;'Adj. Employee Retention'!Y$1,'Combined Employee Worksheet'!$D:$D,'Adj. Employee Retention'!$B78,'Combined Employee Worksheet'!$K:$K,"&gt;"&amp;$C$138)</f>
        <v>0</v>
      </c>
      <c r="Z83" s="472">
        <f ca="1">-COUNTIFS('Combined Employee Worksheet'!$J:$J,"&gt;="&amp;'Adj. Employee Retention'!Z$5,'Combined Employee Worksheet'!$J:$J,"&lt;="&amp;'Adj. Employee Retention'!Z$1,'Combined Employee Worksheet'!$D:$D,'Adj. Employee Retention'!$B78,'Combined Employee Worksheet'!$K:$K,"&gt;"&amp;$C$138)</f>
        <v>0</v>
      </c>
      <c r="AA83" s="472">
        <f>-COUNTIFS('Combined Employee Worksheet'!$J:$J,"&gt;="&amp;'Adj. Employee Retention'!AA$5,'Combined Employee Worksheet'!$J:$J,"&lt;="&amp;'Adj. Employee Retention'!AA$1,'Combined Employee Worksheet'!$D:$D,'Adj. Employee Retention'!$B78,'Combined Employee Worksheet'!$K:$K,"&gt;"&amp;$C$138)</f>
        <v>0</v>
      </c>
      <c r="AB83" s="472">
        <f>-COUNTIFS('Combined Employee Worksheet'!$J:$J,"&gt;="&amp;'Adj. Employee Retention'!AB$5,'Combined Employee Worksheet'!$J:$J,"&lt;="&amp;'Adj. Employee Retention'!AB$1,'Combined Employee Worksheet'!$D:$D,'Adj. Employee Retention'!$B78,'Combined Employee Worksheet'!$K:$K,"&gt;"&amp;$C$138)</f>
        <v>0</v>
      </c>
      <c r="AC83" s="417"/>
      <c r="AD83" s="417"/>
      <c r="AE83" s="417"/>
    </row>
    <row r="84" spans="1:31" ht="12" customHeight="1">
      <c r="A84" s="417"/>
      <c r="B84" s="474" t="s">
        <v>1315</v>
      </c>
      <c r="C84" s="475">
        <f ca="1">+D81</f>
        <v>4</v>
      </c>
      <c r="D84" s="476">
        <f>+$AB84</f>
        <v>4</v>
      </c>
      <c r="E84" s="417"/>
      <c r="F84" s="477">
        <f>+$AB84</f>
        <v>4</v>
      </c>
      <c r="G84" s="417"/>
      <c r="H84" s="478">
        <f t="shared" ref="H84:AA84" ca="1" si="49">+I81</f>
        <v>3</v>
      </c>
      <c r="I84" s="475">
        <f t="shared" ca="1" si="49"/>
        <v>3</v>
      </c>
      <c r="J84" s="475">
        <f t="shared" ca="1" si="49"/>
        <v>3</v>
      </c>
      <c r="K84" s="475">
        <f t="shared" ca="1" si="49"/>
        <v>3</v>
      </c>
      <c r="L84" s="475">
        <f t="shared" ca="1" si="49"/>
        <v>3</v>
      </c>
      <c r="M84" s="475">
        <f t="shared" ca="1" si="49"/>
        <v>3</v>
      </c>
      <c r="N84" s="475">
        <f t="shared" ca="1" si="49"/>
        <v>3</v>
      </c>
      <c r="O84" s="475">
        <f t="shared" ca="1" si="49"/>
        <v>3</v>
      </c>
      <c r="P84" s="475">
        <f t="shared" ca="1" si="49"/>
        <v>3</v>
      </c>
      <c r="Q84" s="511">
        <f t="shared" ca="1" si="49"/>
        <v>3</v>
      </c>
      <c r="R84" s="512">
        <f t="shared" ca="1" si="49"/>
        <v>3</v>
      </c>
      <c r="S84" s="512">
        <f t="shared" ca="1" si="49"/>
        <v>4</v>
      </c>
      <c r="T84" s="512">
        <f t="shared" ca="1" si="49"/>
        <v>4</v>
      </c>
      <c r="U84" s="512">
        <f t="shared" ca="1" si="49"/>
        <v>4</v>
      </c>
      <c r="V84" s="512">
        <f t="shared" ca="1" si="49"/>
        <v>4</v>
      </c>
      <c r="W84" s="512">
        <f t="shared" ca="1" si="49"/>
        <v>4</v>
      </c>
      <c r="X84" s="512">
        <f t="shared" ca="1" si="49"/>
        <v>3</v>
      </c>
      <c r="Y84" s="512">
        <f t="shared" ca="1" si="49"/>
        <v>3</v>
      </c>
      <c r="Z84" s="512">
        <f t="shared" si="49"/>
        <v>4</v>
      </c>
      <c r="AA84" s="512">
        <f t="shared" si="49"/>
        <v>4</v>
      </c>
      <c r="AB84" s="513">
        <f>COUNTIFS('Combined Employee Worksheet'!$H:$H,"Active",'Combined Employee Worksheet'!$D:$D,'Adj. Employee Retention'!B78)</f>
        <v>4</v>
      </c>
      <c r="AC84" s="417"/>
      <c r="AD84" s="417"/>
      <c r="AE84" s="417"/>
    </row>
    <row r="85" spans="1:31" ht="3.95" customHeight="1">
      <c r="A85" s="417"/>
      <c r="B85" s="480"/>
      <c r="C85" s="481"/>
      <c r="D85" s="481"/>
      <c r="E85" s="417"/>
      <c r="F85" s="481"/>
      <c r="G85" s="417"/>
      <c r="H85" s="481"/>
      <c r="I85" s="481"/>
      <c r="J85" s="481"/>
      <c r="K85" s="481"/>
      <c r="L85" s="481"/>
      <c r="M85" s="481"/>
      <c r="N85" s="481"/>
      <c r="O85" s="481"/>
      <c r="P85" s="481"/>
      <c r="Q85" s="514"/>
      <c r="R85" s="515"/>
      <c r="S85" s="515"/>
      <c r="T85" s="515"/>
      <c r="U85" s="515"/>
      <c r="V85" s="515"/>
      <c r="W85" s="515"/>
      <c r="X85" s="515"/>
      <c r="Y85" s="515"/>
      <c r="Z85" s="515"/>
      <c r="AA85" s="515"/>
      <c r="AB85" s="516"/>
      <c r="AC85" s="417"/>
      <c r="AD85" s="417"/>
      <c r="AE85" s="417"/>
    </row>
    <row r="86" spans="1:31" ht="12" customHeight="1">
      <c r="A86" s="417"/>
      <c r="B86" s="487" t="s">
        <v>1817</v>
      </c>
      <c r="C86" s="502">
        <f ca="1">AVERAGE(C81,C84)</f>
        <v>4</v>
      </c>
      <c r="D86" s="503">
        <f ca="1">AVERAGE(D81,D84)</f>
        <v>4</v>
      </c>
      <c r="E86" s="417"/>
      <c r="F86" s="504">
        <f ca="1">AVERAGE(F81,F84)</f>
        <v>3.5</v>
      </c>
      <c r="G86" s="417"/>
      <c r="H86" s="505">
        <f t="shared" ref="H86:AB86" ca="1" si="50">AVERAGE(H81,H84)</f>
        <v>3.5</v>
      </c>
      <c r="I86" s="502">
        <f t="shared" ca="1" si="50"/>
        <v>3</v>
      </c>
      <c r="J86" s="502">
        <f t="shared" ca="1" si="50"/>
        <v>3</v>
      </c>
      <c r="K86" s="502">
        <f t="shared" ca="1" si="50"/>
        <v>3</v>
      </c>
      <c r="L86" s="502">
        <f t="shared" ca="1" si="50"/>
        <v>3</v>
      </c>
      <c r="M86" s="502">
        <f t="shared" ca="1" si="50"/>
        <v>3</v>
      </c>
      <c r="N86" s="502">
        <f t="shared" ca="1" si="50"/>
        <v>3</v>
      </c>
      <c r="O86" s="502">
        <f t="shared" ca="1" si="50"/>
        <v>3</v>
      </c>
      <c r="P86" s="502">
        <f t="shared" ca="1" si="50"/>
        <v>3</v>
      </c>
      <c r="Q86" s="505">
        <f t="shared" ca="1" si="50"/>
        <v>3</v>
      </c>
      <c r="R86" s="502">
        <f t="shared" ca="1" si="50"/>
        <v>3</v>
      </c>
      <c r="S86" s="502">
        <f t="shared" ca="1" si="50"/>
        <v>3.5</v>
      </c>
      <c r="T86" s="502">
        <f t="shared" ca="1" si="50"/>
        <v>4</v>
      </c>
      <c r="U86" s="502">
        <f t="shared" ca="1" si="50"/>
        <v>4</v>
      </c>
      <c r="V86" s="502">
        <f t="shared" ca="1" si="50"/>
        <v>4</v>
      </c>
      <c r="W86" s="502">
        <f t="shared" ca="1" si="50"/>
        <v>4</v>
      </c>
      <c r="X86" s="502">
        <f t="shared" ca="1" si="50"/>
        <v>3.5</v>
      </c>
      <c r="Y86" s="502">
        <f t="shared" ca="1" si="50"/>
        <v>3</v>
      </c>
      <c r="Z86" s="502">
        <f t="shared" ca="1" si="50"/>
        <v>3.5</v>
      </c>
      <c r="AA86" s="502">
        <f t="shared" si="50"/>
        <v>4</v>
      </c>
      <c r="AB86" s="503">
        <f t="shared" si="50"/>
        <v>4</v>
      </c>
      <c r="AC86" s="417"/>
      <c r="AD86" s="417"/>
      <c r="AE86" s="417"/>
    </row>
    <row r="87" spans="1:31" ht="12" customHeight="1">
      <c r="A87" s="417"/>
      <c r="B87" s="493" t="s">
        <v>1816</v>
      </c>
      <c r="C87" s="506">
        <f ca="1">C79/C86</f>
        <v>40.625</v>
      </c>
      <c r="D87" s="507">
        <f ca="1">D79/D86</f>
        <v>44.875</v>
      </c>
      <c r="E87" s="470"/>
      <c r="F87" s="508">
        <f ca="1">F79/F86</f>
        <v>50.857142857142854</v>
      </c>
      <c r="G87" s="470"/>
      <c r="H87" s="509">
        <f t="shared" ref="H87:AB87" ca="1" si="51">H79/H86</f>
        <v>41.714285714285715</v>
      </c>
      <c r="I87" s="506">
        <f t="shared" ca="1" si="51"/>
        <v>49.166666666666664</v>
      </c>
      <c r="J87" s="506">
        <f t="shared" ca="1" si="51"/>
        <v>50.333333333333336</v>
      </c>
      <c r="K87" s="506">
        <f t="shared" ca="1" si="51"/>
        <v>52.166666666666664</v>
      </c>
      <c r="L87" s="506">
        <f t="shared" ca="1" si="51"/>
        <v>54</v>
      </c>
      <c r="M87" s="506">
        <f t="shared" ca="1" si="51"/>
        <v>55</v>
      </c>
      <c r="N87" s="506">
        <f t="shared" ca="1" si="51"/>
        <v>55.666666666666664</v>
      </c>
      <c r="O87" s="506">
        <f t="shared" ca="1" si="51"/>
        <v>57.333333333333336</v>
      </c>
      <c r="P87" s="506">
        <f t="shared" ca="1" si="51"/>
        <v>58.666666666666664</v>
      </c>
      <c r="Q87" s="509">
        <f t="shared" ca="1" si="51"/>
        <v>59.833333333333336</v>
      </c>
      <c r="R87" s="506">
        <f t="shared" ca="1" si="51"/>
        <v>60.5</v>
      </c>
      <c r="S87" s="506">
        <f t="shared" ca="1" si="51"/>
        <v>51.571428571428569</v>
      </c>
      <c r="T87" s="506">
        <f t="shared" ca="1" si="51"/>
        <v>45.75</v>
      </c>
      <c r="U87" s="506">
        <f t="shared" ca="1" si="51"/>
        <v>47.375</v>
      </c>
      <c r="V87" s="506">
        <f t="shared" ca="1" si="51"/>
        <v>48.125</v>
      </c>
      <c r="W87" s="506">
        <f t="shared" ca="1" si="51"/>
        <v>48.75</v>
      </c>
      <c r="X87" s="506">
        <f t="shared" ca="1" si="51"/>
        <v>55.285714285714285</v>
      </c>
      <c r="Y87" s="506">
        <f t="shared" ca="1" si="51"/>
        <v>63</v>
      </c>
      <c r="Z87" s="506">
        <f t="shared" ca="1" si="51"/>
        <v>51.857142857142854</v>
      </c>
      <c r="AA87" s="506">
        <f t="shared" si="51"/>
        <v>43.625</v>
      </c>
      <c r="AB87" s="507">
        <f t="shared" si="51"/>
        <v>44.25</v>
      </c>
      <c r="AC87" s="417"/>
      <c r="AD87" s="417"/>
      <c r="AE87" s="417"/>
    </row>
    <row r="88" spans="1:31" ht="3.95" customHeight="1">
      <c r="A88" s="417"/>
      <c r="B88" s="480"/>
      <c r="C88" s="481"/>
      <c r="D88" s="481"/>
      <c r="E88" s="417"/>
      <c r="F88" s="481"/>
      <c r="G88" s="417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2"/>
      <c r="AA88" s="482"/>
      <c r="AB88" s="482"/>
      <c r="AC88" s="417"/>
      <c r="AD88" s="417"/>
      <c r="AE88" s="417"/>
    </row>
    <row r="89" spans="1:31" ht="12" customHeight="1">
      <c r="A89" s="417"/>
      <c r="B89" s="487" t="s">
        <v>1813</v>
      </c>
      <c r="C89" s="488">
        <f ca="1">(C82+C81)/C81-1</f>
        <v>0.25</v>
      </c>
      <c r="D89" s="489">
        <f ca="1">(D82+D81)/D81-1</f>
        <v>0.25</v>
      </c>
      <c r="E89" s="490"/>
      <c r="F89" s="491">
        <f ca="1">(F82+F81)/F81-1</f>
        <v>0.66666666666666674</v>
      </c>
      <c r="G89" s="417"/>
      <c r="H89" s="492">
        <f t="shared" ref="H89:AB89" ca="1" si="52">(H82+H81)/H81-1</f>
        <v>0</v>
      </c>
      <c r="I89" s="488">
        <f t="shared" ca="1" si="52"/>
        <v>0</v>
      </c>
      <c r="J89" s="488">
        <f t="shared" ca="1" si="52"/>
        <v>0</v>
      </c>
      <c r="K89" s="488">
        <f t="shared" ca="1" si="52"/>
        <v>0</v>
      </c>
      <c r="L89" s="488">
        <f t="shared" ca="1" si="52"/>
        <v>0</v>
      </c>
      <c r="M89" s="488">
        <f t="shared" ca="1" si="52"/>
        <v>0</v>
      </c>
      <c r="N89" s="488">
        <f t="shared" ca="1" si="52"/>
        <v>0</v>
      </c>
      <c r="O89" s="488">
        <f t="shared" ca="1" si="52"/>
        <v>0</v>
      </c>
      <c r="P89" s="488">
        <f t="shared" ca="1" si="52"/>
        <v>0</v>
      </c>
      <c r="Q89" s="492">
        <f t="shared" ca="1" si="52"/>
        <v>0</v>
      </c>
      <c r="R89" s="488">
        <f t="shared" ca="1" si="52"/>
        <v>0</v>
      </c>
      <c r="S89" s="488">
        <f t="shared" ca="1" si="52"/>
        <v>0.33333333333333326</v>
      </c>
      <c r="T89" s="488">
        <f t="shared" ca="1" si="52"/>
        <v>0</v>
      </c>
      <c r="U89" s="488">
        <f t="shared" ca="1" si="52"/>
        <v>0</v>
      </c>
      <c r="V89" s="488">
        <f t="shared" ca="1" si="52"/>
        <v>0</v>
      </c>
      <c r="W89" s="488">
        <f t="shared" ca="1" si="52"/>
        <v>0</v>
      </c>
      <c r="X89" s="488">
        <f t="shared" ca="1" si="52"/>
        <v>0</v>
      </c>
      <c r="Y89" s="488">
        <f t="shared" ca="1" si="52"/>
        <v>0</v>
      </c>
      <c r="Z89" s="488">
        <f t="shared" ca="1" si="52"/>
        <v>0.33333333333333326</v>
      </c>
      <c r="AA89" s="488">
        <f t="shared" si="52"/>
        <v>0</v>
      </c>
      <c r="AB89" s="489">
        <f t="shared" si="52"/>
        <v>0</v>
      </c>
      <c r="AC89" s="417"/>
      <c r="AD89" s="417"/>
      <c r="AE89" s="417"/>
    </row>
    <row r="90" spans="1:31">
      <c r="A90" s="417"/>
      <c r="B90" s="493" t="s">
        <v>1812</v>
      </c>
      <c r="C90" s="494">
        <f ca="1">(C83+C86)/C86-1</f>
        <v>-0.25</v>
      </c>
      <c r="D90" s="495">
        <f ca="1">(D83+D86)/D86-1</f>
        <v>-0.25</v>
      </c>
      <c r="E90" s="490"/>
      <c r="F90" s="496">
        <f ca="1">(F83+F86)/F86-1</f>
        <v>-0.2857142857142857</v>
      </c>
      <c r="G90" s="417"/>
      <c r="H90" s="497">
        <f t="shared" ref="H90:AB90" ca="1" si="53">(H83+H86)/H86-1</f>
        <v>-0.2857142857142857</v>
      </c>
      <c r="I90" s="494">
        <f t="shared" ca="1" si="53"/>
        <v>0</v>
      </c>
      <c r="J90" s="494">
        <f t="shared" ca="1" si="53"/>
        <v>0</v>
      </c>
      <c r="K90" s="494">
        <f t="shared" ca="1" si="53"/>
        <v>0</v>
      </c>
      <c r="L90" s="494">
        <f t="shared" ca="1" si="53"/>
        <v>0</v>
      </c>
      <c r="M90" s="494">
        <f t="shared" ca="1" si="53"/>
        <v>0</v>
      </c>
      <c r="N90" s="494">
        <f t="shared" ca="1" si="53"/>
        <v>0</v>
      </c>
      <c r="O90" s="494">
        <f t="shared" ca="1" si="53"/>
        <v>0</v>
      </c>
      <c r="P90" s="494">
        <f t="shared" ca="1" si="53"/>
        <v>0</v>
      </c>
      <c r="Q90" s="497">
        <f t="shared" ca="1" si="53"/>
        <v>0</v>
      </c>
      <c r="R90" s="494">
        <f t="shared" ca="1" si="53"/>
        <v>0</v>
      </c>
      <c r="S90" s="494">
        <f t="shared" ca="1" si="53"/>
        <v>0</v>
      </c>
      <c r="T90" s="494">
        <f t="shared" ca="1" si="53"/>
        <v>0</v>
      </c>
      <c r="U90" s="494">
        <f t="shared" ca="1" si="53"/>
        <v>0</v>
      </c>
      <c r="V90" s="494">
        <f t="shared" ca="1" si="53"/>
        <v>0</v>
      </c>
      <c r="W90" s="494">
        <f t="shared" ca="1" si="53"/>
        <v>0</v>
      </c>
      <c r="X90" s="494">
        <f t="shared" ca="1" si="53"/>
        <v>-0.2857142857142857</v>
      </c>
      <c r="Y90" s="494">
        <f t="shared" ca="1" si="53"/>
        <v>0</v>
      </c>
      <c r="Z90" s="494">
        <f t="shared" ca="1" si="53"/>
        <v>0</v>
      </c>
      <c r="AA90" s="494">
        <f t="shared" si="53"/>
        <v>0</v>
      </c>
      <c r="AB90" s="495">
        <f t="shared" si="53"/>
        <v>0</v>
      </c>
      <c r="AC90" s="417"/>
      <c r="AD90" s="417"/>
      <c r="AE90" s="417"/>
    </row>
    <row r="91" spans="1:31" ht="3.95" customHeight="1">
      <c r="A91" s="417"/>
      <c r="B91" s="480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</row>
    <row r="92" spans="1:31" ht="24">
      <c r="A92" s="417"/>
      <c r="B92" s="462" t="s">
        <v>1997</v>
      </c>
      <c r="C92" s="463" t="s">
        <v>4</v>
      </c>
      <c r="D92" s="463" t="s">
        <v>1317</v>
      </c>
      <c r="E92" s="464"/>
      <c r="F92" s="463" t="s">
        <v>1527</v>
      </c>
      <c r="G92" s="417"/>
      <c r="H92" s="465">
        <v>45658</v>
      </c>
      <c r="I92" s="465">
        <f t="shared" ref="I92:N92" si="54">EOMONTH(H92,0)+1</f>
        <v>45689</v>
      </c>
      <c r="J92" s="465">
        <f t="shared" si="54"/>
        <v>45717</v>
      </c>
      <c r="K92" s="465">
        <f t="shared" si="54"/>
        <v>45748</v>
      </c>
      <c r="L92" s="465">
        <f t="shared" si="54"/>
        <v>45778</v>
      </c>
      <c r="M92" s="465">
        <f t="shared" si="54"/>
        <v>45809</v>
      </c>
      <c r="N92" s="465">
        <f t="shared" si="54"/>
        <v>45839</v>
      </c>
      <c r="O92" s="465">
        <v>45870</v>
      </c>
      <c r="P92" s="465">
        <f t="shared" ref="P92:AB92" si="55">EOMONTH(O92,0)+1</f>
        <v>45901</v>
      </c>
      <c r="Q92" s="465">
        <f t="shared" si="55"/>
        <v>45931</v>
      </c>
      <c r="R92" s="465">
        <f t="shared" si="55"/>
        <v>45962</v>
      </c>
      <c r="S92" s="465">
        <f t="shared" si="55"/>
        <v>45992</v>
      </c>
      <c r="T92" s="465">
        <f t="shared" si="55"/>
        <v>46023</v>
      </c>
      <c r="U92" s="465">
        <f t="shared" si="55"/>
        <v>46054</v>
      </c>
      <c r="V92" s="465">
        <f t="shared" si="55"/>
        <v>46082</v>
      </c>
      <c r="W92" s="465">
        <f t="shared" si="55"/>
        <v>46113</v>
      </c>
      <c r="X92" s="465">
        <f t="shared" si="55"/>
        <v>46143</v>
      </c>
      <c r="Y92" s="465">
        <f t="shared" si="55"/>
        <v>46174</v>
      </c>
      <c r="Z92" s="465">
        <f t="shared" si="55"/>
        <v>46204</v>
      </c>
      <c r="AA92" s="465">
        <f t="shared" si="55"/>
        <v>46235</v>
      </c>
      <c r="AB92" s="465">
        <f t="shared" si="55"/>
        <v>46266</v>
      </c>
      <c r="AC92" s="466"/>
      <c r="AD92" s="417"/>
      <c r="AE92" s="466"/>
    </row>
    <row r="93" spans="1:31">
      <c r="A93" s="417"/>
      <c r="B93" s="498" t="s">
        <v>493</v>
      </c>
      <c r="C93" s="468"/>
      <c r="D93" s="468"/>
      <c r="E93" s="469"/>
      <c r="F93" s="468"/>
      <c r="G93" s="417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9"/>
      <c r="AD93" s="469"/>
      <c r="AE93" s="469"/>
    </row>
    <row r="94" spans="1:31">
      <c r="A94" s="417"/>
      <c r="B94" s="469" t="s">
        <v>1818</v>
      </c>
      <c r="C94" s="510">
        <f>+C$19</f>
        <v>162.5</v>
      </c>
      <c r="D94" s="510">
        <f>+D$19</f>
        <v>179.5</v>
      </c>
      <c r="E94" s="469"/>
      <c r="F94" s="510">
        <f>+F$19</f>
        <v>178</v>
      </c>
      <c r="G94" s="417"/>
      <c r="H94" s="510">
        <f>+H$19</f>
        <v>146</v>
      </c>
      <c r="I94" s="510">
        <f t="shared" ref="I94:AB94" si="56">+I$19</f>
        <v>147.5</v>
      </c>
      <c r="J94" s="510">
        <f t="shared" si="56"/>
        <v>151</v>
      </c>
      <c r="K94" s="510">
        <f t="shared" si="56"/>
        <v>156.5</v>
      </c>
      <c r="L94" s="510">
        <f t="shared" si="56"/>
        <v>162</v>
      </c>
      <c r="M94" s="510">
        <f t="shared" si="56"/>
        <v>165</v>
      </c>
      <c r="N94" s="510">
        <f t="shared" si="56"/>
        <v>167</v>
      </c>
      <c r="O94" s="510">
        <f t="shared" si="56"/>
        <v>172</v>
      </c>
      <c r="P94" s="510">
        <f t="shared" si="56"/>
        <v>176</v>
      </c>
      <c r="Q94" s="510">
        <f t="shared" si="56"/>
        <v>179.5</v>
      </c>
      <c r="R94" s="510">
        <f t="shared" si="56"/>
        <v>181.5</v>
      </c>
      <c r="S94" s="510">
        <f t="shared" si="56"/>
        <v>180.5</v>
      </c>
      <c r="T94" s="510">
        <f t="shared" si="56"/>
        <v>183</v>
      </c>
      <c r="U94" s="510">
        <f t="shared" si="56"/>
        <v>189.5</v>
      </c>
      <c r="V94" s="510">
        <f t="shared" si="56"/>
        <v>192.5</v>
      </c>
      <c r="W94" s="510">
        <f t="shared" si="56"/>
        <v>195</v>
      </c>
      <c r="X94" s="510">
        <f t="shared" si="56"/>
        <v>193.5</v>
      </c>
      <c r="Y94" s="510">
        <f t="shared" si="56"/>
        <v>189</v>
      </c>
      <c r="Z94" s="510">
        <f t="shared" si="56"/>
        <v>181.5</v>
      </c>
      <c r="AA94" s="510">
        <f t="shared" si="56"/>
        <v>174.5</v>
      </c>
      <c r="AB94" s="510">
        <f t="shared" si="56"/>
        <v>177</v>
      </c>
      <c r="AC94" s="469"/>
      <c r="AD94" s="469"/>
      <c r="AE94" s="469"/>
    </row>
    <row r="95" spans="1:31" ht="3.95" customHeight="1">
      <c r="A95" s="417"/>
      <c r="B95" s="500"/>
      <c r="C95" s="469"/>
      <c r="D95" s="469"/>
      <c r="E95" s="469"/>
      <c r="F95" s="469"/>
      <c r="G95" s="417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  <c r="AC95" s="469"/>
      <c r="AD95" s="469"/>
      <c r="AE95" s="469"/>
    </row>
    <row r="96" spans="1:31">
      <c r="A96" s="417"/>
      <c r="B96" s="417" t="s">
        <v>1313</v>
      </c>
      <c r="C96" s="470">
        <f ca="1">+C99-C97-C98</f>
        <v>5</v>
      </c>
      <c r="D96" s="470">
        <f ca="1">+D99-D97-D98</f>
        <v>7</v>
      </c>
      <c r="E96" s="417"/>
      <c r="F96" s="470">
        <f ca="1">+F99-F97-F98</f>
        <v>6</v>
      </c>
      <c r="G96" s="417"/>
      <c r="H96" s="470">
        <f t="shared" ref="H96:AB96" ca="1" si="57">+H99-H97-H98</f>
        <v>5</v>
      </c>
      <c r="I96" s="470">
        <f t="shared" ca="1" si="57"/>
        <v>5</v>
      </c>
      <c r="J96" s="470">
        <f t="shared" ca="1" si="57"/>
        <v>5</v>
      </c>
      <c r="K96" s="470">
        <f t="shared" ca="1" si="57"/>
        <v>5</v>
      </c>
      <c r="L96" s="470">
        <f t="shared" ca="1" si="57"/>
        <v>5</v>
      </c>
      <c r="M96" s="470">
        <f t="shared" ca="1" si="57"/>
        <v>6</v>
      </c>
      <c r="N96" s="470">
        <f t="shared" ca="1" si="57"/>
        <v>6</v>
      </c>
      <c r="O96" s="470">
        <f t="shared" ca="1" si="57"/>
        <v>6</v>
      </c>
      <c r="P96" s="470">
        <f t="shared" ca="1" si="57"/>
        <v>6</v>
      </c>
      <c r="Q96" s="470">
        <f t="shared" ca="1" si="57"/>
        <v>6</v>
      </c>
      <c r="R96" s="470">
        <f t="shared" ca="1" si="57"/>
        <v>6</v>
      </c>
      <c r="S96" s="470">
        <f t="shared" ca="1" si="57"/>
        <v>6</v>
      </c>
      <c r="T96" s="470">
        <f t="shared" ca="1" si="57"/>
        <v>7</v>
      </c>
      <c r="U96" s="470">
        <f t="shared" ca="1" si="57"/>
        <v>8</v>
      </c>
      <c r="V96" s="470">
        <f t="shared" ca="1" si="57"/>
        <v>8</v>
      </c>
      <c r="W96" s="470">
        <f t="shared" ca="1" si="57"/>
        <v>8</v>
      </c>
      <c r="X96" s="470">
        <f t="shared" ca="1" si="57"/>
        <v>8</v>
      </c>
      <c r="Y96" s="470">
        <f t="shared" ca="1" si="57"/>
        <v>7</v>
      </c>
      <c r="Z96" s="470">
        <f t="shared" ca="1" si="57"/>
        <v>7</v>
      </c>
      <c r="AA96" s="470">
        <f t="shared" ca="1" si="57"/>
        <v>7</v>
      </c>
      <c r="AB96" s="470">
        <f t="shared" si="57"/>
        <v>8</v>
      </c>
      <c r="AC96" s="417"/>
      <c r="AD96" s="417"/>
      <c r="AE96" s="417"/>
    </row>
    <row r="97" spans="1:31">
      <c r="A97" s="417"/>
      <c r="B97" s="471" t="s">
        <v>1814</v>
      </c>
      <c r="C97" s="433">
        <f ca="1">SUM(H97:S97)</f>
        <v>2</v>
      </c>
      <c r="D97" s="433">
        <f ca="1">SUM(T97:AB97)</f>
        <v>2</v>
      </c>
      <c r="E97" s="417"/>
      <c r="F97" s="433">
        <f ca="1">SUM(Q97:AB97)</f>
        <v>3</v>
      </c>
      <c r="G97" s="417"/>
      <c r="H97" s="472">
        <f>COUNTIFS('Combined Employee Worksheet'!$I:$I,"&gt;="&amp;'Adj. Employee Retention'!H$5,'Combined Employee Worksheet'!$I:$I,"&lt;="&amp;'Adj. Employee Retention'!H$1,'Combined Employee Worksheet'!$D:$D,'Adj. Employee Retention'!$B93)-COUNTIFS('Combined Employee Worksheet'!$I:$I,"&gt;="&amp;'Adj. Employee Retention'!H$5,'Combined Employee Worksheet'!$I:$I,"&lt;="&amp;'Adj. Employee Retention'!H$1,'Combined Employee Worksheet'!$D:$D,'Adj. Employee Retention'!$B93,'Combined Employee Worksheet'!$K:$K,"&lt;="&amp;$C$138,'Combined Employee Worksheet'!$J:$J,"&lt;&gt;")</f>
        <v>0</v>
      </c>
      <c r="I97" s="472">
        <f>COUNTIFS('Combined Employee Worksheet'!$I:$I,"&gt;="&amp;'Adj. Employee Retention'!I$5,'Combined Employee Worksheet'!$I:$I,"&lt;="&amp;'Adj. Employee Retention'!I$1,'Combined Employee Worksheet'!$D:$D,'Adj. Employee Retention'!$B93)-COUNTIFS('Combined Employee Worksheet'!$I:$I,"&gt;="&amp;'Adj. Employee Retention'!I$5,'Combined Employee Worksheet'!$I:$I,"&lt;="&amp;'Adj. Employee Retention'!I$1,'Combined Employee Worksheet'!$D:$D,'Adj. Employee Retention'!$B93,'Combined Employee Worksheet'!$K:$K,"&lt;="&amp;$C$138,'Combined Employee Worksheet'!$J:$J,"&lt;&gt;")</f>
        <v>0</v>
      </c>
      <c r="J97" s="472">
        <f>COUNTIFS('Combined Employee Worksheet'!$I:$I,"&gt;="&amp;'Adj. Employee Retention'!J$5,'Combined Employee Worksheet'!$I:$I,"&lt;="&amp;'Adj. Employee Retention'!J$1,'Combined Employee Worksheet'!$D:$D,'Adj. Employee Retention'!$B93)-COUNTIFS('Combined Employee Worksheet'!$I:$I,"&gt;="&amp;'Adj. Employee Retention'!J$5,'Combined Employee Worksheet'!$I:$I,"&lt;="&amp;'Adj. Employee Retention'!J$1,'Combined Employee Worksheet'!$D:$D,'Adj. Employee Retention'!$B93,'Combined Employee Worksheet'!$K:$K,"&lt;="&amp;$C$138,'Combined Employee Worksheet'!$J:$J,"&lt;&gt;")</f>
        <v>0</v>
      </c>
      <c r="K97" s="472">
        <f>COUNTIFS('Combined Employee Worksheet'!$I:$I,"&gt;="&amp;'Adj. Employee Retention'!K$5,'Combined Employee Worksheet'!$I:$I,"&lt;="&amp;'Adj. Employee Retention'!K$1,'Combined Employee Worksheet'!$D:$D,'Adj. Employee Retention'!$B93)-COUNTIFS('Combined Employee Worksheet'!$I:$I,"&gt;="&amp;'Adj. Employee Retention'!K$5,'Combined Employee Worksheet'!$I:$I,"&lt;="&amp;'Adj. Employee Retention'!K$1,'Combined Employee Worksheet'!$D:$D,'Adj. Employee Retention'!$B93,'Combined Employee Worksheet'!$K:$K,"&lt;="&amp;$C$138,'Combined Employee Worksheet'!$J:$J,"&lt;&gt;")</f>
        <v>0</v>
      </c>
      <c r="L97" s="472">
        <f ca="1">COUNTIFS('Combined Employee Worksheet'!$I:$I,"&gt;="&amp;'Adj. Employee Retention'!L$5,'Combined Employee Worksheet'!$I:$I,"&lt;="&amp;'Adj. Employee Retention'!L$1,'Combined Employee Worksheet'!$D:$D,'Adj. Employee Retention'!$B93)-COUNTIFS('Combined Employee Worksheet'!$I:$I,"&gt;="&amp;'Adj. Employee Retention'!L$5,'Combined Employee Worksheet'!$I:$I,"&lt;="&amp;'Adj. Employee Retention'!L$1,'Combined Employee Worksheet'!$D:$D,'Adj. Employee Retention'!$B93,'Combined Employee Worksheet'!$K:$K,"&lt;="&amp;$C$138,'Combined Employee Worksheet'!$J:$J,"&lt;&gt;")</f>
        <v>1</v>
      </c>
      <c r="M97" s="472">
        <f>COUNTIFS('Combined Employee Worksheet'!$I:$I,"&gt;="&amp;'Adj. Employee Retention'!M$5,'Combined Employee Worksheet'!$I:$I,"&lt;="&amp;'Adj. Employee Retention'!M$1,'Combined Employee Worksheet'!$D:$D,'Adj. Employee Retention'!$B93)-COUNTIFS('Combined Employee Worksheet'!$I:$I,"&gt;="&amp;'Adj. Employee Retention'!M$5,'Combined Employee Worksheet'!$I:$I,"&lt;="&amp;'Adj. Employee Retention'!M$1,'Combined Employee Worksheet'!$D:$D,'Adj. Employee Retention'!$B93,'Combined Employee Worksheet'!$K:$K,"&lt;="&amp;$C$138,'Combined Employee Worksheet'!$J:$J,"&lt;&gt;")</f>
        <v>0</v>
      </c>
      <c r="N97" s="472">
        <f>COUNTIFS('Combined Employee Worksheet'!$I:$I,"&gt;="&amp;'Adj. Employee Retention'!N$5,'Combined Employee Worksheet'!$I:$I,"&lt;="&amp;'Adj. Employee Retention'!N$1,'Combined Employee Worksheet'!$D:$D,'Adj. Employee Retention'!$B93)-COUNTIFS('Combined Employee Worksheet'!$I:$I,"&gt;="&amp;'Adj. Employee Retention'!N$5,'Combined Employee Worksheet'!$I:$I,"&lt;="&amp;'Adj. Employee Retention'!N$1,'Combined Employee Worksheet'!$D:$D,'Adj. Employee Retention'!$B93,'Combined Employee Worksheet'!$K:$K,"&lt;="&amp;$C$138,'Combined Employee Worksheet'!$J:$J,"&lt;&gt;")</f>
        <v>0</v>
      </c>
      <c r="O97" s="472">
        <f>COUNTIFS('Combined Employee Worksheet'!$I:$I,"&gt;="&amp;'Adj. Employee Retention'!O$5,'Combined Employee Worksheet'!$I:$I,"&lt;="&amp;'Adj. Employee Retention'!O$1,'Combined Employee Worksheet'!$D:$D,'Adj. Employee Retention'!$B93)-COUNTIFS('Combined Employee Worksheet'!$I:$I,"&gt;="&amp;'Adj. Employee Retention'!O$5,'Combined Employee Worksheet'!$I:$I,"&lt;="&amp;'Adj. Employee Retention'!O$1,'Combined Employee Worksheet'!$D:$D,'Adj. Employee Retention'!$B93,'Combined Employee Worksheet'!$K:$K,"&lt;="&amp;$C$138,'Combined Employee Worksheet'!$J:$J,"&lt;&gt;")</f>
        <v>0</v>
      </c>
      <c r="P97" s="472">
        <f>COUNTIFS('Combined Employee Worksheet'!$I:$I,"&gt;="&amp;'Adj. Employee Retention'!P$5,'Combined Employee Worksheet'!$I:$I,"&lt;="&amp;'Adj. Employee Retention'!P$1,'Combined Employee Worksheet'!$D:$D,'Adj. Employee Retention'!$B93)-COUNTIFS('Combined Employee Worksheet'!$I:$I,"&gt;="&amp;'Adj. Employee Retention'!P$5,'Combined Employee Worksheet'!$I:$I,"&lt;="&amp;'Adj. Employee Retention'!P$1,'Combined Employee Worksheet'!$D:$D,'Adj. Employee Retention'!$B93,'Combined Employee Worksheet'!$K:$K,"&lt;="&amp;$C$138,'Combined Employee Worksheet'!$J:$J,"&lt;&gt;")</f>
        <v>0</v>
      </c>
      <c r="Q97" s="472">
        <f>COUNTIFS('Combined Employee Worksheet'!$I:$I,"&gt;="&amp;'Adj. Employee Retention'!Q$5,'Combined Employee Worksheet'!$I:$I,"&lt;="&amp;'Adj. Employee Retention'!Q$1,'Combined Employee Worksheet'!$D:$D,'Adj. Employee Retention'!$B93)-COUNTIFS('Combined Employee Worksheet'!$I:$I,"&gt;="&amp;'Adj. Employee Retention'!Q$5,'Combined Employee Worksheet'!$I:$I,"&lt;="&amp;'Adj. Employee Retention'!Q$1,'Combined Employee Worksheet'!$D:$D,'Adj. Employee Retention'!$B93,'Combined Employee Worksheet'!$K:$K,"&lt;="&amp;$C$138,'Combined Employee Worksheet'!$J:$J,"&lt;&gt;")</f>
        <v>0</v>
      </c>
      <c r="R97" s="472">
        <f>COUNTIFS('Combined Employee Worksheet'!$I:$I,"&gt;="&amp;'Adj. Employee Retention'!R$5,'Combined Employee Worksheet'!$I:$I,"&lt;="&amp;'Adj. Employee Retention'!R$1,'Combined Employee Worksheet'!$D:$D,'Adj. Employee Retention'!$B93)-COUNTIFS('Combined Employee Worksheet'!$I:$I,"&gt;="&amp;'Adj. Employee Retention'!R$5,'Combined Employee Worksheet'!$I:$I,"&lt;="&amp;'Adj. Employee Retention'!R$1,'Combined Employee Worksheet'!$D:$D,'Adj. Employee Retention'!$B93,'Combined Employee Worksheet'!$K:$K,"&lt;="&amp;$C$138,'Combined Employee Worksheet'!$J:$J,"&lt;&gt;")</f>
        <v>0</v>
      </c>
      <c r="S97" s="472">
        <f ca="1">COUNTIFS('Combined Employee Worksheet'!$I:$I,"&gt;="&amp;'Adj. Employee Retention'!S$5,'Combined Employee Worksheet'!$I:$I,"&lt;="&amp;'Adj. Employee Retention'!S$1,'Combined Employee Worksheet'!$D:$D,'Adj. Employee Retention'!$B93)-COUNTIFS('Combined Employee Worksheet'!$I:$I,"&gt;="&amp;'Adj. Employee Retention'!S$5,'Combined Employee Worksheet'!$I:$I,"&lt;="&amp;'Adj. Employee Retention'!S$1,'Combined Employee Worksheet'!$D:$D,'Adj. Employee Retention'!$B93,'Combined Employee Worksheet'!$K:$K,"&lt;="&amp;$C$138,'Combined Employee Worksheet'!$J:$J,"&lt;&gt;")</f>
        <v>1</v>
      </c>
      <c r="T97" s="472">
        <f ca="1">COUNTIFS('Combined Employee Worksheet'!$I:$I,"&gt;="&amp;'Adj. Employee Retention'!T$5,'Combined Employee Worksheet'!$I:$I,"&lt;="&amp;'Adj. Employee Retention'!T$1,'Combined Employee Worksheet'!$D:$D,'Adj. Employee Retention'!$B93)-COUNTIFS('Combined Employee Worksheet'!$I:$I,"&gt;="&amp;'Adj. Employee Retention'!T$5,'Combined Employee Worksheet'!$I:$I,"&lt;="&amp;'Adj. Employee Retention'!T$1,'Combined Employee Worksheet'!$D:$D,'Adj. Employee Retention'!$B93,'Combined Employee Worksheet'!$K:$K,"&lt;="&amp;$C$138,'Combined Employee Worksheet'!$J:$J,"&lt;&gt;")</f>
        <v>1</v>
      </c>
      <c r="U97" s="472">
        <f>COUNTIFS('Combined Employee Worksheet'!$I:$I,"&gt;="&amp;'Adj. Employee Retention'!U$5,'Combined Employee Worksheet'!$I:$I,"&lt;="&amp;'Adj. Employee Retention'!U$1,'Combined Employee Worksheet'!$D:$D,'Adj. Employee Retention'!$B93)-COUNTIFS('Combined Employee Worksheet'!$I:$I,"&gt;="&amp;'Adj. Employee Retention'!U$5,'Combined Employee Worksheet'!$I:$I,"&lt;="&amp;'Adj. Employee Retention'!U$1,'Combined Employee Worksheet'!$D:$D,'Adj. Employee Retention'!$B93,'Combined Employee Worksheet'!$K:$K,"&lt;="&amp;$C$138,'Combined Employee Worksheet'!$J:$J,"&lt;&gt;")</f>
        <v>0</v>
      </c>
      <c r="V97" s="472">
        <f>COUNTIFS('Combined Employee Worksheet'!$I:$I,"&gt;="&amp;'Adj. Employee Retention'!V$5,'Combined Employee Worksheet'!$I:$I,"&lt;="&amp;'Adj. Employee Retention'!V$1,'Combined Employee Worksheet'!$D:$D,'Adj. Employee Retention'!$B93)-COUNTIFS('Combined Employee Worksheet'!$I:$I,"&gt;="&amp;'Adj. Employee Retention'!V$5,'Combined Employee Worksheet'!$I:$I,"&lt;="&amp;'Adj. Employee Retention'!V$1,'Combined Employee Worksheet'!$D:$D,'Adj. Employee Retention'!$B93,'Combined Employee Worksheet'!$K:$K,"&lt;="&amp;$C$138,'Combined Employee Worksheet'!$J:$J,"&lt;&gt;")</f>
        <v>0</v>
      </c>
      <c r="W97" s="472">
        <f>COUNTIFS('Combined Employee Worksheet'!$I:$I,"&gt;="&amp;'Adj. Employee Retention'!W$5,'Combined Employee Worksheet'!$I:$I,"&lt;="&amp;'Adj. Employee Retention'!W$1,'Combined Employee Worksheet'!$D:$D,'Adj. Employee Retention'!$B93)-COUNTIFS('Combined Employee Worksheet'!$I:$I,"&gt;="&amp;'Adj. Employee Retention'!W$5,'Combined Employee Worksheet'!$I:$I,"&lt;="&amp;'Adj. Employee Retention'!W$1,'Combined Employee Worksheet'!$D:$D,'Adj. Employee Retention'!$B93,'Combined Employee Worksheet'!$K:$K,"&lt;="&amp;$C$138,'Combined Employee Worksheet'!$J:$J,"&lt;&gt;")</f>
        <v>0</v>
      </c>
      <c r="X97" s="472">
        <f>COUNTIFS('Combined Employee Worksheet'!$I:$I,"&gt;="&amp;'Adj. Employee Retention'!X$5,'Combined Employee Worksheet'!$I:$I,"&lt;="&amp;'Adj. Employee Retention'!X$1,'Combined Employee Worksheet'!$D:$D,'Adj. Employee Retention'!$B93)-COUNTIFS('Combined Employee Worksheet'!$I:$I,"&gt;="&amp;'Adj. Employee Retention'!X$5,'Combined Employee Worksheet'!$I:$I,"&lt;="&amp;'Adj. Employee Retention'!X$1,'Combined Employee Worksheet'!$D:$D,'Adj. Employee Retention'!$B93,'Combined Employee Worksheet'!$K:$K,"&lt;="&amp;$C$138,'Combined Employee Worksheet'!$J:$J,"&lt;&gt;")</f>
        <v>0</v>
      </c>
      <c r="Y97" s="472">
        <f>COUNTIFS('Combined Employee Worksheet'!$I:$I,"&gt;="&amp;'Adj. Employee Retention'!Y$5,'Combined Employee Worksheet'!$I:$I,"&lt;="&amp;'Adj. Employee Retention'!Y$1,'Combined Employee Worksheet'!$D:$D,'Adj. Employee Retention'!$B93)-COUNTIFS('Combined Employee Worksheet'!$I:$I,"&gt;="&amp;'Adj. Employee Retention'!Y$5,'Combined Employee Worksheet'!$I:$I,"&lt;="&amp;'Adj. Employee Retention'!Y$1,'Combined Employee Worksheet'!$D:$D,'Adj. Employee Retention'!$B93,'Combined Employee Worksheet'!$K:$K,"&lt;="&amp;$C$138,'Combined Employee Worksheet'!$J:$J,"&lt;&gt;")</f>
        <v>0</v>
      </c>
      <c r="Z97" s="472">
        <f>COUNTIFS('Combined Employee Worksheet'!$I:$I,"&gt;="&amp;'Adj. Employee Retention'!Z$5,'Combined Employee Worksheet'!$I:$I,"&lt;="&amp;'Adj. Employee Retention'!Z$1,'Combined Employee Worksheet'!$D:$D,'Adj. Employee Retention'!$B93)-COUNTIFS('Combined Employee Worksheet'!$I:$I,"&gt;="&amp;'Adj. Employee Retention'!Z$5,'Combined Employee Worksheet'!$I:$I,"&lt;="&amp;'Adj. Employee Retention'!Z$1,'Combined Employee Worksheet'!$D:$D,'Adj. Employee Retention'!$B93,'Combined Employee Worksheet'!$K:$K,"&lt;="&amp;$C$138,'Combined Employee Worksheet'!$J:$J,"&lt;&gt;")</f>
        <v>0</v>
      </c>
      <c r="AA97" s="472">
        <f ca="1">COUNTIFS('Combined Employee Worksheet'!$I:$I,"&gt;="&amp;'Adj. Employee Retention'!AA$5,'Combined Employee Worksheet'!$I:$I,"&lt;="&amp;'Adj. Employee Retention'!AA$1,'Combined Employee Worksheet'!$D:$D,'Adj. Employee Retention'!$B93)-COUNTIFS('Combined Employee Worksheet'!$I:$I,"&gt;="&amp;'Adj. Employee Retention'!AA$5,'Combined Employee Worksheet'!$I:$I,"&lt;="&amp;'Adj. Employee Retention'!AA$1,'Combined Employee Worksheet'!$D:$D,'Adj. Employee Retention'!$B93,'Combined Employee Worksheet'!$K:$K,"&lt;="&amp;$C$138,'Combined Employee Worksheet'!$J:$J,"&lt;&gt;")</f>
        <v>1</v>
      </c>
      <c r="AB97" s="472">
        <f>COUNTIFS('Combined Employee Worksheet'!$I:$I,"&gt;="&amp;'Adj. Employee Retention'!AB$5,'Combined Employee Worksheet'!$I:$I,"&lt;="&amp;'Adj. Employee Retention'!AB$1,'Combined Employee Worksheet'!$D:$D,'Adj. Employee Retention'!$B93)-COUNTIFS('Combined Employee Worksheet'!$I:$I,"&gt;="&amp;'Adj. Employee Retention'!AB$5,'Combined Employee Worksheet'!$I:$I,"&lt;="&amp;'Adj. Employee Retention'!AB$1,'Combined Employee Worksheet'!$D:$D,'Adj. Employee Retention'!$B93,'Combined Employee Worksheet'!$K:$K,"&lt;="&amp;$C$138,'Combined Employee Worksheet'!$J:$J,"&lt;&gt;")</f>
        <v>0</v>
      </c>
      <c r="AC97" s="417"/>
      <c r="AD97" s="417"/>
      <c r="AE97" s="417"/>
    </row>
    <row r="98" spans="1:31" ht="12" customHeight="1">
      <c r="A98" s="417"/>
      <c r="B98" s="471" t="s">
        <v>1815</v>
      </c>
      <c r="C98" s="433">
        <f>SUM(H98:S98)</f>
        <v>0</v>
      </c>
      <c r="D98" s="433">
        <f ca="1">SUM(T98:AB98)</f>
        <v>-1</v>
      </c>
      <c r="E98" s="417"/>
      <c r="F98" s="433">
        <f ca="1">SUM(Q98:AB98)</f>
        <v>-1</v>
      </c>
      <c r="G98" s="417"/>
      <c r="H98" s="472">
        <f>-COUNTIFS('Combined Employee Worksheet'!$J:$J,"&gt;="&amp;'Adj. Employee Retention'!H$5,'Combined Employee Worksheet'!$J:$J,"&lt;="&amp;'Adj. Employee Retention'!H$1,'Combined Employee Worksheet'!$D:$D,'Adj. Employee Retention'!$B93,'Combined Employee Worksheet'!$K:$K,"&gt;"&amp;$C$138)</f>
        <v>0</v>
      </c>
      <c r="I98" s="472">
        <f>-COUNTIFS('Combined Employee Worksheet'!$J:$J,"&gt;="&amp;'Adj. Employee Retention'!I$5,'Combined Employee Worksheet'!$J:$J,"&lt;="&amp;'Adj. Employee Retention'!I$1,'Combined Employee Worksheet'!$D:$D,'Adj. Employee Retention'!$B93,'Combined Employee Worksheet'!$K:$K,"&gt;"&amp;$C$138)</f>
        <v>0</v>
      </c>
      <c r="J98" s="472">
        <f>-COUNTIFS('Combined Employee Worksheet'!$J:$J,"&gt;="&amp;'Adj. Employee Retention'!J$5,'Combined Employee Worksheet'!$J:$J,"&lt;="&amp;'Adj. Employee Retention'!J$1,'Combined Employee Worksheet'!$D:$D,'Adj. Employee Retention'!$B93,'Combined Employee Worksheet'!$K:$K,"&gt;"&amp;$C$138)</f>
        <v>0</v>
      </c>
      <c r="K98" s="472">
        <f>-COUNTIFS('Combined Employee Worksheet'!$J:$J,"&gt;="&amp;'Adj. Employee Retention'!K$5,'Combined Employee Worksheet'!$J:$J,"&lt;="&amp;'Adj. Employee Retention'!K$1,'Combined Employee Worksheet'!$D:$D,'Adj. Employee Retention'!$B93,'Combined Employee Worksheet'!$K:$K,"&gt;"&amp;$C$138)</f>
        <v>0</v>
      </c>
      <c r="L98" s="472">
        <f>-COUNTIFS('Combined Employee Worksheet'!$J:$J,"&gt;="&amp;'Adj. Employee Retention'!L$5,'Combined Employee Worksheet'!$J:$J,"&lt;="&amp;'Adj. Employee Retention'!L$1,'Combined Employee Worksheet'!$D:$D,'Adj. Employee Retention'!$B93,'Combined Employee Worksheet'!$K:$K,"&gt;"&amp;$C$138)</f>
        <v>0</v>
      </c>
      <c r="M98" s="472">
        <f>-COUNTIFS('Combined Employee Worksheet'!$J:$J,"&gt;="&amp;'Adj. Employee Retention'!M$5,'Combined Employee Worksheet'!$J:$J,"&lt;="&amp;'Adj. Employee Retention'!M$1,'Combined Employee Worksheet'!$D:$D,'Adj. Employee Retention'!$B93,'Combined Employee Worksheet'!$K:$K,"&gt;"&amp;$C$138)</f>
        <v>0</v>
      </c>
      <c r="N98" s="472">
        <f>-COUNTIFS('Combined Employee Worksheet'!$J:$J,"&gt;="&amp;'Adj. Employee Retention'!N$5,'Combined Employee Worksheet'!$J:$J,"&lt;="&amp;'Adj. Employee Retention'!N$1,'Combined Employee Worksheet'!$D:$D,'Adj. Employee Retention'!$B93,'Combined Employee Worksheet'!$K:$K,"&gt;"&amp;$C$138)</f>
        <v>0</v>
      </c>
      <c r="O98" s="472">
        <f>-COUNTIFS('Combined Employee Worksheet'!$J:$J,"&gt;="&amp;'Adj. Employee Retention'!O$5,'Combined Employee Worksheet'!$J:$J,"&lt;="&amp;'Adj. Employee Retention'!O$1,'Combined Employee Worksheet'!$D:$D,'Adj. Employee Retention'!$B93,'Combined Employee Worksheet'!$K:$K,"&gt;"&amp;$C$138)</f>
        <v>0</v>
      </c>
      <c r="P98" s="472">
        <f>-COUNTIFS('Combined Employee Worksheet'!$J:$J,"&gt;="&amp;'Adj. Employee Retention'!P$5,'Combined Employee Worksheet'!$J:$J,"&lt;="&amp;'Adj. Employee Retention'!P$1,'Combined Employee Worksheet'!$D:$D,'Adj. Employee Retention'!$B93,'Combined Employee Worksheet'!$K:$K,"&gt;"&amp;$C$138)</f>
        <v>0</v>
      </c>
      <c r="Q98" s="472">
        <f>-COUNTIFS('Combined Employee Worksheet'!$J:$J,"&gt;="&amp;'Adj. Employee Retention'!Q$5,'Combined Employee Worksheet'!$J:$J,"&lt;="&amp;'Adj. Employee Retention'!Q$1,'Combined Employee Worksheet'!$D:$D,'Adj. Employee Retention'!$B93,'Combined Employee Worksheet'!$K:$K,"&gt;"&amp;$C$138)</f>
        <v>0</v>
      </c>
      <c r="R98" s="472">
        <f>-COUNTIFS('Combined Employee Worksheet'!$J:$J,"&gt;="&amp;'Adj. Employee Retention'!R$5,'Combined Employee Worksheet'!$J:$J,"&lt;="&amp;'Adj. Employee Retention'!R$1,'Combined Employee Worksheet'!$D:$D,'Adj. Employee Retention'!$B93,'Combined Employee Worksheet'!$K:$K,"&gt;"&amp;$C$138)</f>
        <v>0</v>
      </c>
      <c r="S98" s="472">
        <f>-COUNTIFS('Combined Employee Worksheet'!$J:$J,"&gt;="&amp;'Adj. Employee Retention'!S$5,'Combined Employee Worksheet'!$J:$J,"&lt;="&amp;'Adj. Employee Retention'!S$1,'Combined Employee Worksheet'!$D:$D,'Adj. Employee Retention'!$B93,'Combined Employee Worksheet'!$K:$K,"&gt;"&amp;$C$138)</f>
        <v>0</v>
      </c>
      <c r="T98" s="472">
        <f>-COUNTIFS('Combined Employee Worksheet'!$J:$J,"&gt;="&amp;'Adj. Employee Retention'!T$5,'Combined Employee Worksheet'!$J:$J,"&lt;="&amp;'Adj. Employee Retention'!T$1,'Combined Employee Worksheet'!$D:$D,'Adj. Employee Retention'!$B93,'Combined Employee Worksheet'!$K:$K,"&gt;"&amp;$C$138)</f>
        <v>0</v>
      </c>
      <c r="U98" s="472">
        <f>-COUNTIFS('Combined Employee Worksheet'!$J:$J,"&gt;="&amp;'Adj. Employee Retention'!U$5,'Combined Employee Worksheet'!$J:$J,"&lt;="&amp;'Adj. Employee Retention'!U$1,'Combined Employee Worksheet'!$D:$D,'Adj. Employee Retention'!$B93,'Combined Employee Worksheet'!$K:$K,"&gt;"&amp;$C$138)</f>
        <v>0</v>
      </c>
      <c r="V98" s="472">
        <f>-COUNTIFS('Combined Employee Worksheet'!$J:$J,"&gt;="&amp;'Adj. Employee Retention'!V$5,'Combined Employee Worksheet'!$J:$J,"&lt;="&amp;'Adj. Employee Retention'!V$1,'Combined Employee Worksheet'!$D:$D,'Adj. Employee Retention'!$B93,'Combined Employee Worksheet'!$K:$K,"&gt;"&amp;$C$138)</f>
        <v>0</v>
      </c>
      <c r="W98" s="472">
        <f>-COUNTIFS('Combined Employee Worksheet'!$J:$J,"&gt;="&amp;'Adj. Employee Retention'!W$5,'Combined Employee Worksheet'!$J:$J,"&lt;="&amp;'Adj. Employee Retention'!W$1,'Combined Employee Worksheet'!$D:$D,'Adj. Employee Retention'!$B93,'Combined Employee Worksheet'!$K:$K,"&gt;"&amp;$C$138)</f>
        <v>0</v>
      </c>
      <c r="X98" s="472">
        <f ca="1">-COUNTIFS('Combined Employee Worksheet'!$J:$J,"&gt;="&amp;'Adj. Employee Retention'!X$5,'Combined Employee Worksheet'!$J:$J,"&lt;="&amp;'Adj. Employee Retention'!X$1,'Combined Employee Worksheet'!$D:$D,'Adj. Employee Retention'!$B93,'Combined Employee Worksheet'!$K:$K,"&gt;"&amp;$C$138)</f>
        <v>-1</v>
      </c>
      <c r="Y98" s="472">
        <f>-COUNTIFS('Combined Employee Worksheet'!$J:$J,"&gt;="&amp;'Adj. Employee Retention'!Y$5,'Combined Employee Worksheet'!$J:$J,"&lt;="&amp;'Adj. Employee Retention'!Y$1,'Combined Employee Worksheet'!$D:$D,'Adj. Employee Retention'!$B93,'Combined Employee Worksheet'!$K:$K,"&gt;"&amp;$C$138)</f>
        <v>0</v>
      </c>
      <c r="Z98" s="472">
        <f>-COUNTIFS('Combined Employee Worksheet'!$J:$J,"&gt;="&amp;'Adj. Employee Retention'!Z$5,'Combined Employee Worksheet'!$J:$J,"&lt;="&amp;'Adj. Employee Retention'!Z$1,'Combined Employee Worksheet'!$D:$D,'Adj. Employee Retention'!$B93,'Combined Employee Worksheet'!$K:$K,"&gt;"&amp;$C$138)</f>
        <v>0</v>
      </c>
      <c r="AA98" s="472">
        <f>-COUNTIFS('Combined Employee Worksheet'!$J:$J,"&gt;="&amp;'Adj. Employee Retention'!AA$5,'Combined Employee Worksheet'!$J:$J,"&lt;="&amp;'Adj. Employee Retention'!AA$1,'Combined Employee Worksheet'!$D:$D,'Adj. Employee Retention'!$B93,'Combined Employee Worksheet'!$K:$K,"&gt;"&amp;$C$138)</f>
        <v>0</v>
      </c>
      <c r="AB98" s="472">
        <f>-COUNTIFS('Combined Employee Worksheet'!$J:$J,"&gt;="&amp;'Adj. Employee Retention'!AB$5,'Combined Employee Worksheet'!$J:$J,"&lt;="&amp;'Adj. Employee Retention'!AB$1,'Combined Employee Worksheet'!$D:$D,'Adj. Employee Retention'!$B93,'Combined Employee Worksheet'!$K:$K,"&gt;"&amp;$C$138)</f>
        <v>0</v>
      </c>
      <c r="AC98" s="417"/>
      <c r="AD98" s="417"/>
      <c r="AE98" s="417"/>
    </row>
    <row r="99" spans="1:31" ht="12" customHeight="1">
      <c r="A99" s="417"/>
      <c r="B99" s="474" t="s">
        <v>1315</v>
      </c>
      <c r="C99" s="475">
        <f ca="1">+D96</f>
        <v>7</v>
      </c>
      <c r="D99" s="476">
        <f>+$AB99</f>
        <v>8</v>
      </c>
      <c r="E99" s="417"/>
      <c r="F99" s="477">
        <f>+$AB99</f>
        <v>8</v>
      </c>
      <c r="G99" s="417"/>
      <c r="H99" s="478">
        <f t="shared" ref="H99:AA99" ca="1" si="58">+I96</f>
        <v>5</v>
      </c>
      <c r="I99" s="475">
        <f t="shared" ca="1" si="58"/>
        <v>5</v>
      </c>
      <c r="J99" s="475">
        <f t="shared" ca="1" si="58"/>
        <v>5</v>
      </c>
      <c r="K99" s="475">
        <f t="shared" ca="1" si="58"/>
        <v>5</v>
      </c>
      <c r="L99" s="475">
        <f t="shared" ca="1" si="58"/>
        <v>6</v>
      </c>
      <c r="M99" s="475">
        <f t="shared" ca="1" si="58"/>
        <v>6</v>
      </c>
      <c r="N99" s="475">
        <f t="shared" ca="1" si="58"/>
        <v>6</v>
      </c>
      <c r="O99" s="475">
        <f t="shared" ca="1" si="58"/>
        <v>6</v>
      </c>
      <c r="P99" s="475">
        <f t="shared" ca="1" si="58"/>
        <v>6</v>
      </c>
      <c r="Q99" s="478">
        <f t="shared" ca="1" si="58"/>
        <v>6</v>
      </c>
      <c r="R99" s="475">
        <f t="shared" ca="1" si="58"/>
        <v>6</v>
      </c>
      <c r="S99" s="475">
        <f t="shared" ca="1" si="58"/>
        <v>7</v>
      </c>
      <c r="T99" s="475">
        <f t="shared" ca="1" si="58"/>
        <v>8</v>
      </c>
      <c r="U99" s="475">
        <f t="shared" ca="1" si="58"/>
        <v>8</v>
      </c>
      <c r="V99" s="475">
        <f t="shared" ca="1" si="58"/>
        <v>8</v>
      </c>
      <c r="W99" s="475">
        <f t="shared" ca="1" si="58"/>
        <v>8</v>
      </c>
      <c r="X99" s="475">
        <f t="shared" ca="1" si="58"/>
        <v>7</v>
      </c>
      <c r="Y99" s="475">
        <f t="shared" ca="1" si="58"/>
        <v>7</v>
      </c>
      <c r="Z99" s="475">
        <f t="shared" ca="1" si="58"/>
        <v>7</v>
      </c>
      <c r="AA99" s="475">
        <f t="shared" si="58"/>
        <v>8</v>
      </c>
      <c r="AB99" s="479">
        <f>COUNTIFS('Combined Employee Worksheet'!$H:$H,"Active",'Combined Employee Worksheet'!$D:$D,'Adj. Employee Retention'!B93)</f>
        <v>8</v>
      </c>
      <c r="AC99" s="417"/>
      <c r="AD99" s="417"/>
      <c r="AE99" s="417"/>
    </row>
    <row r="100" spans="1:31" ht="3.95" customHeight="1">
      <c r="A100" s="417"/>
      <c r="B100" s="480"/>
      <c r="C100" s="481"/>
      <c r="D100" s="481"/>
      <c r="E100" s="417"/>
      <c r="F100" s="481"/>
      <c r="G100" s="417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501"/>
      <c r="AC100" s="417"/>
      <c r="AD100" s="417"/>
      <c r="AE100" s="417"/>
    </row>
    <row r="101" spans="1:31" ht="12" customHeight="1">
      <c r="A101" s="417"/>
      <c r="B101" s="487" t="s">
        <v>1817</v>
      </c>
      <c r="C101" s="502">
        <f ca="1">AVERAGE(C96,C99)</f>
        <v>6</v>
      </c>
      <c r="D101" s="503">
        <f ca="1">AVERAGE(D96,D99)</f>
        <v>7.5</v>
      </c>
      <c r="E101" s="417"/>
      <c r="F101" s="504">
        <f ca="1">AVERAGE(F96,F99)</f>
        <v>7</v>
      </c>
      <c r="G101" s="417"/>
      <c r="H101" s="505">
        <f t="shared" ref="H101:AB101" ca="1" si="59">AVERAGE(H96,H99)</f>
        <v>5</v>
      </c>
      <c r="I101" s="502">
        <f t="shared" ca="1" si="59"/>
        <v>5</v>
      </c>
      <c r="J101" s="502">
        <f t="shared" ca="1" si="59"/>
        <v>5</v>
      </c>
      <c r="K101" s="502">
        <f t="shared" ca="1" si="59"/>
        <v>5</v>
      </c>
      <c r="L101" s="502">
        <f t="shared" ca="1" si="59"/>
        <v>5.5</v>
      </c>
      <c r="M101" s="502">
        <f t="shared" ca="1" si="59"/>
        <v>6</v>
      </c>
      <c r="N101" s="502">
        <f t="shared" ca="1" si="59"/>
        <v>6</v>
      </c>
      <c r="O101" s="502">
        <f t="shared" ca="1" si="59"/>
        <v>6</v>
      </c>
      <c r="P101" s="502">
        <f t="shared" ca="1" si="59"/>
        <v>6</v>
      </c>
      <c r="Q101" s="505">
        <f t="shared" ca="1" si="59"/>
        <v>6</v>
      </c>
      <c r="R101" s="502">
        <f t="shared" ca="1" si="59"/>
        <v>6</v>
      </c>
      <c r="S101" s="502">
        <f t="shared" ca="1" si="59"/>
        <v>6.5</v>
      </c>
      <c r="T101" s="502">
        <f t="shared" ca="1" si="59"/>
        <v>7.5</v>
      </c>
      <c r="U101" s="502">
        <f t="shared" ca="1" si="59"/>
        <v>8</v>
      </c>
      <c r="V101" s="502">
        <f t="shared" ca="1" si="59"/>
        <v>8</v>
      </c>
      <c r="W101" s="502">
        <f t="shared" ca="1" si="59"/>
        <v>8</v>
      </c>
      <c r="X101" s="502">
        <f t="shared" ca="1" si="59"/>
        <v>7.5</v>
      </c>
      <c r="Y101" s="502">
        <f t="shared" ca="1" si="59"/>
        <v>7</v>
      </c>
      <c r="Z101" s="502">
        <f t="shared" ca="1" si="59"/>
        <v>7</v>
      </c>
      <c r="AA101" s="502">
        <f t="shared" ca="1" si="59"/>
        <v>7.5</v>
      </c>
      <c r="AB101" s="503">
        <f t="shared" si="59"/>
        <v>8</v>
      </c>
      <c r="AC101" s="417"/>
      <c r="AD101" s="417"/>
      <c r="AE101" s="417"/>
    </row>
    <row r="102" spans="1:31" ht="12" customHeight="1">
      <c r="A102" s="417"/>
      <c r="B102" s="493" t="s">
        <v>1816</v>
      </c>
      <c r="C102" s="506">
        <f ca="1">C94/C101</f>
        <v>27.083333333333332</v>
      </c>
      <c r="D102" s="507">
        <f ca="1">D94/D101</f>
        <v>23.933333333333334</v>
      </c>
      <c r="E102" s="470"/>
      <c r="F102" s="508">
        <f ca="1">F94/F101</f>
        <v>25.428571428571427</v>
      </c>
      <c r="G102" s="470"/>
      <c r="H102" s="509">
        <f t="shared" ref="H102:AB102" ca="1" si="60">H94/H101</f>
        <v>29.2</v>
      </c>
      <c r="I102" s="506">
        <f t="shared" ca="1" si="60"/>
        <v>29.5</v>
      </c>
      <c r="J102" s="506">
        <f t="shared" ca="1" si="60"/>
        <v>30.2</v>
      </c>
      <c r="K102" s="506">
        <f t="shared" ca="1" si="60"/>
        <v>31.3</v>
      </c>
      <c r="L102" s="506">
        <f t="shared" ca="1" si="60"/>
        <v>29.454545454545453</v>
      </c>
      <c r="M102" s="506">
        <f t="shared" ca="1" si="60"/>
        <v>27.5</v>
      </c>
      <c r="N102" s="506">
        <f t="shared" ca="1" si="60"/>
        <v>27.833333333333332</v>
      </c>
      <c r="O102" s="506">
        <f t="shared" ca="1" si="60"/>
        <v>28.666666666666668</v>
      </c>
      <c r="P102" s="506">
        <f t="shared" ca="1" si="60"/>
        <v>29.333333333333332</v>
      </c>
      <c r="Q102" s="509">
        <f t="shared" ca="1" si="60"/>
        <v>29.916666666666668</v>
      </c>
      <c r="R102" s="506">
        <f t="shared" ca="1" si="60"/>
        <v>30.25</v>
      </c>
      <c r="S102" s="506">
        <f t="shared" ca="1" si="60"/>
        <v>27.76923076923077</v>
      </c>
      <c r="T102" s="506">
        <f t="shared" ca="1" si="60"/>
        <v>24.4</v>
      </c>
      <c r="U102" s="506">
        <f t="shared" ca="1" si="60"/>
        <v>23.6875</v>
      </c>
      <c r="V102" s="506">
        <f t="shared" ca="1" si="60"/>
        <v>24.0625</v>
      </c>
      <c r="W102" s="506">
        <f t="shared" ca="1" si="60"/>
        <v>24.375</v>
      </c>
      <c r="X102" s="506">
        <f t="shared" ca="1" si="60"/>
        <v>25.8</v>
      </c>
      <c r="Y102" s="506">
        <f t="shared" ca="1" si="60"/>
        <v>27</v>
      </c>
      <c r="Z102" s="506">
        <f t="shared" ca="1" si="60"/>
        <v>25.928571428571427</v>
      </c>
      <c r="AA102" s="506">
        <f t="shared" ca="1" si="60"/>
        <v>23.266666666666666</v>
      </c>
      <c r="AB102" s="507">
        <f t="shared" si="60"/>
        <v>22.125</v>
      </c>
      <c r="AC102" s="417"/>
      <c r="AD102" s="417"/>
      <c r="AE102" s="417"/>
    </row>
    <row r="103" spans="1:31" ht="3.95" customHeight="1">
      <c r="A103" s="417"/>
      <c r="B103" s="480"/>
      <c r="C103" s="481"/>
      <c r="D103" s="481"/>
      <c r="E103" s="417"/>
      <c r="F103" s="481"/>
      <c r="G103" s="417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2"/>
      <c r="AA103" s="482"/>
      <c r="AB103" s="482"/>
      <c r="AC103" s="417"/>
      <c r="AD103" s="417"/>
      <c r="AE103" s="417"/>
    </row>
    <row r="104" spans="1:31" ht="12" customHeight="1">
      <c r="A104" s="417"/>
      <c r="B104" s="487" t="s">
        <v>1813</v>
      </c>
      <c r="C104" s="488">
        <f ca="1">(C97+C96)/C96-1</f>
        <v>0.39999999999999991</v>
      </c>
      <c r="D104" s="489">
        <f ca="1">(D97+D96)/D96-1</f>
        <v>0.28571428571428581</v>
      </c>
      <c r="E104" s="490"/>
      <c r="F104" s="491">
        <f ca="1">(F97+F96)/F96-1</f>
        <v>0.5</v>
      </c>
      <c r="G104" s="417"/>
      <c r="H104" s="492">
        <f t="shared" ref="H104:AB104" ca="1" si="61">(H97+H96)/H96-1</f>
        <v>0</v>
      </c>
      <c r="I104" s="488">
        <f t="shared" ca="1" si="61"/>
        <v>0</v>
      </c>
      <c r="J104" s="488">
        <f t="shared" ca="1" si="61"/>
        <v>0</v>
      </c>
      <c r="K104" s="488">
        <f t="shared" ca="1" si="61"/>
        <v>0</v>
      </c>
      <c r="L104" s="488">
        <f t="shared" ca="1" si="61"/>
        <v>0.19999999999999996</v>
      </c>
      <c r="M104" s="488">
        <f t="shared" ca="1" si="61"/>
        <v>0</v>
      </c>
      <c r="N104" s="488">
        <f t="shared" ca="1" si="61"/>
        <v>0</v>
      </c>
      <c r="O104" s="488">
        <f t="shared" ca="1" si="61"/>
        <v>0</v>
      </c>
      <c r="P104" s="488">
        <f t="shared" ca="1" si="61"/>
        <v>0</v>
      </c>
      <c r="Q104" s="492">
        <f t="shared" ca="1" si="61"/>
        <v>0</v>
      </c>
      <c r="R104" s="488">
        <f t="shared" ca="1" si="61"/>
        <v>0</v>
      </c>
      <c r="S104" s="488">
        <f t="shared" ca="1" si="61"/>
        <v>0.16666666666666674</v>
      </c>
      <c r="T104" s="488">
        <f t="shared" ca="1" si="61"/>
        <v>0.14285714285714279</v>
      </c>
      <c r="U104" s="488">
        <f t="shared" ca="1" si="61"/>
        <v>0</v>
      </c>
      <c r="V104" s="488">
        <f t="shared" ca="1" si="61"/>
        <v>0</v>
      </c>
      <c r="W104" s="488">
        <f t="shared" ca="1" si="61"/>
        <v>0</v>
      </c>
      <c r="X104" s="488">
        <f t="shared" ca="1" si="61"/>
        <v>0</v>
      </c>
      <c r="Y104" s="488">
        <f t="shared" ca="1" si="61"/>
        <v>0</v>
      </c>
      <c r="Z104" s="488">
        <f t="shared" ca="1" si="61"/>
        <v>0</v>
      </c>
      <c r="AA104" s="488">
        <f t="shared" ca="1" si="61"/>
        <v>0.14285714285714279</v>
      </c>
      <c r="AB104" s="489">
        <f t="shared" si="61"/>
        <v>0</v>
      </c>
      <c r="AC104" s="417"/>
      <c r="AD104" s="417"/>
      <c r="AE104" s="417"/>
    </row>
    <row r="105" spans="1:31">
      <c r="A105" s="417"/>
      <c r="B105" s="493" t="s">
        <v>1812</v>
      </c>
      <c r="C105" s="494">
        <f ca="1">(C98+C101)/C101-1</f>
        <v>0</v>
      </c>
      <c r="D105" s="495">
        <f ca="1">(D98+D101)/D101-1</f>
        <v>-0.1333333333333333</v>
      </c>
      <c r="E105" s="490"/>
      <c r="F105" s="496">
        <f ca="1">(F98+F101)/F101-1</f>
        <v>-0.1428571428571429</v>
      </c>
      <c r="G105" s="417"/>
      <c r="H105" s="497">
        <f t="shared" ref="H105:AB105" ca="1" si="62">(H98+H101)/H101-1</f>
        <v>0</v>
      </c>
      <c r="I105" s="494">
        <f t="shared" ca="1" si="62"/>
        <v>0</v>
      </c>
      <c r="J105" s="494">
        <f t="shared" ca="1" si="62"/>
        <v>0</v>
      </c>
      <c r="K105" s="494">
        <f t="shared" ca="1" si="62"/>
        <v>0</v>
      </c>
      <c r="L105" s="494">
        <f t="shared" ca="1" si="62"/>
        <v>0</v>
      </c>
      <c r="M105" s="494">
        <f t="shared" ca="1" si="62"/>
        <v>0</v>
      </c>
      <c r="N105" s="494">
        <f t="shared" ca="1" si="62"/>
        <v>0</v>
      </c>
      <c r="O105" s="494">
        <f t="shared" ca="1" si="62"/>
        <v>0</v>
      </c>
      <c r="P105" s="494">
        <f t="shared" ca="1" si="62"/>
        <v>0</v>
      </c>
      <c r="Q105" s="497">
        <f t="shared" ca="1" si="62"/>
        <v>0</v>
      </c>
      <c r="R105" s="494">
        <f t="shared" ca="1" si="62"/>
        <v>0</v>
      </c>
      <c r="S105" s="494">
        <f t="shared" ca="1" si="62"/>
        <v>0</v>
      </c>
      <c r="T105" s="494">
        <f t="shared" ca="1" si="62"/>
        <v>0</v>
      </c>
      <c r="U105" s="494">
        <f t="shared" ca="1" si="62"/>
        <v>0</v>
      </c>
      <c r="V105" s="494">
        <f t="shared" ca="1" si="62"/>
        <v>0</v>
      </c>
      <c r="W105" s="494">
        <f t="shared" ca="1" si="62"/>
        <v>0</v>
      </c>
      <c r="X105" s="494">
        <f t="shared" ca="1" si="62"/>
        <v>-0.1333333333333333</v>
      </c>
      <c r="Y105" s="494">
        <f t="shared" ca="1" si="62"/>
        <v>0</v>
      </c>
      <c r="Z105" s="494">
        <f t="shared" ca="1" si="62"/>
        <v>0</v>
      </c>
      <c r="AA105" s="494">
        <f t="shared" ca="1" si="62"/>
        <v>0</v>
      </c>
      <c r="AB105" s="495">
        <f t="shared" si="62"/>
        <v>0</v>
      </c>
      <c r="AC105" s="417"/>
      <c r="AD105" s="417"/>
      <c r="AE105" s="417"/>
    </row>
    <row r="106" spans="1:31" ht="3.95" customHeight="1">
      <c r="A106" s="417"/>
      <c r="B106" s="480"/>
      <c r="C106" s="417"/>
      <c r="D106" s="417"/>
      <c r="E106" s="417"/>
      <c r="F106" s="417"/>
      <c r="G106" s="417"/>
      <c r="H106" s="417"/>
      <c r="I106" s="417"/>
      <c r="J106" s="417"/>
      <c r="K106" s="417"/>
      <c r="L106" s="417"/>
      <c r="M106" s="417"/>
      <c r="N106" s="417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</row>
    <row r="107" spans="1:31" ht="24">
      <c r="A107" s="417"/>
      <c r="B107" s="462" t="s">
        <v>1997</v>
      </c>
      <c r="C107" s="463" t="s">
        <v>4</v>
      </c>
      <c r="D107" s="463" t="s">
        <v>1317</v>
      </c>
      <c r="E107" s="464"/>
      <c r="F107" s="463" t="s">
        <v>1527</v>
      </c>
      <c r="G107" s="417"/>
      <c r="H107" s="465">
        <v>45658</v>
      </c>
      <c r="I107" s="465">
        <f t="shared" ref="I107:N107" si="63">EOMONTH(H107,0)+1</f>
        <v>45689</v>
      </c>
      <c r="J107" s="465">
        <f t="shared" si="63"/>
        <v>45717</v>
      </c>
      <c r="K107" s="465">
        <f t="shared" si="63"/>
        <v>45748</v>
      </c>
      <c r="L107" s="465">
        <f t="shared" si="63"/>
        <v>45778</v>
      </c>
      <c r="M107" s="465">
        <f t="shared" si="63"/>
        <v>45809</v>
      </c>
      <c r="N107" s="465">
        <f t="shared" si="63"/>
        <v>45839</v>
      </c>
      <c r="O107" s="465">
        <v>45870</v>
      </c>
      <c r="P107" s="465">
        <f t="shared" ref="P107:AB107" si="64">EOMONTH(O107,0)+1</f>
        <v>45901</v>
      </c>
      <c r="Q107" s="465">
        <f t="shared" si="64"/>
        <v>45931</v>
      </c>
      <c r="R107" s="465">
        <f t="shared" si="64"/>
        <v>45962</v>
      </c>
      <c r="S107" s="465">
        <f t="shared" si="64"/>
        <v>45992</v>
      </c>
      <c r="T107" s="465">
        <f t="shared" si="64"/>
        <v>46023</v>
      </c>
      <c r="U107" s="465">
        <f t="shared" si="64"/>
        <v>46054</v>
      </c>
      <c r="V107" s="465">
        <f t="shared" si="64"/>
        <v>46082</v>
      </c>
      <c r="W107" s="465">
        <f t="shared" si="64"/>
        <v>46113</v>
      </c>
      <c r="X107" s="465">
        <f t="shared" si="64"/>
        <v>46143</v>
      </c>
      <c r="Y107" s="465">
        <f t="shared" si="64"/>
        <v>46174</v>
      </c>
      <c r="Z107" s="465">
        <f t="shared" si="64"/>
        <v>46204</v>
      </c>
      <c r="AA107" s="465">
        <f t="shared" si="64"/>
        <v>46235</v>
      </c>
      <c r="AB107" s="465">
        <f t="shared" si="64"/>
        <v>46266</v>
      </c>
      <c r="AC107" s="466"/>
      <c r="AD107" s="417"/>
      <c r="AE107" s="466"/>
    </row>
    <row r="108" spans="1:31">
      <c r="A108" s="417"/>
      <c r="B108" s="498" t="s">
        <v>1507</v>
      </c>
      <c r="C108" s="468"/>
      <c r="D108" s="468"/>
      <c r="E108" s="469"/>
      <c r="F108" s="468"/>
      <c r="G108" s="417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9"/>
      <c r="AD108" s="469"/>
      <c r="AE108" s="469"/>
    </row>
    <row r="109" spans="1:31">
      <c r="A109" s="417"/>
      <c r="B109" s="469" t="s">
        <v>1818</v>
      </c>
      <c r="C109" s="510">
        <f>+C$19</f>
        <v>162.5</v>
      </c>
      <c r="D109" s="510">
        <f>+D$19</f>
        <v>179.5</v>
      </c>
      <c r="E109" s="469"/>
      <c r="F109" s="510">
        <f>+F$19</f>
        <v>178</v>
      </c>
      <c r="G109" s="417"/>
      <c r="H109" s="510">
        <f>+H$19</f>
        <v>146</v>
      </c>
      <c r="I109" s="510">
        <f t="shared" ref="I109:AB109" si="65">+I$19</f>
        <v>147.5</v>
      </c>
      <c r="J109" s="510">
        <f t="shared" si="65"/>
        <v>151</v>
      </c>
      <c r="K109" s="510">
        <f t="shared" si="65"/>
        <v>156.5</v>
      </c>
      <c r="L109" s="510">
        <f t="shared" si="65"/>
        <v>162</v>
      </c>
      <c r="M109" s="510">
        <f t="shared" si="65"/>
        <v>165</v>
      </c>
      <c r="N109" s="510">
        <f t="shared" si="65"/>
        <v>167</v>
      </c>
      <c r="O109" s="510">
        <f t="shared" si="65"/>
        <v>172</v>
      </c>
      <c r="P109" s="510">
        <f t="shared" si="65"/>
        <v>176</v>
      </c>
      <c r="Q109" s="510">
        <f t="shared" si="65"/>
        <v>179.5</v>
      </c>
      <c r="R109" s="510">
        <f t="shared" si="65"/>
        <v>181.5</v>
      </c>
      <c r="S109" s="510">
        <f t="shared" si="65"/>
        <v>180.5</v>
      </c>
      <c r="T109" s="510">
        <f t="shared" si="65"/>
        <v>183</v>
      </c>
      <c r="U109" s="510">
        <f t="shared" si="65"/>
        <v>189.5</v>
      </c>
      <c r="V109" s="510">
        <f t="shared" si="65"/>
        <v>192.5</v>
      </c>
      <c r="W109" s="510">
        <f t="shared" si="65"/>
        <v>195</v>
      </c>
      <c r="X109" s="510">
        <f t="shared" si="65"/>
        <v>193.5</v>
      </c>
      <c r="Y109" s="510">
        <f t="shared" si="65"/>
        <v>189</v>
      </c>
      <c r="Z109" s="510">
        <f t="shared" si="65"/>
        <v>181.5</v>
      </c>
      <c r="AA109" s="510">
        <f t="shared" si="65"/>
        <v>174.5</v>
      </c>
      <c r="AB109" s="510">
        <f t="shared" si="65"/>
        <v>177</v>
      </c>
      <c r="AC109" s="469"/>
      <c r="AD109" s="469"/>
      <c r="AE109" s="469"/>
    </row>
    <row r="110" spans="1:31" ht="3.95" customHeight="1">
      <c r="A110" s="417"/>
      <c r="B110" s="500"/>
      <c r="C110" s="469"/>
      <c r="D110" s="469"/>
      <c r="E110" s="469"/>
      <c r="F110" s="469"/>
      <c r="G110" s="417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  <c r="AC110" s="469"/>
      <c r="AD110" s="469"/>
      <c r="AE110" s="469"/>
    </row>
    <row r="111" spans="1:31">
      <c r="A111" s="417"/>
      <c r="B111" s="417" t="s">
        <v>1313</v>
      </c>
      <c r="C111" s="470">
        <f ca="1">+C114-C112-C113</f>
        <v>4</v>
      </c>
      <c r="D111" s="470">
        <f>+D114-D112-D113</f>
        <v>3</v>
      </c>
      <c r="E111" s="417"/>
      <c r="F111" s="470">
        <f>+F114-F112-F113</f>
        <v>3</v>
      </c>
      <c r="G111" s="417"/>
      <c r="H111" s="470">
        <f t="shared" ref="H111:AB111" ca="1" si="66">+H114-H112-H113</f>
        <v>4</v>
      </c>
      <c r="I111" s="470">
        <f t="shared" ca="1" si="66"/>
        <v>4</v>
      </c>
      <c r="J111" s="470">
        <f t="shared" si="66"/>
        <v>3</v>
      </c>
      <c r="K111" s="470">
        <f t="shared" si="66"/>
        <v>3</v>
      </c>
      <c r="L111" s="470">
        <f t="shared" si="66"/>
        <v>3</v>
      </c>
      <c r="M111" s="470">
        <f t="shared" si="66"/>
        <v>3</v>
      </c>
      <c r="N111" s="470">
        <f t="shared" si="66"/>
        <v>3</v>
      </c>
      <c r="O111" s="470">
        <f t="shared" si="66"/>
        <v>3</v>
      </c>
      <c r="P111" s="470">
        <f t="shared" si="66"/>
        <v>3</v>
      </c>
      <c r="Q111" s="470">
        <f t="shared" si="66"/>
        <v>3</v>
      </c>
      <c r="R111" s="470">
        <f t="shared" si="66"/>
        <v>3</v>
      </c>
      <c r="S111" s="470">
        <f t="shared" si="66"/>
        <v>3</v>
      </c>
      <c r="T111" s="470">
        <f t="shared" si="66"/>
        <v>3</v>
      </c>
      <c r="U111" s="470">
        <f t="shared" si="66"/>
        <v>3</v>
      </c>
      <c r="V111" s="470">
        <f t="shared" si="66"/>
        <v>3</v>
      </c>
      <c r="W111" s="470">
        <f t="shared" si="66"/>
        <v>3</v>
      </c>
      <c r="X111" s="470">
        <f t="shared" si="66"/>
        <v>3</v>
      </c>
      <c r="Y111" s="470">
        <f t="shared" si="66"/>
        <v>3</v>
      </c>
      <c r="Z111" s="470">
        <f t="shared" si="66"/>
        <v>3</v>
      </c>
      <c r="AA111" s="470">
        <f t="shared" si="66"/>
        <v>3</v>
      </c>
      <c r="AB111" s="470">
        <f t="shared" si="66"/>
        <v>3</v>
      </c>
      <c r="AC111" s="417"/>
      <c r="AD111" s="417"/>
      <c r="AE111" s="417"/>
    </row>
    <row r="112" spans="1:31">
      <c r="A112" s="417"/>
      <c r="B112" s="471" t="s">
        <v>1814</v>
      </c>
      <c r="C112" s="433">
        <f>SUM(H112:S112)</f>
        <v>0</v>
      </c>
      <c r="D112" s="433">
        <f>SUM(T112:AB112)</f>
        <v>0</v>
      </c>
      <c r="E112" s="417"/>
      <c r="F112" s="433">
        <f>SUM(Q112:AB112)</f>
        <v>0</v>
      </c>
      <c r="G112" s="417"/>
      <c r="H112" s="472">
        <f>COUNTIFS('Combined Employee Worksheet'!$I:$I,"&gt;="&amp;'Adj. Employee Retention'!H$5,'Combined Employee Worksheet'!$I:$I,"&lt;="&amp;'Adj. Employee Retention'!H$1,'Combined Employee Worksheet'!$D:$D,'Adj. Employee Retention'!$B108)-COUNTIFS('Combined Employee Worksheet'!$I:$I,"&gt;="&amp;'Adj. Employee Retention'!H$5,'Combined Employee Worksheet'!$I:$I,"&lt;="&amp;'Adj. Employee Retention'!H$1,'Combined Employee Worksheet'!$D:$D,'Adj. Employee Retention'!$B108,'Combined Employee Worksheet'!$K:$K,"&lt;="&amp;$C$138,'Combined Employee Worksheet'!$J:$J,"&lt;&gt;")</f>
        <v>0</v>
      </c>
      <c r="I112" s="472">
        <f>COUNTIFS('Combined Employee Worksheet'!$I:$I,"&gt;="&amp;'Adj. Employee Retention'!I$5,'Combined Employee Worksheet'!$I:$I,"&lt;="&amp;'Adj. Employee Retention'!I$1,'Combined Employee Worksheet'!$D:$D,'Adj. Employee Retention'!$B108)-COUNTIFS('Combined Employee Worksheet'!$I:$I,"&gt;="&amp;'Adj. Employee Retention'!I$5,'Combined Employee Worksheet'!$I:$I,"&lt;="&amp;'Adj. Employee Retention'!I$1,'Combined Employee Worksheet'!$D:$D,'Adj. Employee Retention'!$B108,'Combined Employee Worksheet'!$K:$K,"&lt;="&amp;$C$138,'Combined Employee Worksheet'!$J:$J,"&lt;&gt;")</f>
        <v>0</v>
      </c>
      <c r="J112" s="472">
        <f>COUNTIFS('Combined Employee Worksheet'!$I:$I,"&gt;="&amp;'Adj. Employee Retention'!J$5,'Combined Employee Worksheet'!$I:$I,"&lt;="&amp;'Adj. Employee Retention'!J$1,'Combined Employee Worksheet'!$D:$D,'Adj. Employee Retention'!$B108)-COUNTIFS('Combined Employee Worksheet'!$I:$I,"&gt;="&amp;'Adj. Employee Retention'!J$5,'Combined Employee Worksheet'!$I:$I,"&lt;="&amp;'Adj. Employee Retention'!J$1,'Combined Employee Worksheet'!$D:$D,'Adj. Employee Retention'!$B108,'Combined Employee Worksheet'!$K:$K,"&lt;="&amp;$C$138,'Combined Employee Worksheet'!$J:$J,"&lt;&gt;")</f>
        <v>0</v>
      </c>
      <c r="K112" s="472">
        <f>COUNTIFS('Combined Employee Worksheet'!$I:$I,"&gt;="&amp;'Adj. Employee Retention'!K$5,'Combined Employee Worksheet'!$I:$I,"&lt;="&amp;'Adj. Employee Retention'!K$1,'Combined Employee Worksheet'!$D:$D,'Adj. Employee Retention'!$B108)-COUNTIFS('Combined Employee Worksheet'!$I:$I,"&gt;="&amp;'Adj. Employee Retention'!K$5,'Combined Employee Worksheet'!$I:$I,"&lt;="&amp;'Adj. Employee Retention'!K$1,'Combined Employee Worksheet'!$D:$D,'Adj. Employee Retention'!$B108,'Combined Employee Worksheet'!$K:$K,"&lt;="&amp;$C$138,'Combined Employee Worksheet'!$J:$J,"&lt;&gt;")</f>
        <v>0</v>
      </c>
      <c r="L112" s="472">
        <f>COUNTIFS('Combined Employee Worksheet'!$I:$I,"&gt;="&amp;'Adj. Employee Retention'!L$5,'Combined Employee Worksheet'!$I:$I,"&lt;="&amp;'Adj. Employee Retention'!L$1,'Combined Employee Worksheet'!$D:$D,'Adj. Employee Retention'!$B108)-COUNTIFS('Combined Employee Worksheet'!$I:$I,"&gt;="&amp;'Adj. Employee Retention'!L$5,'Combined Employee Worksheet'!$I:$I,"&lt;="&amp;'Adj. Employee Retention'!L$1,'Combined Employee Worksheet'!$D:$D,'Adj. Employee Retention'!$B108,'Combined Employee Worksheet'!$K:$K,"&lt;="&amp;$C$138,'Combined Employee Worksheet'!$J:$J,"&lt;&gt;")</f>
        <v>0</v>
      </c>
      <c r="M112" s="472">
        <f>COUNTIFS('Combined Employee Worksheet'!$I:$I,"&gt;="&amp;'Adj. Employee Retention'!M$5,'Combined Employee Worksheet'!$I:$I,"&lt;="&amp;'Adj. Employee Retention'!M$1,'Combined Employee Worksheet'!$D:$D,'Adj. Employee Retention'!$B108)-COUNTIFS('Combined Employee Worksheet'!$I:$I,"&gt;="&amp;'Adj. Employee Retention'!M$5,'Combined Employee Worksheet'!$I:$I,"&lt;="&amp;'Adj. Employee Retention'!M$1,'Combined Employee Worksheet'!$D:$D,'Adj. Employee Retention'!$B108,'Combined Employee Worksheet'!$K:$K,"&lt;="&amp;$C$138,'Combined Employee Worksheet'!$J:$J,"&lt;&gt;")</f>
        <v>0</v>
      </c>
      <c r="N112" s="472">
        <f>COUNTIFS('Combined Employee Worksheet'!$I:$I,"&gt;="&amp;'Adj. Employee Retention'!N$5,'Combined Employee Worksheet'!$I:$I,"&lt;="&amp;'Adj. Employee Retention'!N$1,'Combined Employee Worksheet'!$D:$D,'Adj. Employee Retention'!$B108)-COUNTIFS('Combined Employee Worksheet'!$I:$I,"&gt;="&amp;'Adj. Employee Retention'!N$5,'Combined Employee Worksheet'!$I:$I,"&lt;="&amp;'Adj. Employee Retention'!N$1,'Combined Employee Worksheet'!$D:$D,'Adj. Employee Retention'!$B108,'Combined Employee Worksheet'!$K:$K,"&lt;="&amp;$C$138,'Combined Employee Worksheet'!$J:$J,"&lt;&gt;")</f>
        <v>0</v>
      </c>
      <c r="O112" s="472">
        <f>COUNTIFS('Combined Employee Worksheet'!$I:$I,"&gt;="&amp;'Adj. Employee Retention'!O$5,'Combined Employee Worksheet'!$I:$I,"&lt;="&amp;'Adj. Employee Retention'!O$1,'Combined Employee Worksheet'!$D:$D,'Adj. Employee Retention'!$B108)-COUNTIFS('Combined Employee Worksheet'!$I:$I,"&gt;="&amp;'Adj. Employee Retention'!O$5,'Combined Employee Worksheet'!$I:$I,"&lt;="&amp;'Adj. Employee Retention'!O$1,'Combined Employee Worksheet'!$D:$D,'Adj. Employee Retention'!$B108,'Combined Employee Worksheet'!$K:$K,"&lt;="&amp;$C$138,'Combined Employee Worksheet'!$J:$J,"&lt;&gt;")</f>
        <v>0</v>
      </c>
      <c r="P112" s="472">
        <f>COUNTIFS('Combined Employee Worksheet'!$I:$I,"&gt;="&amp;'Adj. Employee Retention'!P$5,'Combined Employee Worksheet'!$I:$I,"&lt;="&amp;'Adj. Employee Retention'!P$1,'Combined Employee Worksheet'!$D:$D,'Adj. Employee Retention'!$B108)-COUNTIFS('Combined Employee Worksheet'!$I:$I,"&gt;="&amp;'Adj. Employee Retention'!P$5,'Combined Employee Worksheet'!$I:$I,"&lt;="&amp;'Adj. Employee Retention'!P$1,'Combined Employee Worksheet'!$D:$D,'Adj. Employee Retention'!$B108,'Combined Employee Worksheet'!$K:$K,"&lt;="&amp;$C$138,'Combined Employee Worksheet'!$J:$J,"&lt;&gt;")</f>
        <v>0</v>
      </c>
      <c r="Q112" s="472">
        <f>COUNTIFS('Combined Employee Worksheet'!$I:$I,"&gt;="&amp;'Adj. Employee Retention'!Q$5,'Combined Employee Worksheet'!$I:$I,"&lt;="&amp;'Adj. Employee Retention'!Q$1,'Combined Employee Worksheet'!$D:$D,'Adj. Employee Retention'!$B108)-COUNTIFS('Combined Employee Worksheet'!$I:$I,"&gt;="&amp;'Adj. Employee Retention'!Q$5,'Combined Employee Worksheet'!$I:$I,"&lt;="&amp;'Adj. Employee Retention'!Q$1,'Combined Employee Worksheet'!$D:$D,'Adj. Employee Retention'!$B108,'Combined Employee Worksheet'!$K:$K,"&lt;="&amp;$C$138,'Combined Employee Worksheet'!$J:$J,"&lt;&gt;")</f>
        <v>0</v>
      </c>
      <c r="R112" s="472">
        <f>COUNTIFS('Combined Employee Worksheet'!$I:$I,"&gt;="&amp;'Adj. Employee Retention'!R$5,'Combined Employee Worksheet'!$I:$I,"&lt;="&amp;'Adj. Employee Retention'!R$1,'Combined Employee Worksheet'!$D:$D,'Adj. Employee Retention'!$B108)-COUNTIFS('Combined Employee Worksheet'!$I:$I,"&gt;="&amp;'Adj. Employee Retention'!R$5,'Combined Employee Worksheet'!$I:$I,"&lt;="&amp;'Adj. Employee Retention'!R$1,'Combined Employee Worksheet'!$D:$D,'Adj. Employee Retention'!$B108,'Combined Employee Worksheet'!$K:$K,"&lt;="&amp;$C$138,'Combined Employee Worksheet'!$J:$J,"&lt;&gt;")</f>
        <v>0</v>
      </c>
      <c r="S112" s="472">
        <f>COUNTIFS('Combined Employee Worksheet'!$I:$I,"&gt;="&amp;'Adj. Employee Retention'!S$5,'Combined Employee Worksheet'!$I:$I,"&lt;="&amp;'Adj. Employee Retention'!S$1,'Combined Employee Worksheet'!$D:$D,'Adj. Employee Retention'!$B108)-COUNTIFS('Combined Employee Worksheet'!$I:$I,"&gt;="&amp;'Adj. Employee Retention'!S$5,'Combined Employee Worksheet'!$I:$I,"&lt;="&amp;'Adj. Employee Retention'!S$1,'Combined Employee Worksheet'!$D:$D,'Adj. Employee Retention'!$B108,'Combined Employee Worksheet'!$K:$K,"&lt;="&amp;$C$138,'Combined Employee Worksheet'!$J:$J,"&lt;&gt;")</f>
        <v>0</v>
      </c>
      <c r="T112" s="472">
        <f>COUNTIFS('Combined Employee Worksheet'!$I:$I,"&gt;="&amp;'Adj. Employee Retention'!T$5,'Combined Employee Worksheet'!$I:$I,"&lt;="&amp;'Adj. Employee Retention'!T$1,'Combined Employee Worksheet'!$D:$D,'Adj. Employee Retention'!$B108)-COUNTIFS('Combined Employee Worksheet'!$I:$I,"&gt;="&amp;'Adj. Employee Retention'!T$5,'Combined Employee Worksheet'!$I:$I,"&lt;="&amp;'Adj. Employee Retention'!T$1,'Combined Employee Worksheet'!$D:$D,'Adj. Employee Retention'!$B108,'Combined Employee Worksheet'!$K:$K,"&lt;="&amp;$C$138,'Combined Employee Worksheet'!$J:$J,"&lt;&gt;")</f>
        <v>0</v>
      </c>
      <c r="U112" s="472">
        <f>COUNTIFS('Combined Employee Worksheet'!$I:$I,"&gt;="&amp;'Adj. Employee Retention'!U$5,'Combined Employee Worksheet'!$I:$I,"&lt;="&amp;'Adj. Employee Retention'!U$1,'Combined Employee Worksheet'!$D:$D,'Adj. Employee Retention'!$B108)-COUNTIFS('Combined Employee Worksheet'!$I:$I,"&gt;="&amp;'Adj. Employee Retention'!U$5,'Combined Employee Worksheet'!$I:$I,"&lt;="&amp;'Adj. Employee Retention'!U$1,'Combined Employee Worksheet'!$D:$D,'Adj. Employee Retention'!$B108,'Combined Employee Worksheet'!$K:$K,"&lt;="&amp;$C$138,'Combined Employee Worksheet'!$J:$J,"&lt;&gt;")</f>
        <v>0</v>
      </c>
      <c r="V112" s="472">
        <f>COUNTIFS('Combined Employee Worksheet'!$I:$I,"&gt;="&amp;'Adj. Employee Retention'!V$5,'Combined Employee Worksheet'!$I:$I,"&lt;="&amp;'Adj. Employee Retention'!V$1,'Combined Employee Worksheet'!$D:$D,'Adj. Employee Retention'!$B108)-COUNTIFS('Combined Employee Worksheet'!$I:$I,"&gt;="&amp;'Adj. Employee Retention'!V$5,'Combined Employee Worksheet'!$I:$I,"&lt;="&amp;'Adj. Employee Retention'!V$1,'Combined Employee Worksheet'!$D:$D,'Adj. Employee Retention'!$B108,'Combined Employee Worksheet'!$K:$K,"&lt;="&amp;$C$138,'Combined Employee Worksheet'!$J:$J,"&lt;&gt;")</f>
        <v>0</v>
      </c>
      <c r="W112" s="472">
        <f>COUNTIFS('Combined Employee Worksheet'!$I:$I,"&gt;="&amp;'Adj. Employee Retention'!W$5,'Combined Employee Worksheet'!$I:$I,"&lt;="&amp;'Adj. Employee Retention'!W$1,'Combined Employee Worksheet'!$D:$D,'Adj. Employee Retention'!$B108)-COUNTIFS('Combined Employee Worksheet'!$I:$I,"&gt;="&amp;'Adj. Employee Retention'!W$5,'Combined Employee Worksheet'!$I:$I,"&lt;="&amp;'Adj. Employee Retention'!W$1,'Combined Employee Worksheet'!$D:$D,'Adj. Employee Retention'!$B108,'Combined Employee Worksheet'!$K:$K,"&lt;="&amp;$C$138,'Combined Employee Worksheet'!$J:$J,"&lt;&gt;")</f>
        <v>0</v>
      </c>
      <c r="X112" s="472">
        <f>COUNTIFS('Combined Employee Worksheet'!$I:$I,"&gt;="&amp;'Adj. Employee Retention'!X$5,'Combined Employee Worksheet'!$I:$I,"&lt;="&amp;'Adj. Employee Retention'!X$1,'Combined Employee Worksheet'!$D:$D,'Adj. Employee Retention'!$B108)-COUNTIFS('Combined Employee Worksheet'!$I:$I,"&gt;="&amp;'Adj. Employee Retention'!X$5,'Combined Employee Worksheet'!$I:$I,"&lt;="&amp;'Adj. Employee Retention'!X$1,'Combined Employee Worksheet'!$D:$D,'Adj. Employee Retention'!$B108,'Combined Employee Worksheet'!$K:$K,"&lt;="&amp;$C$138,'Combined Employee Worksheet'!$J:$J,"&lt;&gt;")</f>
        <v>0</v>
      </c>
      <c r="Y112" s="472">
        <f>COUNTIFS('Combined Employee Worksheet'!$I:$I,"&gt;="&amp;'Adj. Employee Retention'!Y$5,'Combined Employee Worksheet'!$I:$I,"&lt;="&amp;'Adj. Employee Retention'!Y$1,'Combined Employee Worksheet'!$D:$D,'Adj. Employee Retention'!$B108)-COUNTIFS('Combined Employee Worksheet'!$I:$I,"&gt;="&amp;'Adj. Employee Retention'!Y$5,'Combined Employee Worksheet'!$I:$I,"&lt;="&amp;'Adj. Employee Retention'!Y$1,'Combined Employee Worksheet'!$D:$D,'Adj. Employee Retention'!$B108,'Combined Employee Worksheet'!$K:$K,"&lt;="&amp;$C$138,'Combined Employee Worksheet'!$J:$J,"&lt;&gt;")</f>
        <v>0</v>
      </c>
      <c r="Z112" s="472">
        <f>COUNTIFS('Combined Employee Worksheet'!$I:$I,"&gt;="&amp;'Adj. Employee Retention'!Z$5,'Combined Employee Worksheet'!$I:$I,"&lt;="&amp;'Adj. Employee Retention'!Z$1,'Combined Employee Worksheet'!$D:$D,'Adj. Employee Retention'!$B108)-COUNTIFS('Combined Employee Worksheet'!$I:$I,"&gt;="&amp;'Adj. Employee Retention'!Z$5,'Combined Employee Worksheet'!$I:$I,"&lt;="&amp;'Adj. Employee Retention'!Z$1,'Combined Employee Worksheet'!$D:$D,'Adj. Employee Retention'!$B108,'Combined Employee Worksheet'!$K:$K,"&lt;="&amp;$C$138,'Combined Employee Worksheet'!$J:$J,"&lt;&gt;")</f>
        <v>0</v>
      </c>
      <c r="AA112" s="472">
        <f>COUNTIFS('Combined Employee Worksheet'!$I:$I,"&gt;="&amp;'Adj. Employee Retention'!AA$5,'Combined Employee Worksheet'!$I:$I,"&lt;="&amp;'Adj. Employee Retention'!AA$1,'Combined Employee Worksheet'!$D:$D,'Adj. Employee Retention'!$B108)-COUNTIFS('Combined Employee Worksheet'!$I:$I,"&gt;="&amp;'Adj. Employee Retention'!AA$5,'Combined Employee Worksheet'!$I:$I,"&lt;="&amp;'Adj. Employee Retention'!AA$1,'Combined Employee Worksheet'!$D:$D,'Adj. Employee Retention'!$B108,'Combined Employee Worksheet'!$K:$K,"&lt;="&amp;$C$138,'Combined Employee Worksheet'!$J:$J,"&lt;&gt;")</f>
        <v>0</v>
      </c>
      <c r="AB112" s="472">
        <f>COUNTIFS('Combined Employee Worksheet'!$I:$I,"&gt;="&amp;'Adj. Employee Retention'!AB$5,'Combined Employee Worksheet'!$I:$I,"&lt;="&amp;'Adj. Employee Retention'!AB$1,'Combined Employee Worksheet'!$D:$D,'Adj. Employee Retention'!$B108)-COUNTIFS('Combined Employee Worksheet'!$I:$I,"&gt;="&amp;'Adj. Employee Retention'!AB$5,'Combined Employee Worksheet'!$I:$I,"&lt;="&amp;'Adj. Employee Retention'!AB$1,'Combined Employee Worksheet'!$D:$D,'Adj. Employee Retention'!$B108,'Combined Employee Worksheet'!$K:$K,"&lt;="&amp;$C$138,'Combined Employee Worksheet'!$J:$J,"&lt;&gt;")</f>
        <v>0</v>
      </c>
      <c r="AC112" s="417"/>
      <c r="AD112" s="417"/>
      <c r="AE112" s="417"/>
    </row>
    <row r="113" spans="1:31" ht="12" customHeight="1">
      <c r="A113" s="417"/>
      <c r="B113" s="471" t="s">
        <v>1815</v>
      </c>
      <c r="C113" s="433">
        <f ca="1">SUM(H113:S113)</f>
        <v>-1</v>
      </c>
      <c r="D113" s="433">
        <f>SUM(T113:AB113)</f>
        <v>0</v>
      </c>
      <c r="E113" s="417"/>
      <c r="F113" s="433">
        <f>SUM(Q113:AB113)</f>
        <v>0</v>
      </c>
      <c r="G113" s="417"/>
      <c r="H113" s="472">
        <f>-COUNTIFS('Combined Employee Worksheet'!$J:$J,"&gt;="&amp;'Adj. Employee Retention'!H$5,'Combined Employee Worksheet'!$J:$J,"&lt;="&amp;'Adj. Employee Retention'!H$1,'Combined Employee Worksheet'!$D:$D,'Adj. Employee Retention'!$B108,'Combined Employee Worksheet'!$K:$K,"&gt;"&amp;$C$138)</f>
        <v>0</v>
      </c>
      <c r="I113" s="472">
        <f ca="1">-COUNTIFS('Combined Employee Worksheet'!$J:$J,"&gt;="&amp;'Adj. Employee Retention'!I$5,'Combined Employee Worksheet'!$J:$J,"&lt;="&amp;'Adj. Employee Retention'!I$1,'Combined Employee Worksheet'!$D:$D,'Adj. Employee Retention'!$B108,'Combined Employee Worksheet'!$K:$K,"&gt;"&amp;$C$138)</f>
        <v>-1</v>
      </c>
      <c r="J113" s="472">
        <f>-COUNTIFS('Combined Employee Worksheet'!$J:$J,"&gt;="&amp;'Adj. Employee Retention'!J$5,'Combined Employee Worksheet'!$J:$J,"&lt;="&amp;'Adj. Employee Retention'!J$1,'Combined Employee Worksheet'!$D:$D,'Adj. Employee Retention'!$B108,'Combined Employee Worksheet'!$K:$K,"&gt;"&amp;$C$138)</f>
        <v>0</v>
      </c>
      <c r="K113" s="472">
        <f>-COUNTIFS('Combined Employee Worksheet'!$J:$J,"&gt;="&amp;'Adj. Employee Retention'!K$5,'Combined Employee Worksheet'!$J:$J,"&lt;="&amp;'Adj. Employee Retention'!K$1,'Combined Employee Worksheet'!$D:$D,'Adj. Employee Retention'!$B108,'Combined Employee Worksheet'!$K:$K,"&gt;"&amp;$C$138)</f>
        <v>0</v>
      </c>
      <c r="L113" s="472">
        <f>-COUNTIFS('Combined Employee Worksheet'!$J:$J,"&gt;="&amp;'Adj. Employee Retention'!L$5,'Combined Employee Worksheet'!$J:$J,"&lt;="&amp;'Adj. Employee Retention'!L$1,'Combined Employee Worksheet'!$D:$D,'Adj. Employee Retention'!$B108,'Combined Employee Worksheet'!$K:$K,"&gt;"&amp;$C$138)</f>
        <v>0</v>
      </c>
      <c r="M113" s="472">
        <f>-COUNTIFS('Combined Employee Worksheet'!$J:$J,"&gt;="&amp;'Adj. Employee Retention'!M$5,'Combined Employee Worksheet'!$J:$J,"&lt;="&amp;'Adj. Employee Retention'!M$1,'Combined Employee Worksheet'!$D:$D,'Adj. Employee Retention'!$B108,'Combined Employee Worksheet'!$K:$K,"&gt;"&amp;$C$138)</f>
        <v>0</v>
      </c>
      <c r="N113" s="472">
        <f>-COUNTIFS('Combined Employee Worksheet'!$J:$J,"&gt;="&amp;'Adj. Employee Retention'!N$5,'Combined Employee Worksheet'!$J:$J,"&lt;="&amp;'Adj. Employee Retention'!N$1,'Combined Employee Worksheet'!$D:$D,'Adj. Employee Retention'!$B108,'Combined Employee Worksheet'!$K:$K,"&gt;"&amp;$C$138)</f>
        <v>0</v>
      </c>
      <c r="O113" s="472">
        <f>-COUNTIFS('Combined Employee Worksheet'!$J:$J,"&gt;="&amp;'Adj. Employee Retention'!O$5,'Combined Employee Worksheet'!$J:$J,"&lt;="&amp;'Adj. Employee Retention'!O$1,'Combined Employee Worksheet'!$D:$D,'Adj. Employee Retention'!$B108,'Combined Employee Worksheet'!$K:$K,"&gt;"&amp;$C$138)</f>
        <v>0</v>
      </c>
      <c r="P113" s="472">
        <f>-COUNTIFS('Combined Employee Worksheet'!$J:$J,"&gt;="&amp;'Adj. Employee Retention'!P$5,'Combined Employee Worksheet'!$J:$J,"&lt;="&amp;'Adj. Employee Retention'!P$1,'Combined Employee Worksheet'!$D:$D,'Adj. Employee Retention'!$B108,'Combined Employee Worksheet'!$K:$K,"&gt;"&amp;$C$138)</f>
        <v>0</v>
      </c>
      <c r="Q113" s="472">
        <f>-COUNTIFS('Combined Employee Worksheet'!$J:$J,"&gt;="&amp;'Adj. Employee Retention'!Q$5,'Combined Employee Worksheet'!$J:$J,"&lt;="&amp;'Adj. Employee Retention'!Q$1,'Combined Employee Worksheet'!$D:$D,'Adj. Employee Retention'!$B108,'Combined Employee Worksheet'!$K:$K,"&gt;"&amp;$C$138)</f>
        <v>0</v>
      </c>
      <c r="R113" s="472">
        <f>-COUNTIFS('Combined Employee Worksheet'!$J:$J,"&gt;="&amp;'Adj. Employee Retention'!R$5,'Combined Employee Worksheet'!$J:$J,"&lt;="&amp;'Adj. Employee Retention'!R$1,'Combined Employee Worksheet'!$D:$D,'Adj. Employee Retention'!$B108,'Combined Employee Worksheet'!$K:$K,"&gt;"&amp;$C$138)</f>
        <v>0</v>
      </c>
      <c r="S113" s="472">
        <f>-COUNTIFS('Combined Employee Worksheet'!$J:$J,"&gt;="&amp;'Adj. Employee Retention'!S$5,'Combined Employee Worksheet'!$J:$J,"&lt;="&amp;'Adj. Employee Retention'!S$1,'Combined Employee Worksheet'!$D:$D,'Adj. Employee Retention'!$B108,'Combined Employee Worksheet'!$K:$K,"&gt;"&amp;$C$138)</f>
        <v>0</v>
      </c>
      <c r="T113" s="472">
        <f>-COUNTIFS('Combined Employee Worksheet'!$J:$J,"&gt;="&amp;'Adj. Employee Retention'!T$5,'Combined Employee Worksheet'!$J:$J,"&lt;="&amp;'Adj. Employee Retention'!T$1,'Combined Employee Worksheet'!$D:$D,'Adj. Employee Retention'!$B108,'Combined Employee Worksheet'!$K:$K,"&gt;"&amp;$C$138)</f>
        <v>0</v>
      </c>
      <c r="U113" s="472">
        <f>-COUNTIFS('Combined Employee Worksheet'!$J:$J,"&gt;="&amp;'Adj. Employee Retention'!U$5,'Combined Employee Worksheet'!$J:$J,"&lt;="&amp;'Adj. Employee Retention'!U$1,'Combined Employee Worksheet'!$D:$D,'Adj. Employee Retention'!$B108,'Combined Employee Worksheet'!$K:$K,"&gt;"&amp;$C$138)</f>
        <v>0</v>
      </c>
      <c r="V113" s="472">
        <f>-COUNTIFS('Combined Employee Worksheet'!$J:$J,"&gt;="&amp;'Adj. Employee Retention'!V$5,'Combined Employee Worksheet'!$J:$J,"&lt;="&amp;'Adj. Employee Retention'!V$1,'Combined Employee Worksheet'!$D:$D,'Adj. Employee Retention'!$B108,'Combined Employee Worksheet'!$K:$K,"&gt;"&amp;$C$138)</f>
        <v>0</v>
      </c>
      <c r="W113" s="472">
        <f>-COUNTIFS('Combined Employee Worksheet'!$J:$J,"&gt;="&amp;'Adj. Employee Retention'!W$5,'Combined Employee Worksheet'!$J:$J,"&lt;="&amp;'Adj. Employee Retention'!W$1,'Combined Employee Worksheet'!$D:$D,'Adj. Employee Retention'!$B108,'Combined Employee Worksheet'!$K:$K,"&gt;"&amp;$C$138)</f>
        <v>0</v>
      </c>
      <c r="X113" s="472">
        <f>-COUNTIFS('Combined Employee Worksheet'!$J:$J,"&gt;="&amp;'Adj. Employee Retention'!X$5,'Combined Employee Worksheet'!$J:$J,"&lt;="&amp;'Adj. Employee Retention'!X$1,'Combined Employee Worksheet'!$D:$D,'Adj. Employee Retention'!$B108,'Combined Employee Worksheet'!$K:$K,"&gt;"&amp;$C$138)</f>
        <v>0</v>
      </c>
      <c r="Y113" s="472">
        <f>-COUNTIFS('Combined Employee Worksheet'!$J:$J,"&gt;="&amp;'Adj. Employee Retention'!Y$5,'Combined Employee Worksheet'!$J:$J,"&lt;="&amp;'Adj. Employee Retention'!Y$1,'Combined Employee Worksheet'!$D:$D,'Adj. Employee Retention'!$B108,'Combined Employee Worksheet'!$K:$K,"&gt;"&amp;$C$138)</f>
        <v>0</v>
      </c>
      <c r="Z113" s="472">
        <f>-COUNTIFS('Combined Employee Worksheet'!$J:$J,"&gt;="&amp;'Adj. Employee Retention'!Z$5,'Combined Employee Worksheet'!$J:$J,"&lt;="&amp;'Adj. Employee Retention'!Z$1,'Combined Employee Worksheet'!$D:$D,'Adj. Employee Retention'!$B108,'Combined Employee Worksheet'!$K:$K,"&gt;"&amp;$C$138)</f>
        <v>0</v>
      </c>
      <c r="AA113" s="472">
        <f>-COUNTIFS('Combined Employee Worksheet'!$J:$J,"&gt;="&amp;'Adj. Employee Retention'!AA$5,'Combined Employee Worksheet'!$J:$J,"&lt;="&amp;'Adj. Employee Retention'!AA$1,'Combined Employee Worksheet'!$D:$D,'Adj. Employee Retention'!$B108,'Combined Employee Worksheet'!$K:$K,"&gt;"&amp;$C$138)</f>
        <v>0</v>
      </c>
      <c r="AB113" s="472">
        <f>-COUNTIFS('Combined Employee Worksheet'!$J:$J,"&gt;="&amp;'Adj. Employee Retention'!AB$5,'Combined Employee Worksheet'!$J:$J,"&lt;="&amp;'Adj. Employee Retention'!AB$1,'Combined Employee Worksheet'!$D:$D,'Adj. Employee Retention'!$B108,'Combined Employee Worksheet'!$K:$K,"&gt;"&amp;$C$138)</f>
        <v>0</v>
      </c>
      <c r="AC113" s="417"/>
      <c r="AD113" s="417"/>
      <c r="AE113" s="417"/>
    </row>
    <row r="114" spans="1:31" ht="12" customHeight="1">
      <c r="A114" s="417"/>
      <c r="B114" s="474" t="s">
        <v>1315</v>
      </c>
      <c r="C114" s="475">
        <f>+D111</f>
        <v>3</v>
      </c>
      <c r="D114" s="476">
        <f>+$AB114</f>
        <v>3</v>
      </c>
      <c r="E114" s="417"/>
      <c r="F114" s="477">
        <f>+$AB114</f>
        <v>3</v>
      </c>
      <c r="G114" s="417"/>
      <c r="H114" s="478">
        <f t="shared" ref="H114:AA114" ca="1" si="67">+I111</f>
        <v>4</v>
      </c>
      <c r="I114" s="475">
        <f t="shared" si="67"/>
        <v>3</v>
      </c>
      <c r="J114" s="475">
        <f t="shared" si="67"/>
        <v>3</v>
      </c>
      <c r="K114" s="475">
        <f t="shared" si="67"/>
        <v>3</v>
      </c>
      <c r="L114" s="475">
        <f t="shared" si="67"/>
        <v>3</v>
      </c>
      <c r="M114" s="475">
        <f t="shared" si="67"/>
        <v>3</v>
      </c>
      <c r="N114" s="475">
        <f t="shared" si="67"/>
        <v>3</v>
      </c>
      <c r="O114" s="475">
        <f t="shared" si="67"/>
        <v>3</v>
      </c>
      <c r="P114" s="475">
        <f t="shared" si="67"/>
        <v>3</v>
      </c>
      <c r="Q114" s="475">
        <f t="shared" si="67"/>
        <v>3</v>
      </c>
      <c r="R114" s="475">
        <f t="shared" si="67"/>
        <v>3</v>
      </c>
      <c r="S114" s="475">
        <f t="shared" si="67"/>
        <v>3</v>
      </c>
      <c r="T114" s="475">
        <f t="shared" si="67"/>
        <v>3</v>
      </c>
      <c r="U114" s="475">
        <f t="shared" si="67"/>
        <v>3</v>
      </c>
      <c r="V114" s="475">
        <f t="shared" si="67"/>
        <v>3</v>
      </c>
      <c r="W114" s="475">
        <f t="shared" si="67"/>
        <v>3</v>
      </c>
      <c r="X114" s="475">
        <f t="shared" si="67"/>
        <v>3</v>
      </c>
      <c r="Y114" s="475">
        <f t="shared" si="67"/>
        <v>3</v>
      </c>
      <c r="Z114" s="475">
        <f t="shared" si="67"/>
        <v>3</v>
      </c>
      <c r="AA114" s="475">
        <f t="shared" si="67"/>
        <v>3</v>
      </c>
      <c r="AB114" s="479">
        <f>COUNTIFS('Combined Employee Worksheet'!$H:$H,"Active",'Combined Employee Worksheet'!$D:$D,'Adj. Employee Retention'!B108)</f>
        <v>3</v>
      </c>
      <c r="AC114" s="417"/>
      <c r="AD114" s="417"/>
      <c r="AE114" s="417"/>
    </row>
    <row r="115" spans="1:31" ht="3.95" customHeight="1">
      <c r="A115" s="417"/>
      <c r="B115" s="480"/>
      <c r="C115" s="481"/>
      <c r="D115" s="481"/>
      <c r="E115" s="417"/>
      <c r="F115" s="481"/>
      <c r="G115" s="417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501"/>
      <c r="AC115" s="417"/>
      <c r="AD115" s="417"/>
      <c r="AE115" s="417"/>
    </row>
    <row r="116" spans="1:31" ht="12" customHeight="1">
      <c r="A116" s="417"/>
      <c r="B116" s="487" t="s">
        <v>1817</v>
      </c>
      <c r="C116" s="502">
        <f ca="1">AVERAGE(C111,C114)</f>
        <v>3.5</v>
      </c>
      <c r="D116" s="503">
        <f>AVERAGE(D111,D114)</f>
        <v>3</v>
      </c>
      <c r="E116" s="417"/>
      <c r="F116" s="504">
        <f>AVERAGE(F111,F114)</f>
        <v>3</v>
      </c>
      <c r="G116" s="417"/>
      <c r="H116" s="505">
        <f t="shared" ref="H116:AB116" ca="1" si="68">AVERAGE(H111,H114)</f>
        <v>4</v>
      </c>
      <c r="I116" s="502">
        <f t="shared" ca="1" si="68"/>
        <v>3.5</v>
      </c>
      <c r="J116" s="502">
        <f t="shared" si="68"/>
        <v>3</v>
      </c>
      <c r="K116" s="502">
        <f t="shared" si="68"/>
        <v>3</v>
      </c>
      <c r="L116" s="502">
        <f t="shared" si="68"/>
        <v>3</v>
      </c>
      <c r="M116" s="502">
        <f t="shared" si="68"/>
        <v>3</v>
      </c>
      <c r="N116" s="502">
        <f t="shared" si="68"/>
        <v>3</v>
      </c>
      <c r="O116" s="502">
        <f t="shared" si="68"/>
        <v>3</v>
      </c>
      <c r="P116" s="502">
        <f t="shared" si="68"/>
        <v>3</v>
      </c>
      <c r="Q116" s="502">
        <f t="shared" si="68"/>
        <v>3</v>
      </c>
      <c r="R116" s="502">
        <f t="shared" si="68"/>
        <v>3</v>
      </c>
      <c r="S116" s="502">
        <f t="shared" si="68"/>
        <v>3</v>
      </c>
      <c r="T116" s="502">
        <f t="shared" si="68"/>
        <v>3</v>
      </c>
      <c r="U116" s="502">
        <f t="shared" si="68"/>
        <v>3</v>
      </c>
      <c r="V116" s="502">
        <f t="shared" si="68"/>
        <v>3</v>
      </c>
      <c r="W116" s="502">
        <f t="shared" si="68"/>
        <v>3</v>
      </c>
      <c r="X116" s="502">
        <f t="shared" si="68"/>
        <v>3</v>
      </c>
      <c r="Y116" s="502">
        <f t="shared" si="68"/>
        <v>3</v>
      </c>
      <c r="Z116" s="502">
        <f t="shared" si="68"/>
        <v>3</v>
      </c>
      <c r="AA116" s="502">
        <f t="shared" si="68"/>
        <v>3</v>
      </c>
      <c r="AB116" s="503">
        <f t="shared" si="68"/>
        <v>3</v>
      </c>
      <c r="AC116" s="417"/>
      <c r="AD116" s="417"/>
      <c r="AE116" s="417"/>
    </row>
    <row r="117" spans="1:31" ht="12" customHeight="1">
      <c r="A117" s="417"/>
      <c r="B117" s="493" t="s">
        <v>1816</v>
      </c>
      <c r="C117" s="506">
        <f ca="1">C109/C116</f>
        <v>46.428571428571431</v>
      </c>
      <c r="D117" s="507">
        <f>D109/D116</f>
        <v>59.833333333333336</v>
      </c>
      <c r="E117" s="470"/>
      <c r="F117" s="508">
        <f>F109/F116</f>
        <v>59.333333333333336</v>
      </c>
      <c r="G117" s="470"/>
      <c r="H117" s="509">
        <f t="shared" ref="H117:AB117" ca="1" si="69">H109/H116</f>
        <v>36.5</v>
      </c>
      <c r="I117" s="506">
        <f t="shared" ca="1" si="69"/>
        <v>42.142857142857146</v>
      </c>
      <c r="J117" s="506">
        <f t="shared" si="69"/>
        <v>50.333333333333336</v>
      </c>
      <c r="K117" s="506">
        <f t="shared" si="69"/>
        <v>52.166666666666664</v>
      </c>
      <c r="L117" s="506">
        <f t="shared" si="69"/>
        <v>54</v>
      </c>
      <c r="M117" s="506">
        <f t="shared" si="69"/>
        <v>55</v>
      </c>
      <c r="N117" s="506">
        <f t="shared" si="69"/>
        <v>55.666666666666664</v>
      </c>
      <c r="O117" s="506">
        <f t="shared" si="69"/>
        <v>57.333333333333336</v>
      </c>
      <c r="P117" s="506">
        <f t="shared" si="69"/>
        <v>58.666666666666664</v>
      </c>
      <c r="Q117" s="506">
        <f t="shared" si="69"/>
        <v>59.833333333333336</v>
      </c>
      <c r="R117" s="506">
        <f t="shared" si="69"/>
        <v>60.5</v>
      </c>
      <c r="S117" s="506">
        <f t="shared" si="69"/>
        <v>60.166666666666664</v>
      </c>
      <c r="T117" s="506">
        <f t="shared" si="69"/>
        <v>61</v>
      </c>
      <c r="U117" s="506">
        <f t="shared" si="69"/>
        <v>63.166666666666664</v>
      </c>
      <c r="V117" s="506">
        <f t="shared" si="69"/>
        <v>64.166666666666671</v>
      </c>
      <c r="W117" s="506">
        <f t="shared" si="69"/>
        <v>65</v>
      </c>
      <c r="X117" s="506">
        <f t="shared" si="69"/>
        <v>64.5</v>
      </c>
      <c r="Y117" s="506">
        <f t="shared" si="69"/>
        <v>63</v>
      </c>
      <c r="Z117" s="506">
        <f t="shared" si="69"/>
        <v>60.5</v>
      </c>
      <c r="AA117" s="506">
        <f t="shared" si="69"/>
        <v>58.166666666666664</v>
      </c>
      <c r="AB117" s="507">
        <f t="shared" si="69"/>
        <v>59</v>
      </c>
      <c r="AC117" s="417"/>
      <c r="AD117" s="417"/>
      <c r="AE117" s="417"/>
    </row>
    <row r="118" spans="1:31" ht="3.95" customHeight="1">
      <c r="A118" s="417"/>
      <c r="B118" s="480"/>
      <c r="C118" s="481"/>
      <c r="D118" s="481"/>
      <c r="E118" s="417"/>
      <c r="F118" s="481"/>
      <c r="G118" s="417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2"/>
      <c r="AA118" s="482"/>
      <c r="AB118" s="482"/>
      <c r="AC118" s="417"/>
      <c r="AD118" s="417"/>
      <c r="AE118" s="417"/>
    </row>
    <row r="119" spans="1:31" ht="12" customHeight="1">
      <c r="A119" s="417"/>
      <c r="B119" s="487" t="s">
        <v>1813</v>
      </c>
      <c r="C119" s="488">
        <f ca="1">(C112+C111)/C111-1</f>
        <v>0</v>
      </c>
      <c r="D119" s="489">
        <f>(D112+D111)/D111-1</f>
        <v>0</v>
      </c>
      <c r="E119" s="490"/>
      <c r="F119" s="491">
        <f>(F112+F111)/F111-1</f>
        <v>0</v>
      </c>
      <c r="G119" s="417"/>
      <c r="H119" s="492">
        <f t="shared" ref="H119:AB119" ca="1" si="70">(H112+H111)/H111-1</f>
        <v>0</v>
      </c>
      <c r="I119" s="488">
        <f t="shared" ca="1" si="70"/>
        <v>0</v>
      </c>
      <c r="J119" s="488">
        <f t="shared" si="70"/>
        <v>0</v>
      </c>
      <c r="K119" s="488">
        <f t="shared" si="70"/>
        <v>0</v>
      </c>
      <c r="L119" s="488">
        <f t="shared" si="70"/>
        <v>0</v>
      </c>
      <c r="M119" s="488">
        <f t="shared" si="70"/>
        <v>0</v>
      </c>
      <c r="N119" s="488">
        <f t="shared" si="70"/>
        <v>0</v>
      </c>
      <c r="O119" s="488">
        <f t="shared" si="70"/>
        <v>0</v>
      </c>
      <c r="P119" s="488">
        <f t="shared" si="70"/>
        <v>0</v>
      </c>
      <c r="Q119" s="492">
        <f t="shared" si="70"/>
        <v>0</v>
      </c>
      <c r="R119" s="488">
        <f t="shared" si="70"/>
        <v>0</v>
      </c>
      <c r="S119" s="488">
        <f t="shared" si="70"/>
        <v>0</v>
      </c>
      <c r="T119" s="488">
        <f t="shared" si="70"/>
        <v>0</v>
      </c>
      <c r="U119" s="488">
        <f t="shared" si="70"/>
        <v>0</v>
      </c>
      <c r="V119" s="488">
        <f t="shared" si="70"/>
        <v>0</v>
      </c>
      <c r="W119" s="488">
        <f t="shared" si="70"/>
        <v>0</v>
      </c>
      <c r="X119" s="488">
        <f t="shared" si="70"/>
        <v>0</v>
      </c>
      <c r="Y119" s="488">
        <f t="shared" si="70"/>
        <v>0</v>
      </c>
      <c r="Z119" s="488">
        <f t="shared" si="70"/>
        <v>0</v>
      </c>
      <c r="AA119" s="488">
        <f t="shared" si="70"/>
        <v>0</v>
      </c>
      <c r="AB119" s="489">
        <f t="shared" si="70"/>
        <v>0</v>
      </c>
      <c r="AC119" s="417"/>
      <c r="AD119" s="417"/>
      <c r="AE119" s="417"/>
    </row>
    <row r="120" spans="1:31">
      <c r="A120" s="417"/>
      <c r="B120" s="493" t="s">
        <v>1812</v>
      </c>
      <c r="C120" s="494">
        <f ca="1">(C113+C116)/C116-1</f>
        <v>-0.2857142857142857</v>
      </c>
      <c r="D120" s="495">
        <f>(D113+D116)/D116-1</f>
        <v>0</v>
      </c>
      <c r="E120" s="490"/>
      <c r="F120" s="496">
        <f>(F113+F116)/F116-1</f>
        <v>0</v>
      </c>
      <c r="G120" s="417"/>
      <c r="H120" s="497">
        <f t="shared" ref="H120:AB120" ca="1" si="71">(H113+H116)/H116-1</f>
        <v>0</v>
      </c>
      <c r="I120" s="494">
        <f t="shared" ca="1" si="71"/>
        <v>-0.2857142857142857</v>
      </c>
      <c r="J120" s="494">
        <f t="shared" si="71"/>
        <v>0</v>
      </c>
      <c r="K120" s="494">
        <f t="shared" si="71"/>
        <v>0</v>
      </c>
      <c r="L120" s="494">
        <f t="shared" si="71"/>
        <v>0</v>
      </c>
      <c r="M120" s="494">
        <f t="shared" si="71"/>
        <v>0</v>
      </c>
      <c r="N120" s="494">
        <f t="shared" si="71"/>
        <v>0</v>
      </c>
      <c r="O120" s="494">
        <f t="shared" si="71"/>
        <v>0</v>
      </c>
      <c r="P120" s="494">
        <f t="shared" si="71"/>
        <v>0</v>
      </c>
      <c r="Q120" s="497">
        <f t="shared" si="71"/>
        <v>0</v>
      </c>
      <c r="R120" s="494">
        <f t="shared" si="71"/>
        <v>0</v>
      </c>
      <c r="S120" s="494">
        <f t="shared" si="71"/>
        <v>0</v>
      </c>
      <c r="T120" s="494">
        <f t="shared" si="71"/>
        <v>0</v>
      </c>
      <c r="U120" s="494">
        <f t="shared" si="71"/>
        <v>0</v>
      </c>
      <c r="V120" s="494">
        <f t="shared" si="71"/>
        <v>0</v>
      </c>
      <c r="W120" s="494">
        <f t="shared" si="71"/>
        <v>0</v>
      </c>
      <c r="X120" s="494">
        <f t="shared" si="71"/>
        <v>0</v>
      </c>
      <c r="Y120" s="494">
        <f t="shared" si="71"/>
        <v>0</v>
      </c>
      <c r="Z120" s="494">
        <f t="shared" si="71"/>
        <v>0</v>
      </c>
      <c r="AA120" s="494">
        <f t="shared" si="71"/>
        <v>0</v>
      </c>
      <c r="AB120" s="495">
        <f t="shared" si="71"/>
        <v>0</v>
      </c>
      <c r="AC120" s="417"/>
      <c r="AD120" s="417"/>
      <c r="AE120" s="417"/>
    </row>
    <row r="121" spans="1:31" ht="3.95" customHeight="1">
      <c r="A121" s="417"/>
      <c r="B121" s="480"/>
      <c r="C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</row>
    <row r="122" spans="1:31" ht="24">
      <c r="A122" s="417"/>
      <c r="B122" s="462" t="s">
        <v>1997</v>
      </c>
      <c r="C122" s="463" t="s">
        <v>4</v>
      </c>
      <c r="D122" s="463" t="s">
        <v>1317</v>
      </c>
      <c r="E122" s="464"/>
      <c r="F122" s="463" t="s">
        <v>1527</v>
      </c>
      <c r="G122" s="417"/>
      <c r="H122" s="465">
        <v>45658</v>
      </c>
      <c r="I122" s="465">
        <f t="shared" ref="I122:N122" si="72">EOMONTH(H122,0)+1</f>
        <v>45689</v>
      </c>
      <c r="J122" s="465">
        <f t="shared" si="72"/>
        <v>45717</v>
      </c>
      <c r="K122" s="465">
        <f t="shared" si="72"/>
        <v>45748</v>
      </c>
      <c r="L122" s="465">
        <f t="shared" si="72"/>
        <v>45778</v>
      </c>
      <c r="M122" s="465">
        <f t="shared" si="72"/>
        <v>45809</v>
      </c>
      <c r="N122" s="465">
        <f t="shared" si="72"/>
        <v>45839</v>
      </c>
      <c r="O122" s="465">
        <v>45870</v>
      </c>
      <c r="P122" s="465">
        <f t="shared" ref="P122:AB122" si="73">EOMONTH(O122,0)+1</f>
        <v>45901</v>
      </c>
      <c r="Q122" s="465">
        <f t="shared" si="73"/>
        <v>45931</v>
      </c>
      <c r="R122" s="465">
        <f t="shared" si="73"/>
        <v>45962</v>
      </c>
      <c r="S122" s="465">
        <f t="shared" si="73"/>
        <v>45992</v>
      </c>
      <c r="T122" s="465">
        <f t="shared" si="73"/>
        <v>46023</v>
      </c>
      <c r="U122" s="465">
        <f t="shared" si="73"/>
        <v>46054</v>
      </c>
      <c r="V122" s="465">
        <f t="shared" si="73"/>
        <v>46082</v>
      </c>
      <c r="W122" s="465">
        <f t="shared" si="73"/>
        <v>46113</v>
      </c>
      <c r="X122" s="465">
        <f t="shared" si="73"/>
        <v>46143</v>
      </c>
      <c r="Y122" s="465">
        <f t="shared" si="73"/>
        <v>46174</v>
      </c>
      <c r="Z122" s="465">
        <f t="shared" si="73"/>
        <v>46204</v>
      </c>
      <c r="AA122" s="465">
        <f t="shared" si="73"/>
        <v>46235</v>
      </c>
      <c r="AB122" s="465">
        <f t="shared" si="73"/>
        <v>46266</v>
      </c>
      <c r="AC122" s="466"/>
      <c r="AD122" s="417"/>
      <c r="AE122" s="466"/>
    </row>
    <row r="123" spans="1:31">
      <c r="A123" s="417"/>
      <c r="B123" s="498" t="s">
        <v>1508</v>
      </c>
      <c r="C123" s="468"/>
      <c r="D123" s="468"/>
      <c r="E123" s="469"/>
      <c r="F123" s="468"/>
      <c r="G123" s="417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9"/>
      <c r="AD123" s="469"/>
      <c r="AE123" s="469"/>
    </row>
    <row r="124" spans="1:31">
      <c r="A124" s="417"/>
      <c r="B124" s="417" t="s">
        <v>1313</v>
      </c>
      <c r="C124" s="470">
        <f ca="1">+C127-C125-C126</f>
        <v>1</v>
      </c>
      <c r="D124" s="470">
        <f ca="1">+D127-D125-D126</f>
        <v>1</v>
      </c>
      <c r="E124" s="417"/>
      <c r="F124" s="470">
        <f ca="1">+F127-F125-F126</f>
        <v>2</v>
      </c>
      <c r="G124" s="417"/>
      <c r="H124" s="470">
        <f t="shared" ref="H124:AB124" ca="1" si="74">+H127-H125-H126</f>
        <v>1</v>
      </c>
      <c r="I124" s="470">
        <f t="shared" ca="1" si="74"/>
        <v>1</v>
      </c>
      <c r="J124" s="470">
        <f t="shared" ca="1" si="74"/>
        <v>1</v>
      </c>
      <c r="K124" s="470">
        <f t="shared" ca="1" si="74"/>
        <v>1</v>
      </c>
      <c r="L124" s="470">
        <f t="shared" ca="1" si="74"/>
        <v>1</v>
      </c>
      <c r="M124" s="470">
        <f t="shared" ca="1" si="74"/>
        <v>1</v>
      </c>
      <c r="N124" s="470">
        <f t="shared" ca="1" si="74"/>
        <v>1</v>
      </c>
      <c r="O124" s="470">
        <f t="shared" ca="1" si="74"/>
        <v>1</v>
      </c>
      <c r="P124" s="470">
        <f t="shared" ca="1" si="74"/>
        <v>2</v>
      </c>
      <c r="Q124" s="470">
        <f t="shared" ca="1" si="74"/>
        <v>2</v>
      </c>
      <c r="R124" s="470">
        <f t="shared" ca="1" si="74"/>
        <v>2</v>
      </c>
      <c r="S124" s="470">
        <f t="shared" ca="1" si="74"/>
        <v>1</v>
      </c>
      <c r="T124" s="470">
        <f t="shared" ca="1" si="74"/>
        <v>1</v>
      </c>
      <c r="U124" s="470">
        <f t="shared" ca="1" si="74"/>
        <v>1</v>
      </c>
      <c r="V124" s="470">
        <f t="shared" ca="1" si="74"/>
        <v>2</v>
      </c>
      <c r="W124" s="470">
        <f t="shared" ca="1" si="74"/>
        <v>3</v>
      </c>
      <c r="X124" s="470">
        <f t="shared" ca="1" si="74"/>
        <v>4</v>
      </c>
      <c r="Y124" s="470">
        <f t="shared" ca="1" si="74"/>
        <v>4</v>
      </c>
      <c r="Z124" s="470">
        <f t="shared" ca="1" si="74"/>
        <v>4</v>
      </c>
      <c r="AA124" s="470">
        <f t="shared" ca="1" si="74"/>
        <v>3</v>
      </c>
      <c r="AB124" s="470">
        <f t="shared" ca="1" si="74"/>
        <v>3</v>
      </c>
      <c r="AC124" s="417"/>
      <c r="AD124" s="417"/>
      <c r="AE124" s="417"/>
    </row>
    <row r="125" spans="1:31">
      <c r="A125" s="417"/>
      <c r="B125" s="471" t="s">
        <v>1814</v>
      </c>
      <c r="C125" s="433">
        <f ca="1">SUM(H125:S125)</f>
        <v>1</v>
      </c>
      <c r="D125" s="433">
        <f ca="1">SUM(T125:AB125)</f>
        <v>5</v>
      </c>
      <c r="E125" s="417"/>
      <c r="F125" s="433">
        <f ca="1">SUM(Q125:AB125)</f>
        <v>5</v>
      </c>
      <c r="G125" s="417"/>
      <c r="H125" s="472">
        <f>COUNTIFS('Combined Employee Worksheet'!$I:$I,"&gt;="&amp;'Adj. Employee Retention'!H$5,'Combined Employee Worksheet'!$I:$I,"&lt;="&amp;'Adj. Employee Retention'!H$1,'Combined Employee Worksheet'!$D:$D,'Adj. Employee Retention'!$B123)-COUNTIFS('Combined Employee Worksheet'!$I:$I,"&gt;="&amp;'Adj. Employee Retention'!H$5,'Combined Employee Worksheet'!$I:$I,"&lt;="&amp;'Adj. Employee Retention'!H$1,'Combined Employee Worksheet'!$D:$D,'Adj. Employee Retention'!$B123,'Combined Employee Worksheet'!$K:$K,"&lt;="&amp;$C$138,'Combined Employee Worksheet'!$J:$J,"&lt;&gt;")</f>
        <v>0</v>
      </c>
      <c r="I125" s="472">
        <f>COUNTIFS('Combined Employee Worksheet'!$I:$I,"&gt;="&amp;'Adj. Employee Retention'!I$5,'Combined Employee Worksheet'!$I:$I,"&lt;="&amp;'Adj. Employee Retention'!I$1,'Combined Employee Worksheet'!$D:$D,'Adj. Employee Retention'!$B123)-COUNTIFS('Combined Employee Worksheet'!$I:$I,"&gt;="&amp;'Adj. Employee Retention'!I$5,'Combined Employee Worksheet'!$I:$I,"&lt;="&amp;'Adj. Employee Retention'!I$1,'Combined Employee Worksheet'!$D:$D,'Adj. Employee Retention'!$B123,'Combined Employee Worksheet'!$K:$K,"&lt;="&amp;$C$138,'Combined Employee Worksheet'!$J:$J,"&lt;&gt;")</f>
        <v>0</v>
      </c>
      <c r="J125" s="472">
        <f>COUNTIFS('Combined Employee Worksheet'!$I:$I,"&gt;="&amp;'Adj. Employee Retention'!J$5,'Combined Employee Worksheet'!$I:$I,"&lt;="&amp;'Adj. Employee Retention'!J$1,'Combined Employee Worksheet'!$D:$D,'Adj. Employee Retention'!$B123)-COUNTIFS('Combined Employee Worksheet'!$I:$I,"&gt;="&amp;'Adj. Employee Retention'!J$5,'Combined Employee Worksheet'!$I:$I,"&lt;="&amp;'Adj. Employee Retention'!J$1,'Combined Employee Worksheet'!$D:$D,'Adj. Employee Retention'!$B123,'Combined Employee Worksheet'!$K:$K,"&lt;="&amp;$C$138,'Combined Employee Worksheet'!$J:$J,"&lt;&gt;")</f>
        <v>0</v>
      </c>
      <c r="K125" s="472">
        <f>COUNTIFS('Combined Employee Worksheet'!$I:$I,"&gt;="&amp;'Adj. Employee Retention'!K$5,'Combined Employee Worksheet'!$I:$I,"&lt;="&amp;'Adj. Employee Retention'!K$1,'Combined Employee Worksheet'!$D:$D,'Adj. Employee Retention'!$B123)-COUNTIFS('Combined Employee Worksheet'!$I:$I,"&gt;="&amp;'Adj. Employee Retention'!K$5,'Combined Employee Worksheet'!$I:$I,"&lt;="&amp;'Adj. Employee Retention'!K$1,'Combined Employee Worksheet'!$D:$D,'Adj. Employee Retention'!$B123,'Combined Employee Worksheet'!$K:$K,"&lt;="&amp;$C$138,'Combined Employee Worksheet'!$J:$J,"&lt;&gt;")</f>
        <v>0</v>
      </c>
      <c r="L125" s="472">
        <f>COUNTIFS('Combined Employee Worksheet'!$I:$I,"&gt;="&amp;'Adj. Employee Retention'!L$5,'Combined Employee Worksheet'!$I:$I,"&lt;="&amp;'Adj. Employee Retention'!L$1,'Combined Employee Worksheet'!$D:$D,'Adj. Employee Retention'!$B123)-COUNTIFS('Combined Employee Worksheet'!$I:$I,"&gt;="&amp;'Adj. Employee Retention'!L$5,'Combined Employee Worksheet'!$I:$I,"&lt;="&amp;'Adj. Employee Retention'!L$1,'Combined Employee Worksheet'!$D:$D,'Adj. Employee Retention'!$B123,'Combined Employee Worksheet'!$K:$K,"&lt;="&amp;$C$138,'Combined Employee Worksheet'!$J:$J,"&lt;&gt;")</f>
        <v>0</v>
      </c>
      <c r="M125" s="472">
        <f>COUNTIFS('Combined Employee Worksheet'!$I:$I,"&gt;="&amp;'Adj. Employee Retention'!M$5,'Combined Employee Worksheet'!$I:$I,"&lt;="&amp;'Adj. Employee Retention'!M$1,'Combined Employee Worksheet'!$D:$D,'Adj. Employee Retention'!$B123)-COUNTIFS('Combined Employee Worksheet'!$I:$I,"&gt;="&amp;'Adj. Employee Retention'!M$5,'Combined Employee Worksheet'!$I:$I,"&lt;="&amp;'Adj. Employee Retention'!M$1,'Combined Employee Worksheet'!$D:$D,'Adj. Employee Retention'!$B123,'Combined Employee Worksheet'!$K:$K,"&lt;="&amp;$C$138,'Combined Employee Worksheet'!$J:$J,"&lt;&gt;")</f>
        <v>0</v>
      </c>
      <c r="N125" s="472">
        <f>COUNTIFS('Combined Employee Worksheet'!$I:$I,"&gt;="&amp;'Adj. Employee Retention'!N$5,'Combined Employee Worksheet'!$I:$I,"&lt;="&amp;'Adj. Employee Retention'!N$1,'Combined Employee Worksheet'!$D:$D,'Adj. Employee Retention'!$B123)-COUNTIFS('Combined Employee Worksheet'!$I:$I,"&gt;="&amp;'Adj. Employee Retention'!N$5,'Combined Employee Worksheet'!$I:$I,"&lt;="&amp;'Adj. Employee Retention'!N$1,'Combined Employee Worksheet'!$D:$D,'Adj. Employee Retention'!$B123,'Combined Employee Worksheet'!$K:$K,"&lt;="&amp;$C$138,'Combined Employee Worksheet'!$J:$J,"&lt;&gt;")</f>
        <v>0</v>
      </c>
      <c r="O125" s="472">
        <f ca="1">COUNTIFS('Combined Employee Worksheet'!$I:$I,"&gt;="&amp;'Adj. Employee Retention'!O$5,'Combined Employee Worksheet'!$I:$I,"&lt;="&amp;'Adj. Employee Retention'!O$1,'Combined Employee Worksheet'!$D:$D,'Adj. Employee Retention'!$B123)-COUNTIFS('Combined Employee Worksheet'!$I:$I,"&gt;="&amp;'Adj. Employee Retention'!O$5,'Combined Employee Worksheet'!$I:$I,"&lt;="&amp;'Adj. Employee Retention'!O$1,'Combined Employee Worksheet'!$D:$D,'Adj. Employee Retention'!$B123,'Combined Employee Worksheet'!$K:$K,"&lt;="&amp;$C$138,'Combined Employee Worksheet'!$J:$J,"&lt;&gt;")</f>
        <v>1</v>
      </c>
      <c r="P125" s="472">
        <f>COUNTIFS('Combined Employee Worksheet'!$I:$I,"&gt;="&amp;'Adj. Employee Retention'!P$5,'Combined Employee Worksheet'!$I:$I,"&lt;="&amp;'Adj. Employee Retention'!P$1,'Combined Employee Worksheet'!$D:$D,'Adj. Employee Retention'!$B123)-COUNTIFS('Combined Employee Worksheet'!$I:$I,"&gt;="&amp;'Adj. Employee Retention'!P$5,'Combined Employee Worksheet'!$I:$I,"&lt;="&amp;'Adj. Employee Retention'!P$1,'Combined Employee Worksheet'!$D:$D,'Adj. Employee Retention'!$B123,'Combined Employee Worksheet'!$K:$K,"&lt;="&amp;$C$138,'Combined Employee Worksheet'!$J:$J,"&lt;&gt;")</f>
        <v>0</v>
      </c>
      <c r="Q125" s="472">
        <f>COUNTIFS('Combined Employee Worksheet'!$I:$I,"&gt;="&amp;'Adj. Employee Retention'!Q$5,'Combined Employee Worksheet'!$I:$I,"&lt;="&amp;'Adj. Employee Retention'!Q$1,'Combined Employee Worksheet'!$D:$D,'Adj. Employee Retention'!$B123)-COUNTIFS('Combined Employee Worksheet'!$I:$I,"&gt;="&amp;'Adj. Employee Retention'!Q$5,'Combined Employee Worksheet'!$I:$I,"&lt;="&amp;'Adj. Employee Retention'!Q$1,'Combined Employee Worksheet'!$D:$D,'Adj. Employee Retention'!$B123,'Combined Employee Worksheet'!$K:$K,"&lt;="&amp;$C$138,'Combined Employee Worksheet'!$J:$J,"&lt;&gt;")</f>
        <v>0</v>
      </c>
      <c r="R125" s="472">
        <f ca="1">COUNTIFS('Combined Employee Worksheet'!$I:$I,"&gt;="&amp;'Adj. Employee Retention'!R$5,'Combined Employee Worksheet'!$I:$I,"&lt;="&amp;'Adj. Employee Retention'!R$1,'Combined Employee Worksheet'!$D:$D,'Adj. Employee Retention'!$B123)-COUNTIFS('Combined Employee Worksheet'!$I:$I,"&gt;="&amp;'Adj. Employee Retention'!R$5,'Combined Employee Worksheet'!$I:$I,"&lt;="&amp;'Adj. Employee Retention'!R$1,'Combined Employee Worksheet'!$D:$D,'Adj. Employee Retention'!$B123,'Combined Employee Worksheet'!$K:$K,"&lt;="&amp;$C$138,'Combined Employee Worksheet'!$J:$J,"&lt;&gt;")</f>
        <v>0</v>
      </c>
      <c r="S125" s="472">
        <f>COUNTIFS('Combined Employee Worksheet'!$I:$I,"&gt;="&amp;'Adj. Employee Retention'!S$5,'Combined Employee Worksheet'!$I:$I,"&lt;="&amp;'Adj. Employee Retention'!S$1,'Combined Employee Worksheet'!$D:$D,'Adj. Employee Retention'!$B123)-COUNTIFS('Combined Employee Worksheet'!$I:$I,"&gt;="&amp;'Adj. Employee Retention'!S$5,'Combined Employee Worksheet'!$I:$I,"&lt;="&amp;'Adj. Employee Retention'!S$1,'Combined Employee Worksheet'!$D:$D,'Adj. Employee Retention'!$B123,'Combined Employee Worksheet'!$K:$K,"&lt;="&amp;$C$138,'Combined Employee Worksheet'!$J:$J,"&lt;&gt;")</f>
        <v>0</v>
      </c>
      <c r="T125" s="472">
        <f ca="1">COUNTIFS('Combined Employee Worksheet'!$I:$I,"&gt;="&amp;'Adj. Employee Retention'!T$5,'Combined Employee Worksheet'!$I:$I,"&lt;="&amp;'Adj. Employee Retention'!T$1,'Combined Employee Worksheet'!$D:$D,'Adj. Employee Retention'!$B123)-COUNTIFS('Combined Employee Worksheet'!$I:$I,"&gt;="&amp;'Adj. Employee Retention'!T$5,'Combined Employee Worksheet'!$I:$I,"&lt;="&amp;'Adj. Employee Retention'!T$1,'Combined Employee Worksheet'!$D:$D,'Adj. Employee Retention'!$B123,'Combined Employee Worksheet'!$K:$K,"&lt;="&amp;$C$138,'Combined Employee Worksheet'!$J:$J,"&lt;&gt;")</f>
        <v>1</v>
      </c>
      <c r="U125" s="472">
        <f ca="1">COUNTIFS('Combined Employee Worksheet'!$I:$I,"&gt;="&amp;'Adj. Employee Retention'!U$5,'Combined Employee Worksheet'!$I:$I,"&lt;="&amp;'Adj. Employee Retention'!U$1,'Combined Employee Worksheet'!$D:$D,'Adj. Employee Retention'!$B123)-COUNTIFS('Combined Employee Worksheet'!$I:$I,"&gt;="&amp;'Adj. Employee Retention'!U$5,'Combined Employee Worksheet'!$I:$I,"&lt;="&amp;'Adj. Employee Retention'!U$1,'Combined Employee Worksheet'!$D:$D,'Adj. Employee Retention'!$B123,'Combined Employee Worksheet'!$K:$K,"&lt;="&amp;$C$138,'Combined Employee Worksheet'!$J:$J,"&lt;&gt;")</f>
        <v>1</v>
      </c>
      <c r="V125" s="472">
        <f ca="1">COUNTIFS('Combined Employee Worksheet'!$I:$I,"&gt;="&amp;'Adj. Employee Retention'!V$5,'Combined Employee Worksheet'!$I:$I,"&lt;="&amp;'Adj. Employee Retention'!V$1,'Combined Employee Worksheet'!$D:$D,'Adj. Employee Retention'!$B123)-COUNTIFS('Combined Employee Worksheet'!$I:$I,"&gt;="&amp;'Adj. Employee Retention'!V$5,'Combined Employee Worksheet'!$I:$I,"&lt;="&amp;'Adj. Employee Retention'!V$1,'Combined Employee Worksheet'!$D:$D,'Adj. Employee Retention'!$B123,'Combined Employee Worksheet'!$K:$K,"&lt;="&amp;$C$138,'Combined Employee Worksheet'!$J:$J,"&lt;&gt;")</f>
        <v>1</v>
      </c>
      <c r="W125" s="472">
        <f ca="1">COUNTIFS('Combined Employee Worksheet'!$I:$I,"&gt;="&amp;'Adj. Employee Retention'!W$5,'Combined Employee Worksheet'!$I:$I,"&lt;="&amp;'Adj. Employee Retention'!W$1,'Combined Employee Worksheet'!$D:$D,'Adj. Employee Retention'!$B123)-COUNTIFS('Combined Employee Worksheet'!$I:$I,"&gt;="&amp;'Adj. Employee Retention'!W$5,'Combined Employee Worksheet'!$I:$I,"&lt;="&amp;'Adj. Employee Retention'!W$1,'Combined Employee Worksheet'!$D:$D,'Adj. Employee Retention'!$B123,'Combined Employee Worksheet'!$K:$K,"&lt;="&amp;$C$138,'Combined Employee Worksheet'!$J:$J,"&lt;&gt;")</f>
        <v>1</v>
      </c>
      <c r="X125" s="472">
        <f>COUNTIFS('Combined Employee Worksheet'!$I:$I,"&gt;="&amp;'Adj. Employee Retention'!X$5,'Combined Employee Worksheet'!$I:$I,"&lt;="&amp;'Adj. Employee Retention'!X$1,'Combined Employee Worksheet'!$D:$D,'Adj. Employee Retention'!$B123)-COUNTIFS('Combined Employee Worksheet'!$I:$I,"&gt;="&amp;'Adj. Employee Retention'!X$5,'Combined Employee Worksheet'!$I:$I,"&lt;="&amp;'Adj. Employee Retention'!X$1,'Combined Employee Worksheet'!$D:$D,'Adj. Employee Retention'!$B123,'Combined Employee Worksheet'!$K:$K,"&lt;="&amp;$C$138,'Combined Employee Worksheet'!$J:$J,"&lt;&gt;")</f>
        <v>0</v>
      </c>
      <c r="Y125" s="472">
        <f>COUNTIFS('Combined Employee Worksheet'!$I:$I,"&gt;="&amp;'Adj. Employee Retention'!Y$5,'Combined Employee Worksheet'!$I:$I,"&lt;="&amp;'Adj. Employee Retention'!Y$1,'Combined Employee Worksheet'!$D:$D,'Adj. Employee Retention'!$B123)-COUNTIFS('Combined Employee Worksheet'!$I:$I,"&gt;="&amp;'Adj. Employee Retention'!Y$5,'Combined Employee Worksheet'!$I:$I,"&lt;="&amp;'Adj. Employee Retention'!Y$1,'Combined Employee Worksheet'!$D:$D,'Adj. Employee Retention'!$B123,'Combined Employee Worksheet'!$K:$K,"&lt;="&amp;$C$138,'Combined Employee Worksheet'!$J:$J,"&lt;&gt;")</f>
        <v>0</v>
      </c>
      <c r="Z125" s="472">
        <f>COUNTIFS('Combined Employee Worksheet'!$I:$I,"&gt;="&amp;'Adj. Employee Retention'!Z$5,'Combined Employee Worksheet'!$I:$I,"&lt;="&amp;'Adj. Employee Retention'!Z$1,'Combined Employee Worksheet'!$D:$D,'Adj. Employee Retention'!$B123)-COUNTIFS('Combined Employee Worksheet'!$I:$I,"&gt;="&amp;'Adj. Employee Retention'!Z$5,'Combined Employee Worksheet'!$I:$I,"&lt;="&amp;'Adj. Employee Retention'!Z$1,'Combined Employee Worksheet'!$D:$D,'Adj. Employee Retention'!$B123,'Combined Employee Worksheet'!$K:$K,"&lt;="&amp;$C$138,'Combined Employee Worksheet'!$J:$J,"&lt;&gt;")</f>
        <v>0</v>
      </c>
      <c r="AA125" s="472">
        <f>COUNTIFS('Combined Employee Worksheet'!$I:$I,"&gt;="&amp;'Adj. Employee Retention'!AA$5,'Combined Employee Worksheet'!$I:$I,"&lt;="&amp;'Adj. Employee Retention'!AA$1,'Combined Employee Worksheet'!$D:$D,'Adj. Employee Retention'!$B123)-COUNTIFS('Combined Employee Worksheet'!$I:$I,"&gt;="&amp;'Adj. Employee Retention'!AA$5,'Combined Employee Worksheet'!$I:$I,"&lt;="&amp;'Adj. Employee Retention'!AA$1,'Combined Employee Worksheet'!$D:$D,'Adj. Employee Retention'!$B123,'Combined Employee Worksheet'!$K:$K,"&lt;="&amp;$C$138,'Combined Employee Worksheet'!$J:$J,"&lt;&gt;")</f>
        <v>0</v>
      </c>
      <c r="AB125" s="472">
        <f ca="1">COUNTIFS('Combined Employee Worksheet'!$I:$I,"&gt;="&amp;'Adj. Employee Retention'!AB$5,'Combined Employee Worksheet'!$I:$I,"&lt;="&amp;'Adj. Employee Retention'!AB$1,'Combined Employee Worksheet'!$D:$D,'Adj. Employee Retention'!$B123)-COUNTIFS('Combined Employee Worksheet'!$I:$I,"&gt;="&amp;'Adj. Employee Retention'!AB$5,'Combined Employee Worksheet'!$I:$I,"&lt;="&amp;'Adj. Employee Retention'!AB$1,'Combined Employee Worksheet'!$D:$D,'Adj. Employee Retention'!$B123,'Combined Employee Worksheet'!$K:$K,"&lt;="&amp;$C$138,'Combined Employee Worksheet'!$J:$J,"&lt;&gt;")</f>
        <v>1</v>
      </c>
      <c r="AC125" s="417"/>
      <c r="AD125" s="417"/>
      <c r="AE125" s="417"/>
    </row>
    <row r="126" spans="1:31" ht="12" customHeight="1">
      <c r="A126" s="417"/>
      <c r="B126" s="471" t="s">
        <v>1815</v>
      </c>
      <c r="C126" s="433">
        <f ca="1">SUM(H126:S126)</f>
        <v>-1</v>
      </c>
      <c r="D126" s="433">
        <f ca="1">SUM(T126:AB126)</f>
        <v>-2</v>
      </c>
      <c r="E126" s="417"/>
      <c r="F126" s="433">
        <f ca="1">SUM(Q126:AB126)</f>
        <v>-3</v>
      </c>
      <c r="G126" s="417"/>
      <c r="H126" s="472">
        <f>-COUNTIFS('Combined Employee Worksheet'!$J:$J,"&gt;="&amp;'Adj. Employee Retention'!H$5,'Combined Employee Worksheet'!$J:$J,"&lt;="&amp;'Adj. Employee Retention'!H$1,'Combined Employee Worksheet'!$D:$D,'Adj. Employee Retention'!$B123,'Combined Employee Worksheet'!$K:$K,"&gt;"&amp;$C$138)</f>
        <v>0</v>
      </c>
      <c r="I126" s="472">
        <f>-COUNTIFS('Combined Employee Worksheet'!$J:$J,"&gt;="&amp;'Adj. Employee Retention'!I$5,'Combined Employee Worksheet'!$J:$J,"&lt;="&amp;'Adj. Employee Retention'!I$1,'Combined Employee Worksheet'!$D:$D,'Adj. Employee Retention'!$B123,'Combined Employee Worksheet'!$K:$K,"&gt;"&amp;$C$138)</f>
        <v>0</v>
      </c>
      <c r="J126" s="472">
        <f>-COUNTIFS('Combined Employee Worksheet'!$J:$J,"&gt;="&amp;'Adj. Employee Retention'!J$5,'Combined Employee Worksheet'!$J:$J,"&lt;="&amp;'Adj. Employee Retention'!J$1,'Combined Employee Worksheet'!$D:$D,'Adj. Employee Retention'!$B123,'Combined Employee Worksheet'!$K:$K,"&gt;"&amp;$C$138)</f>
        <v>0</v>
      </c>
      <c r="K126" s="472">
        <f>-COUNTIFS('Combined Employee Worksheet'!$J:$J,"&gt;="&amp;'Adj. Employee Retention'!K$5,'Combined Employee Worksheet'!$J:$J,"&lt;="&amp;'Adj. Employee Retention'!K$1,'Combined Employee Worksheet'!$D:$D,'Adj. Employee Retention'!$B123,'Combined Employee Worksheet'!$K:$K,"&gt;"&amp;$C$138)</f>
        <v>0</v>
      </c>
      <c r="L126" s="472">
        <f>-COUNTIFS('Combined Employee Worksheet'!$J:$J,"&gt;="&amp;'Adj. Employee Retention'!L$5,'Combined Employee Worksheet'!$J:$J,"&lt;="&amp;'Adj. Employee Retention'!L$1,'Combined Employee Worksheet'!$D:$D,'Adj. Employee Retention'!$B123,'Combined Employee Worksheet'!$K:$K,"&gt;"&amp;$C$138)</f>
        <v>0</v>
      </c>
      <c r="M126" s="472">
        <f>-COUNTIFS('Combined Employee Worksheet'!$J:$J,"&gt;="&amp;'Adj. Employee Retention'!M$5,'Combined Employee Worksheet'!$J:$J,"&lt;="&amp;'Adj. Employee Retention'!M$1,'Combined Employee Worksheet'!$D:$D,'Adj. Employee Retention'!$B123,'Combined Employee Worksheet'!$K:$K,"&gt;"&amp;$C$138)</f>
        <v>0</v>
      </c>
      <c r="N126" s="472">
        <f>-COUNTIFS('Combined Employee Worksheet'!$J:$J,"&gt;="&amp;'Adj. Employee Retention'!N$5,'Combined Employee Worksheet'!$J:$J,"&lt;="&amp;'Adj. Employee Retention'!N$1,'Combined Employee Worksheet'!$D:$D,'Adj. Employee Retention'!$B123,'Combined Employee Worksheet'!$K:$K,"&gt;"&amp;$C$138)</f>
        <v>0</v>
      </c>
      <c r="O126" s="472">
        <f>-COUNTIFS('Combined Employee Worksheet'!$J:$J,"&gt;="&amp;'Adj. Employee Retention'!O$5,'Combined Employee Worksheet'!$J:$J,"&lt;="&amp;'Adj. Employee Retention'!O$1,'Combined Employee Worksheet'!$D:$D,'Adj. Employee Retention'!$B123,'Combined Employee Worksheet'!$K:$K,"&gt;"&amp;$C$138)</f>
        <v>0</v>
      </c>
      <c r="P126" s="472">
        <f>-COUNTIFS('Combined Employee Worksheet'!$J:$J,"&gt;="&amp;'Adj. Employee Retention'!P$5,'Combined Employee Worksheet'!$J:$J,"&lt;="&amp;'Adj. Employee Retention'!P$1,'Combined Employee Worksheet'!$D:$D,'Adj. Employee Retention'!$B123,'Combined Employee Worksheet'!$K:$K,"&gt;"&amp;$C$138)</f>
        <v>0</v>
      </c>
      <c r="Q126" s="472">
        <f>-COUNTIFS('Combined Employee Worksheet'!$J:$J,"&gt;="&amp;'Adj. Employee Retention'!Q$5,'Combined Employee Worksheet'!$J:$J,"&lt;="&amp;'Adj. Employee Retention'!Q$1,'Combined Employee Worksheet'!$D:$D,'Adj. Employee Retention'!$B123,'Combined Employee Worksheet'!$K:$K,"&gt;"&amp;$C$138)</f>
        <v>0</v>
      </c>
      <c r="R126" s="472">
        <f ca="1">-COUNTIFS('Combined Employee Worksheet'!$J:$J,"&gt;="&amp;'Adj. Employee Retention'!R$5,'Combined Employee Worksheet'!$J:$J,"&lt;="&amp;'Adj. Employee Retention'!R$1,'Combined Employee Worksheet'!$D:$D,'Adj. Employee Retention'!$B123,'Combined Employee Worksheet'!$K:$K,"&gt;"&amp;$C$138)</f>
        <v>-1</v>
      </c>
      <c r="S126" s="472">
        <f ca="1">-COUNTIFS('Combined Employee Worksheet'!$J:$J,"&gt;="&amp;'Adj. Employee Retention'!S$5,'Combined Employee Worksheet'!$J:$J,"&lt;="&amp;'Adj. Employee Retention'!S$1,'Combined Employee Worksheet'!$D:$D,'Adj. Employee Retention'!$B123,'Combined Employee Worksheet'!$K:$K,"&gt;"&amp;$C$138)</f>
        <v>0</v>
      </c>
      <c r="T126" s="472">
        <f ca="1">-COUNTIFS('Combined Employee Worksheet'!$J:$J,"&gt;="&amp;'Adj. Employee Retention'!T$5,'Combined Employee Worksheet'!$J:$J,"&lt;="&amp;'Adj. Employee Retention'!T$1,'Combined Employee Worksheet'!$D:$D,'Adj. Employee Retention'!$B123,'Combined Employee Worksheet'!$K:$K,"&gt;"&amp;$C$138)</f>
        <v>-1</v>
      </c>
      <c r="U126" s="472">
        <f>-COUNTIFS('Combined Employee Worksheet'!$J:$J,"&gt;="&amp;'Adj. Employee Retention'!U$5,'Combined Employee Worksheet'!$J:$J,"&lt;="&amp;'Adj. Employee Retention'!U$1,'Combined Employee Worksheet'!$D:$D,'Adj. Employee Retention'!$B123,'Combined Employee Worksheet'!$K:$K,"&gt;"&amp;$C$138)</f>
        <v>0</v>
      </c>
      <c r="V126" s="472">
        <f>-COUNTIFS('Combined Employee Worksheet'!$J:$J,"&gt;="&amp;'Adj. Employee Retention'!V$5,'Combined Employee Worksheet'!$J:$J,"&lt;="&amp;'Adj. Employee Retention'!V$1,'Combined Employee Worksheet'!$D:$D,'Adj. Employee Retention'!$B123,'Combined Employee Worksheet'!$K:$K,"&gt;"&amp;$C$138)</f>
        <v>0</v>
      </c>
      <c r="W126" s="472">
        <f>-COUNTIFS('Combined Employee Worksheet'!$J:$J,"&gt;="&amp;'Adj. Employee Retention'!W$5,'Combined Employee Worksheet'!$J:$J,"&lt;="&amp;'Adj. Employee Retention'!W$1,'Combined Employee Worksheet'!$D:$D,'Adj. Employee Retention'!$B123,'Combined Employee Worksheet'!$K:$K,"&gt;"&amp;$C$138)</f>
        <v>0</v>
      </c>
      <c r="X126" s="472">
        <f>-COUNTIFS('Combined Employee Worksheet'!$J:$J,"&gt;="&amp;'Adj. Employee Retention'!X$5,'Combined Employee Worksheet'!$J:$J,"&lt;="&amp;'Adj. Employee Retention'!X$1,'Combined Employee Worksheet'!$D:$D,'Adj. Employee Retention'!$B123,'Combined Employee Worksheet'!$K:$K,"&gt;"&amp;$C$138)</f>
        <v>0</v>
      </c>
      <c r="Y126" s="472">
        <f>-COUNTIFS('Combined Employee Worksheet'!$J:$J,"&gt;="&amp;'Adj. Employee Retention'!Y$5,'Combined Employee Worksheet'!$J:$J,"&lt;="&amp;'Adj. Employee Retention'!Y$1,'Combined Employee Worksheet'!$D:$D,'Adj. Employee Retention'!$B123,'Combined Employee Worksheet'!$K:$K,"&gt;"&amp;$C$138)</f>
        <v>0</v>
      </c>
      <c r="Z126" s="472">
        <f ca="1">-COUNTIFS('Combined Employee Worksheet'!$J:$J,"&gt;="&amp;'Adj. Employee Retention'!Z$5,'Combined Employee Worksheet'!$J:$J,"&lt;="&amp;'Adj. Employee Retention'!Z$1,'Combined Employee Worksheet'!$D:$D,'Adj. Employee Retention'!$B123,'Combined Employee Worksheet'!$K:$K,"&gt;"&amp;$C$138)</f>
        <v>-1</v>
      </c>
      <c r="AA126" s="472">
        <f>-COUNTIFS('Combined Employee Worksheet'!$J:$J,"&gt;="&amp;'Adj. Employee Retention'!AA$5,'Combined Employee Worksheet'!$J:$J,"&lt;="&amp;'Adj. Employee Retention'!AA$1,'Combined Employee Worksheet'!$D:$D,'Adj. Employee Retention'!$B123,'Combined Employee Worksheet'!$K:$K,"&gt;"&amp;$C$138)</f>
        <v>0</v>
      </c>
      <c r="AB126" s="472">
        <f>-COUNTIFS('Combined Employee Worksheet'!$J:$J,"&gt;="&amp;'Adj. Employee Retention'!AB$5,'Combined Employee Worksheet'!$J:$J,"&lt;="&amp;'Adj. Employee Retention'!AB$1,'Combined Employee Worksheet'!$D:$D,'Adj. Employee Retention'!$B123,'Combined Employee Worksheet'!$K:$K,"&gt;"&amp;$C$138)</f>
        <v>0</v>
      </c>
      <c r="AC126" s="417"/>
      <c r="AD126" s="417"/>
      <c r="AE126" s="417"/>
    </row>
    <row r="127" spans="1:31" ht="12" customHeight="1">
      <c r="A127" s="417"/>
      <c r="B127" s="474" t="s">
        <v>1315</v>
      </c>
      <c r="C127" s="475">
        <f ca="1">+D124</f>
        <v>1</v>
      </c>
      <c r="D127" s="476">
        <f>+$AB127</f>
        <v>4</v>
      </c>
      <c r="E127" s="417"/>
      <c r="F127" s="477">
        <f>+$AB127</f>
        <v>4</v>
      </c>
      <c r="G127" s="417"/>
      <c r="H127" s="478">
        <f t="shared" ref="H127:AA127" ca="1" si="75">+I124</f>
        <v>1</v>
      </c>
      <c r="I127" s="475">
        <f t="shared" ca="1" si="75"/>
        <v>1</v>
      </c>
      <c r="J127" s="475">
        <f t="shared" ca="1" si="75"/>
        <v>1</v>
      </c>
      <c r="K127" s="475">
        <f t="shared" ca="1" si="75"/>
        <v>1</v>
      </c>
      <c r="L127" s="475">
        <f t="shared" ca="1" si="75"/>
        <v>1</v>
      </c>
      <c r="M127" s="475">
        <f t="shared" ca="1" si="75"/>
        <v>1</v>
      </c>
      <c r="N127" s="475">
        <f t="shared" ca="1" si="75"/>
        <v>1</v>
      </c>
      <c r="O127" s="475">
        <f t="shared" ca="1" si="75"/>
        <v>2</v>
      </c>
      <c r="P127" s="475">
        <f t="shared" ca="1" si="75"/>
        <v>2</v>
      </c>
      <c r="Q127" s="475">
        <f t="shared" ca="1" si="75"/>
        <v>2</v>
      </c>
      <c r="R127" s="475">
        <f t="shared" ca="1" si="75"/>
        <v>1</v>
      </c>
      <c r="S127" s="475">
        <f t="shared" ca="1" si="75"/>
        <v>1</v>
      </c>
      <c r="T127" s="475">
        <f t="shared" ca="1" si="75"/>
        <v>1</v>
      </c>
      <c r="U127" s="475">
        <f t="shared" ca="1" si="75"/>
        <v>2</v>
      </c>
      <c r="V127" s="475">
        <f t="shared" ca="1" si="75"/>
        <v>3</v>
      </c>
      <c r="W127" s="475">
        <f t="shared" ca="1" si="75"/>
        <v>4</v>
      </c>
      <c r="X127" s="475">
        <f t="shared" ca="1" si="75"/>
        <v>4</v>
      </c>
      <c r="Y127" s="475">
        <f t="shared" ca="1" si="75"/>
        <v>4</v>
      </c>
      <c r="Z127" s="475">
        <f t="shared" ca="1" si="75"/>
        <v>3</v>
      </c>
      <c r="AA127" s="475">
        <f t="shared" ca="1" si="75"/>
        <v>3</v>
      </c>
      <c r="AB127" s="479">
        <f>COUNTIFS('Combined Employee Worksheet'!$H:$H,"Active",'Combined Employee Worksheet'!$D:$D,'Adj. Employee Retention'!B123)</f>
        <v>4</v>
      </c>
      <c r="AC127" s="417"/>
      <c r="AD127" s="417"/>
      <c r="AE127" s="417"/>
    </row>
    <row r="128" spans="1:31" ht="3.95" customHeight="1">
      <c r="A128" s="417"/>
      <c r="B128" s="480"/>
      <c r="C128" s="481"/>
      <c r="D128" s="481"/>
      <c r="E128" s="417"/>
      <c r="F128" s="481"/>
      <c r="G128" s="417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81"/>
      <c r="AB128" s="501"/>
      <c r="AC128" s="417"/>
      <c r="AD128" s="417"/>
      <c r="AE128" s="417"/>
    </row>
    <row r="129" spans="1:35" ht="12" customHeight="1">
      <c r="A129" s="417"/>
      <c r="B129" s="474" t="s">
        <v>1817</v>
      </c>
      <c r="C129" s="483">
        <f ca="1">AVERAGE(C124,C127)</f>
        <v>1</v>
      </c>
      <c r="D129" s="484">
        <f ca="1">AVERAGE(D124,D127)</f>
        <v>2.5</v>
      </c>
      <c r="E129" s="417"/>
      <c r="F129" s="485">
        <f ca="1">AVERAGE(F124,F127)</f>
        <v>3</v>
      </c>
      <c r="G129" s="417"/>
      <c r="H129" s="486">
        <f t="shared" ref="H129:AB129" ca="1" si="76">AVERAGE(H124,H127)</f>
        <v>1</v>
      </c>
      <c r="I129" s="483">
        <f t="shared" ca="1" si="76"/>
        <v>1</v>
      </c>
      <c r="J129" s="483">
        <f t="shared" ca="1" si="76"/>
        <v>1</v>
      </c>
      <c r="K129" s="483">
        <f t="shared" ca="1" si="76"/>
        <v>1</v>
      </c>
      <c r="L129" s="483">
        <f t="shared" ca="1" si="76"/>
        <v>1</v>
      </c>
      <c r="M129" s="483">
        <f t="shared" ca="1" si="76"/>
        <v>1</v>
      </c>
      <c r="N129" s="483">
        <f t="shared" ca="1" si="76"/>
        <v>1</v>
      </c>
      <c r="O129" s="483">
        <f t="shared" ca="1" si="76"/>
        <v>1.5</v>
      </c>
      <c r="P129" s="483">
        <f t="shared" ca="1" si="76"/>
        <v>2</v>
      </c>
      <c r="Q129" s="483">
        <f t="shared" ca="1" si="76"/>
        <v>2</v>
      </c>
      <c r="R129" s="483">
        <f t="shared" ca="1" si="76"/>
        <v>1.5</v>
      </c>
      <c r="S129" s="483">
        <f t="shared" ca="1" si="76"/>
        <v>1</v>
      </c>
      <c r="T129" s="483">
        <f t="shared" ca="1" si="76"/>
        <v>1</v>
      </c>
      <c r="U129" s="483">
        <f t="shared" ca="1" si="76"/>
        <v>1.5</v>
      </c>
      <c r="V129" s="483">
        <f t="shared" ca="1" si="76"/>
        <v>2.5</v>
      </c>
      <c r="W129" s="483">
        <f t="shared" ca="1" si="76"/>
        <v>3.5</v>
      </c>
      <c r="X129" s="483">
        <f t="shared" ca="1" si="76"/>
        <v>4</v>
      </c>
      <c r="Y129" s="483">
        <f t="shared" ca="1" si="76"/>
        <v>4</v>
      </c>
      <c r="Z129" s="483">
        <f t="shared" ca="1" si="76"/>
        <v>3.5</v>
      </c>
      <c r="AA129" s="483">
        <f t="shared" ca="1" si="76"/>
        <v>3</v>
      </c>
      <c r="AB129" s="484">
        <f t="shared" ca="1" si="76"/>
        <v>3.5</v>
      </c>
      <c r="AC129" s="417"/>
      <c r="AD129" s="417"/>
      <c r="AE129" s="417"/>
    </row>
    <row r="130" spans="1:35" ht="3.95" customHeight="1">
      <c r="A130" s="417"/>
      <c r="B130" s="480"/>
      <c r="C130" s="481"/>
      <c r="D130" s="481"/>
      <c r="E130" s="417"/>
      <c r="F130" s="481"/>
      <c r="G130" s="417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2"/>
      <c r="AA130" s="482"/>
      <c r="AB130" s="482"/>
      <c r="AC130" s="417"/>
      <c r="AD130" s="417"/>
      <c r="AE130" s="417"/>
    </row>
    <row r="131" spans="1:35" ht="12" customHeight="1">
      <c r="A131" s="417"/>
      <c r="B131" s="487" t="s">
        <v>1813</v>
      </c>
      <c r="C131" s="488">
        <f ca="1">(C125+C124)/C124-1</f>
        <v>1</v>
      </c>
      <c r="D131" s="489">
        <f ca="1">(D125+D124)/D124-1</f>
        <v>5</v>
      </c>
      <c r="E131" s="490"/>
      <c r="F131" s="491">
        <f ca="1">(F125+F124)/F124-1</f>
        <v>2.5</v>
      </c>
      <c r="G131" s="417"/>
      <c r="H131" s="492">
        <f t="shared" ref="H131:AB131" ca="1" si="77">(H125+H124)/H124-1</f>
        <v>0</v>
      </c>
      <c r="I131" s="488">
        <f t="shared" ca="1" si="77"/>
        <v>0</v>
      </c>
      <c r="J131" s="488">
        <f t="shared" ca="1" si="77"/>
        <v>0</v>
      </c>
      <c r="K131" s="488">
        <f t="shared" ca="1" si="77"/>
        <v>0</v>
      </c>
      <c r="L131" s="488">
        <f t="shared" ca="1" si="77"/>
        <v>0</v>
      </c>
      <c r="M131" s="488">
        <f t="shared" ca="1" si="77"/>
        <v>0</v>
      </c>
      <c r="N131" s="488">
        <f t="shared" ca="1" si="77"/>
        <v>0</v>
      </c>
      <c r="O131" s="488">
        <f t="shared" ca="1" si="77"/>
        <v>1</v>
      </c>
      <c r="P131" s="488">
        <f t="shared" ca="1" si="77"/>
        <v>0</v>
      </c>
      <c r="Q131" s="492">
        <f t="shared" ca="1" si="77"/>
        <v>0</v>
      </c>
      <c r="R131" s="488">
        <f t="shared" ca="1" si="77"/>
        <v>0</v>
      </c>
      <c r="S131" s="488">
        <f t="shared" ca="1" si="77"/>
        <v>0</v>
      </c>
      <c r="T131" s="488">
        <f t="shared" ca="1" si="77"/>
        <v>1</v>
      </c>
      <c r="U131" s="488">
        <f t="shared" ca="1" si="77"/>
        <v>1</v>
      </c>
      <c r="V131" s="488">
        <f t="shared" ca="1" si="77"/>
        <v>0.5</v>
      </c>
      <c r="W131" s="488">
        <f t="shared" ca="1" si="77"/>
        <v>0.33333333333333326</v>
      </c>
      <c r="X131" s="488">
        <f t="shared" ca="1" si="77"/>
        <v>0</v>
      </c>
      <c r="Y131" s="488">
        <f t="shared" ca="1" si="77"/>
        <v>0</v>
      </c>
      <c r="Z131" s="488">
        <f t="shared" ca="1" si="77"/>
        <v>0</v>
      </c>
      <c r="AA131" s="488">
        <f t="shared" ca="1" si="77"/>
        <v>0</v>
      </c>
      <c r="AB131" s="489">
        <f t="shared" ca="1" si="77"/>
        <v>0.33333333333333326</v>
      </c>
      <c r="AC131" s="417"/>
      <c r="AD131" s="417"/>
      <c r="AE131" s="417"/>
    </row>
    <row r="132" spans="1:35">
      <c r="A132" s="417"/>
      <c r="B132" s="493" t="s">
        <v>1812</v>
      </c>
      <c r="C132" s="494">
        <f ca="1">(C126+C129)/C129-1</f>
        <v>-1</v>
      </c>
      <c r="D132" s="495">
        <f ca="1">(D126+D129)/D129-1</f>
        <v>-0.8</v>
      </c>
      <c r="E132" s="490"/>
      <c r="F132" s="496">
        <f ca="1">(F126+F129)/F129-1</f>
        <v>-1</v>
      </c>
      <c r="G132" s="417"/>
      <c r="H132" s="497">
        <f t="shared" ref="H132:AB132" ca="1" si="78">(H126+H129)/H129-1</f>
        <v>0</v>
      </c>
      <c r="I132" s="494">
        <f t="shared" ca="1" si="78"/>
        <v>0</v>
      </c>
      <c r="J132" s="494">
        <f t="shared" ca="1" si="78"/>
        <v>0</v>
      </c>
      <c r="K132" s="494">
        <f t="shared" ca="1" si="78"/>
        <v>0</v>
      </c>
      <c r="L132" s="494">
        <f t="shared" ca="1" si="78"/>
        <v>0</v>
      </c>
      <c r="M132" s="494">
        <f t="shared" ca="1" si="78"/>
        <v>0</v>
      </c>
      <c r="N132" s="494">
        <f t="shared" ca="1" si="78"/>
        <v>0</v>
      </c>
      <c r="O132" s="494">
        <f t="shared" ca="1" si="78"/>
        <v>0</v>
      </c>
      <c r="P132" s="494">
        <f t="shared" ca="1" si="78"/>
        <v>0</v>
      </c>
      <c r="Q132" s="497">
        <f t="shared" ca="1" si="78"/>
        <v>0</v>
      </c>
      <c r="R132" s="494">
        <f t="shared" ca="1" si="78"/>
        <v>-0.66666666666666674</v>
      </c>
      <c r="S132" s="494">
        <f t="shared" ca="1" si="78"/>
        <v>0</v>
      </c>
      <c r="T132" s="494">
        <f t="shared" ca="1" si="78"/>
        <v>-1</v>
      </c>
      <c r="U132" s="494">
        <f t="shared" ca="1" si="78"/>
        <v>0</v>
      </c>
      <c r="V132" s="494">
        <f t="shared" ca="1" si="78"/>
        <v>0</v>
      </c>
      <c r="W132" s="494">
        <f t="shared" ca="1" si="78"/>
        <v>0</v>
      </c>
      <c r="X132" s="494">
        <f t="shared" ca="1" si="78"/>
        <v>0</v>
      </c>
      <c r="Y132" s="494">
        <f t="shared" ca="1" si="78"/>
        <v>0</v>
      </c>
      <c r="Z132" s="494">
        <f t="shared" ca="1" si="78"/>
        <v>-0.2857142857142857</v>
      </c>
      <c r="AA132" s="494">
        <f t="shared" ca="1" si="78"/>
        <v>0</v>
      </c>
      <c r="AB132" s="495">
        <f t="shared" ca="1" si="78"/>
        <v>0</v>
      </c>
      <c r="AC132" s="417"/>
      <c r="AD132" s="417"/>
      <c r="AE132" s="417"/>
    </row>
    <row r="133" spans="1:35" ht="15">
      <c r="A133" s="417"/>
      <c r="B133" s="417"/>
      <c r="C133" s="417"/>
      <c r="D133" s="417"/>
      <c r="E133" s="417"/>
      <c r="F133" s="417"/>
      <c r="G133" s="417"/>
      <c r="H133" s="417"/>
      <c r="I133" s="417"/>
      <c r="J133" s="417"/>
      <c r="K133" s="417"/>
      <c r="L133" s="417"/>
      <c r="M133" s="417"/>
      <c r="N133" s="417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  <c r="AE133" s="417"/>
      <c r="AI133"/>
    </row>
    <row r="134" spans="1:35" ht="15">
      <c r="A134" s="417"/>
      <c r="B134" s="417"/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I134"/>
    </row>
    <row r="135" spans="1:35" ht="15">
      <c r="A135" s="417" t="s">
        <v>294</v>
      </c>
      <c r="B135" s="417"/>
      <c r="C135" s="417"/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7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  <c r="AE135" s="417"/>
      <c r="AI135"/>
    </row>
    <row r="136" spans="1:35" ht="15">
      <c r="A136" s="417"/>
      <c r="B136" s="416" t="s">
        <v>1992</v>
      </c>
      <c r="C136" s="437"/>
      <c r="D136" s="437"/>
      <c r="E136" s="437"/>
      <c r="F136" s="437"/>
      <c r="G136" s="417"/>
      <c r="H136" s="417"/>
      <c r="I136" s="417"/>
      <c r="J136" s="417"/>
      <c r="K136" s="417"/>
      <c r="L136" s="417"/>
      <c r="M136" s="417"/>
      <c r="N136" s="417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  <c r="AE136" s="417"/>
      <c r="AI136"/>
    </row>
    <row r="137" spans="1:35" ht="15">
      <c r="A137" s="417"/>
      <c r="B137" s="454" t="s">
        <v>1993</v>
      </c>
      <c r="C137" s="455" t="s">
        <v>1197</v>
      </c>
      <c r="D137" s="454" t="s">
        <v>287</v>
      </c>
      <c r="E137" s="517"/>
      <c r="F137" s="5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  <c r="AE137" s="417"/>
      <c r="AI137"/>
    </row>
    <row r="138" spans="1:35" ht="15">
      <c r="A138" s="417"/>
      <c r="B138" s="452" t="s">
        <v>1994</v>
      </c>
      <c r="C138" s="456">
        <v>90</v>
      </c>
      <c r="D138" s="452" t="s">
        <v>1995</v>
      </c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  <c r="AE138" s="417"/>
      <c r="AI138"/>
    </row>
    <row r="139" spans="1:35" ht="15">
      <c r="A139" s="417"/>
      <c r="B139" s="417"/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  <c r="AE139" s="417"/>
      <c r="AI139"/>
    </row>
    <row r="140" spans="1:35" ht="15">
      <c r="A140" s="417"/>
      <c r="B140" s="453" t="s">
        <v>304</v>
      </c>
      <c r="C140" s="457">
        <f>AB10-'Employee Retention'!AB10</f>
        <v>0</v>
      </c>
      <c r="D140" s="452" t="s">
        <v>1996</v>
      </c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  <c r="AE140" s="417"/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B6:AB16 B18:AB31 B33:AB46 B48:AB61 B63:AB76 B78:AB91 B93:AB106 B108:AB121 B123:AB132">
    <cfRule type="expression" dxfId="6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>
      <selection activeCell="AB21" sqref="AB21"/>
    </sheetView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  <c r="AD8" s="392">
        <f>AB8/12*1000</f>
        <v>1385.9560828625231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5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4" priority="6" operator="containsText" text="Resignation">
      <formula>NOT(ISERROR(SEARCH("Resignation",G6)))</formula>
    </cfRule>
    <cfRule type="expression" dxfId="3" priority="7">
      <formula>"""Resignation"""</formula>
    </cfRule>
  </conditionalFormatting>
  <conditionalFormatting sqref="G35:G78">
    <cfRule type="containsText" dxfId="2" priority="1" operator="containsText" text="Resignation">
      <formula>NOT(ISERROR(SEARCH("Resignation",G35)))</formula>
    </cfRule>
    <cfRule type="expression" dxfId="1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399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1291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111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409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62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154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976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668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2058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780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182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234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1214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1114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1129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675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717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17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738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42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808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86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297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234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563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43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304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35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213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528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1119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1466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822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346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1331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423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164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822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451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297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442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465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920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213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689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808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1114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48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245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661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857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126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756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98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315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20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374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983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479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346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708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976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97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14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56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437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325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198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626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241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476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507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164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112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395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84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325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395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885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1214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353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45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62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724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297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787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612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81" activePane="bottomLeft" state="frozen"/>
      <selection pane="bottomLeft" activeCell="AR114" sqref="AR114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631" t="s">
        <v>116</v>
      </c>
    </row>
    <row r="157" spans="3:6">
      <c r="D157" s="631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41</vt:i4>
      </vt:variant>
    </vt:vector>
  </HeadingPairs>
  <TitlesOfParts>
    <vt:vector size="96" baseType="lpstr">
      <vt:lpstr>Cover</vt:lpstr>
      <vt:lpstr>Offer Overview</vt:lpstr>
      <vt:lpstr>100% Buyout Analysis</vt:lpstr>
      <vt:lpstr>Partnership Analysis</vt:lpstr>
      <vt:lpstr>Valuation Growth Tables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Adj. 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'100% Buyout Analysis'!Print_Area</vt:lpstr>
      <vt:lpstr>'Adj. Employee Retention'!Print_Area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'Offer Overview'!Print_Area</vt:lpstr>
      <vt:lpstr>'P&amp;L Overview'!Print_Area</vt:lpstr>
      <vt:lpstr>'P&amp;L Overview (Target Version)'!Print_Area</vt:lpstr>
      <vt:lpstr>'Partnership Analysis'!Print_Area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'Valuation Growth Tables'!Print_Area</vt:lpstr>
      <vt:lpstr>'Yearly Employee Wins &amp; Losses'!Print_Area</vt:lpstr>
      <vt:lpstr>'100% Buyout Analysis'!Print_Titles</vt:lpstr>
      <vt:lpstr>'Adj. Employee Retention'!Print_Titles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  <vt:lpstr>'Partnership Analysis'!Print_Titles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2026-09-24T05:15:04Z</cp:lastPrinted>
  <dcterms:created xsi:type="dcterms:W3CDTF">2015-06-05T18:17:20Z</dcterms:created>
  <dcterms:modified xsi:type="dcterms:W3CDTF">2026-09-24T05:23:36Z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